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ванива\Реестры\Реестры 2021\На сайт\"/>
    </mc:Choice>
  </mc:AlternateContent>
  <xr:revisionPtr revIDLastSave="0" documentId="13_ncr:1_{0C672258-D169-4357-B5F6-2DBFC5CF00FF}" xr6:coauthVersionLast="45" xr6:coauthVersionMax="45" xr10:uidLastSave="{00000000-0000-0000-0000-000000000000}"/>
  <bookViews>
    <workbookView xWindow="-120" yWindow="-120" windowWidth="21840" windowHeight="13140" tabRatio="774" xr2:uid="{00000000-000D-0000-FFFF-FFFF00000000}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земельные участки" sheetId="10" r:id="rId5"/>
    <sheet name="сооружения" sheetId="11" r:id="rId6"/>
  </sheets>
  <definedNames>
    <definedName name="_xlnm._FilterDatabase" localSheetId="3" hidden="1">'встроенные нежилые помещения'!$J$1:$J$235</definedName>
    <definedName name="_xlnm._FilterDatabase" localSheetId="1" hidden="1">'Жилой фонд'!$B$2:$B$2182</definedName>
    <definedName name="_xlnm._FilterDatabase" localSheetId="4" hidden="1">'земельные участки'!$H$1:$H$1646</definedName>
    <definedName name="_xlnm._FilterDatabase" localSheetId="2" hidden="1">'отдельно стоящие нежилые здания'!$I$1:$I$669</definedName>
    <definedName name="_xlnm._FilterDatabase" localSheetId="5" hidden="1">сооружения!$L$1:$L$699</definedName>
    <definedName name="_xlnm._FilterDatabase" localSheetId="0" hidden="1">титул!#REF!</definedName>
    <definedName name="_xlnm.Print_Area" localSheetId="3">'встроенные нежилые помещения'!$A$1:$P$230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31" i="12" l="1"/>
  <c r="H423" i="12" l="1"/>
  <c r="J421" i="12"/>
  <c r="H421" i="12"/>
  <c r="H675" i="11" l="1"/>
  <c r="H1775" i="12" l="1"/>
  <c r="J1775" i="12" s="1"/>
  <c r="H1865" i="12" l="1"/>
  <c r="H2068" i="12" l="1"/>
  <c r="J1643" i="12" l="1"/>
  <c r="J1642" i="12"/>
  <c r="J1641" i="12"/>
  <c r="J1640" i="12"/>
  <c r="J1639" i="12"/>
  <c r="J888" i="12"/>
  <c r="J887" i="12" s="1"/>
  <c r="H887" i="12"/>
  <c r="J1947" i="12"/>
  <c r="J1946" i="12"/>
  <c r="J1945" i="12"/>
  <c r="J1828" i="12"/>
  <c r="J1827" i="12"/>
  <c r="J1825" i="12"/>
  <c r="H1825" i="12"/>
  <c r="J1419" i="12" l="1"/>
  <c r="K870" i="12" l="1"/>
  <c r="K869" i="12"/>
  <c r="J859" i="12"/>
  <c r="H859" i="12"/>
  <c r="J1796" i="12"/>
  <c r="J1795" i="12"/>
  <c r="J1794" i="12"/>
  <c r="J1793" i="12"/>
  <c r="J1792" i="12"/>
  <c r="J1791" i="12"/>
  <c r="J1790" i="12"/>
  <c r="H1790" i="12"/>
  <c r="J1789" i="12"/>
  <c r="H1789" i="12"/>
  <c r="H1987" i="12"/>
  <c r="J1986" i="12"/>
  <c r="J1985" i="12"/>
  <c r="J1984" i="12"/>
  <c r="J1983" i="12"/>
  <c r="J1982" i="12"/>
  <c r="J1981" i="12"/>
  <c r="J1980" i="12"/>
  <c r="J1979" i="12"/>
  <c r="H1979" i="12"/>
  <c r="H259" i="12"/>
  <c r="J259" i="12" s="1"/>
  <c r="J258" i="12" s="1"/>
  <c r="J1577" i="12"/>
  <c r="H1577" i="12"/>
  <c r="F46" i="10"/>
  <c r="J977" i="12" l="1"/>
  <c r="F92" i="8"/>
  <c r="F93" i="8"/>
  <c r="G15" i="9" l="1"/>
  <c r="J2212" i="12" l="1"/>
  <c r="H2212" i="12"/>
  <c r="J2203" i="12"/>
  <c r="H2203" i="12"/>
  <c r="J2193" i="12"/>
  <c r="H2193" i="12"/>
  <c r="J2184" i="12"/>
  <c r="H2184" i="12"/>
  <c r="J1977" i="12"/>
  <c r="J1976" i="12"/>
  <c r="J1973" i="12"/>
  <c r="J1972" i="12"/>
  <c r="J1971" i="12"/>
  <c r="J1969" i="12"/>
  <c r="J1968" i="12"/>
  <c r="J1966" i="12"/>
  <c r="J1965" i="12"/>
  <c r="J1964" i="12"/>
  <c r="J1963" i="12"/>
  <c r="J1962" i="12"/>
  <c r="J1961" i="12"/>
  <c r="H1961" i="12"/>
  <c r="G198" i="9"/>
  <c r="F214" i="8"/>
  <c r="F289" i="8"/>
  <c r="F287" i="8"/>
  <c r="F285" i="8"/>
  <c r="F273" i="8"/>
  <c r="F271" i="8"/>
  <c r="F270" i="8"/>
  <c r="H1891" i="12"/>
  <c r="H976" i="12"/>
  <c r="J1759" i="12"/>
  <c r="J1756" i="12"/>
  <c r="J1755" i="12"/>
  <c r="G77" i="9"/>
  <c r="F310" i="8" l="1"/>
  <c r="F97" i="8" l="1"/>
  <c r="F67" i="8"/>
  <c r="J478" i="12"/>
  <c r="G160" i="9" l="1"/>
  <c r="G98" i="9"/>
  <c r="G96" i="9"/>
  <c r="I94" i="9"/>
  <c r="I93" i="9"/>
  <c r="G93" i="9"/>
  <c r="G91" i="9"/>
  <c r="G89" i="9"/>
  <c r="G88" i="9"/>
  <c r="G24" i="9"/>
  <c r="F373" i="8"/>
  <c r="F371" i="8"/>
  <c r="F369" i="8"/>
  <c r="F314" i="8" l="1"/>
  <c r="F304" i="8"/>
  <c r="F239" i="8"/>
  <c r="F215" i="8"/>
  <c r="F39" i="8"/>
  <c r="F37" i="8"/>
  <c r="F32" i="8"/>
  <c r="F24" i="8"/>
  <c r="F31" i="8"/>
  <c r="F1461" i="10"/>
  <c r="G1461" i="10"/>
  <c r="F1463" i="10"/>
  <c r="J2172" i="12" l="1"/>
  <c r="J2168" i="12"/>
  <c r="J2167" i="12"/>
  <c r="J2166" i="12"/>
  <c r="H2166" i="12"/>
  <c r="J2134" i="12"/>
  <c r="J2125" i="12"/>
  <c r="J2123" i="12"/>
  <c r="J2122" i="12"/>
  <c r="J2121" i="12"/>
  <c r="J2120" i="12"/>
  <c r="J2119" i="12"/>
  <c r="J2118" i="12"/>
  <c r="J2117" i="12"/>
  <c r="J2116" i="12"/>
  <c r="J2115" i="12"/>
  <c r="H2115" i="12"/>
  <c r="J2110" i="12"/>
  <c r="J2109" i="12"/>
  <c r="J2108" i="12"/>
  <c r="J2107" i="12"/>
  <c r="J2106" i="12"/>
  <c r="J2105" i="12"/>
  <c r="H2105" i="12"/>
  <c r="J2092" i="12"/>
  <c r="J2091" i="12"/>
  <c r="J2090" i="12"/>
  <c r="H2090" i="12"/>
  <c r="J2086" i="12"/>
  <c r="J2085" i="12"/>
  <c r="J2084" i="12"/>
  <c r="J2083" i="12"/>
  <c r="J2082" i="12"/>
  <c r="J2081" i="12"/>
  <c r="J2080" i="12"/>
  <c r="J2079" i="12"/>
  <c r="J2078" i="12"/>
  <c r="J2077" i="12"/>
  <c r="H2077" i="12"/>
  <c r="J2065" i="12"/>
  <c r="J2064" i="12"/>
  <c r="J2063" i="12"/>
  <c r="H2063" i="12"/>
  <c r="J2061" i="12"/>
  <c r="J2060" i="12"/>
  <c r="J2059" i="12"/>
  <c r="J2058" i="12"/>
  <c r="H2058" i="12"/>
  <c r="J2056" i="12"/>
  <c r="J2055" i="12"/>
  <c r="J2054" i="12"/>
  <c r="J2053" i="12"/>
  <c r="H2053" i="12"/>
  <c r="J2052" i="12"/>
  <c r="J2051" i="12"/>
  <c r="J2050" i="12"/>
  <c r="J2049" i="12"/>
  <c r="J2048" i="12"/>
  <c r="J2047" i="12"/>
  <c r="J2046" i="12"/>
  <c r="J2045" i="12"/>
  <c r="J2044" i="12"/>
  <c r="J2043" i="12"/>
  <c r="J2042" i="12"/>
  <c r="J2041" i="12"/>
  <c r="J2040" i="12"/>
  <c r="J2038" i="12"/>
  <c r="J2036" i="12"/>
  <c r="H2036" i="12"/>
  <c r="J2035" i="12"/>
  <c r="J2034" i="12"/>
  <c r="J2033" i="12"/>
  <c r="J2032" i="12"/>
  <c r="J2031" i="12"/>
  <c r="H2031" i="12"/>
  <c r="H2026" i="12"/>
  <c r="J2025" i="12"/>
  <c r="J2024" i="12"/>
  <c r="J2023" i="12"/>
  <c r="J2022" i="12"/>
  <c r="J2021" i="12"/>
  <c r="J2020" i="12"/>
  <c r="J2019" i="12"/>
  <c r="J2018" i="12"/>
  <c r="J2017" i="12"/>
  <c r="J2016" i="12"/>
  <c r="J2015" i="12"/>
  <c r="J2014" i="12"/>
  <c r="H2014" i="12"/>
  <c r="J2013" i="12"/>
  <c r="J2012" i="12"/>
  <c r="J2010" i="12"/>
  <c r="H2010" i="12"/>
  <c r="J2008" i="12"/>
  <c r="J2007" i="12"/>
  <c r="J2006" i="12"/>
  <c r="J2005" i="12"/>
  <c r="H2005" i="12"/>
  <c r="J2003" i="12"/>
  <c r="J2002" i="12"/>
  <c r="J2001" i="12"/>
  <c r="J2000" i="12"/>
  <c r="H2000" i="12"/>
  <c r="J1998" i="12"/>
  <c r="J1997" i="12"/>
  <c r="J1996" i="12"/>
  <c r="J1995" i="12"/>
  <c r="H1995" i="12"/>
  <c r="J1993" i="12"/>
  <c r="J1992" i="12"/>
  <c r="H1992" i="12"/>
  <c r="J1991" i="12"/>
  <c r="J1990" i="12"/>
  <c r="H1990" i="12"/>
  <c r="J1955" i="12"/>
  <c r="J1954" i="12"/>
  <c r="J1953" i="12"/>
  <c r="J1952" i="12"/>
  <c r="J1951" i="12"/>
  <c r="J1950" i="12"/>
  <c r="J1949" i="12"/>
  <c r="H1948" i="12"/>
  <c r="J1944" i="12"/>
  <c r="H1944" i="12"/>
  <c r="J1943" i="12"/>
  <c r="J1942" i="12"/>
  <c r="J1941" i="12"/>
  <c r="J1940" i="12"/>
  <c r="J1939" i="12"/>
  <c r="H1939" i="12"/>
  <c r="J1938" i="12"/>
  <c r="J1937" i="12"/>
  <c r="J1936" i="12"/>
  <c r="J1935" i="12"/>
  <c r="J1934" i="12"/>
  <c r="J1933" i="12"/>
  <c r="H1932" i="12"/>
  <c r="J1931" i="12"/>
  <c r="J1930" i="12"/>
  <c r="J1929" i="12"/>
  <c r="J1928" i="12"/>
  <c r="J1927" i="12"/>
  <c r="H1927" i="12"/>
  <c r="J1921" i="12"/>
  <c r="H1921" i="12"/>
  <c r="J1913" i="12"/>
  <c r="J1912" i="12"/>
  <c r="J1911" i="12"/>
  <c r="J1910" i="12"/>
  <c r="J1909" i="12"/>
  <c r="J1908" i="12"/>
  <c r="J1907" i="12"/>
  <c r="J1905" i="12"/>
  <c r="J1904" i="12"/>
  <c r="J1903" i="12"/>
  <c r="J1902" i="12"/>
  <c r="J1901" i="12"/>
  <c r="J1900" i="12"/>
  <c r="J1899" i="12"/>
  <c r="J1898" i="12"/>
  <c r="J1897" i="12"/>
  <c r="J1896" i="12"/>
  <c r="J1895" i="12"/>
  <c r="H1894" i="12"/>
  <c r="J1892" i="12"/>
  <c r="H1892" i="12"/>
  <c r="J1888" i="12"/>
  <c r="H1887" i="12"/>
  <c r="J1887" i="12" s="1"/>
  <c r="J1886" i="12"/>
  <c r="J1885" i="12"/>
  <c r="H1885" i="12"/>
  <c r="J1884" i="12"/>
  <c r="J1883" i="12"/>
  <c r="J1882" i="12"/>
  <c r="H1882" i="12"/>
  <c r="J1881" i="12"/>
  <c r="J1880" i="12"/>
  <c r="J1879" i="12"/>
  <c r="J1878" i="12"/>
  <c r="H1878" i="12"/>
  <c r="H1877" i="12"/>
  <c r="H1876" i="12"/>
  <c r="J1876" i="12" s="1"/>
  <c r="H1875" i="12"/>
  <c r="J1875" i="12" s="1"/>
  <c r="J1874" i="12"/>
  <c r="J1872" i="12"/>
  <c r="J1871" i="12"/>
  <c r="H1871" i="12"/>
  <c r="J1870" i="12"/>
  <c r="J1869" i="12"/>
  <c r="J1868" i="12"/>
  <c r="J1866" i="12"/>
  <c r="H1866" i="12"/>
  <c r="J1863" i="12"/>
  <c r="J1862" i="12"/>
  <c r="J1861" i="12"/>
  <c r="J1860" i="12"/>
  <c r="J1859" i="12"/>
  <c r="J1856" i="12"/>
  <c r="H1856" i="12"/>
  <c r="J1855" i="12"/>
  <c r="J1854" i="12"/>
  <c r="J1853" i="12"/>
  <c r="H1853" i="12"/>
  <c r="J1852" i="12"/>
  <c r="J1851" i="12"/>
  <c r="J1850" i="12"/>
  <c r="J1849" i="12"/>
  <c r="H1849" i="12"/>
  <c r="J1848" i="12"/>
  <c r="H1848" i="12"/>
  <c r="J1847" i="12"/>
  <c r="H1847" i="12"/>
  <c r="J1846" i="12"/>
  <c r="J1845" i="12"/>
  <c r="H1845" i="12"/>
  <c r="J1844" i="12"/>
  <c r="H1844" i="12"/>
  <c r="J1841" i="12"/>
  <c r="H1841" i="12"/>
  <c r="K1840" i="12"/>
  <c r="H1840" i="12"/>
  <c r="J1840" i="12" s="1"/>
  <c r="J1837" i="12"/>
  <c r="H1837" i="12"/>
  <c r="J1834" i="12"/>
  <c r="J1832" i="12"/>
  <c r="H1832" i="12"/>
  <c r="J1823" i="12"/>
  <c r="J1822" i="12"/>
  <c r="H1822" i="12"/>
  <c r="J1821" i="12"/>
  <c r="K1820" i="12"/>
  <c r="J1820" i="12"/>
  <c r="H1820" i="12"/>
  <c r="J1819" i="12"/>
  <c r="H1819" i="12"/>
  <c r="K1813" i="12"/>
  <c r="J1813" i="12"/>
  <c r="H1813" i="12"/>
  <c r="J1809" i="12"/>
  <c r="J1808" i="12"/>
  <c r="H1808" i="12"/>
  <c r="J1801" i="12"/>
  <c r="H1801" i="12"/>
  <c r="J1798" i="12"/>
  <c r="H1798" i="12"/>
  <c r="J1788" i="12"/>
  <c r="J1787" i="12"/>
  <c r="J1786" i="12"/>
  <c r="J1785" i="12"/>
  <c r="J1784" i="12"/>
  <c r="H1784" i="12"/>
  <c r="J1782" i="12"/>
  <c r="J1781" i="12"/>
  <c r="J1780" i="12"/>
  <c r="J1776" i="12"/>
  <c r="H1776" i="12"/>
  <c r="J1774" i="12"/>
  <c r="J1773" i="12"/>
  <c r="H1773" i="12"/>
  <c r="J1772" i="12"/>
  <c r="J1771" i="12"/>
  <c r="J1770" i="12"/>
  <c r="H1770" i="12"/>
  <c r="J1769" i="12"/>
  <c r="H1769" i="12"/>
  <c r="J1768" i="12"/>
  <c r="H1768" i="12"/>
  <c r="J1763" i="12"/>
  <c r="J1761" i="12"/>
  <c r="H1761" i="12"/>
  <c r="J1754" i="12"/>
  <c r="H1754" i="12"/>
  <c r="J1753" i="12"/>
  <c r="H1753" i="12"/>
  <c r="J1752" i="12"/>
  <c r="J1750" i="12"/>
  <c r="H1750" i="12"/>
  <c r="J1749" i="12"/>
  <c r="J1748" i="12"/>
  <c r="J1746" i="12"/>
  <c r="J1745" i="12"/>
  <c r="H1744" i="12"/>
  <c r="J1744" i="12" s="1"/>
  <c r="J1743" i="12"/>
  <c r="J1742" i="12"/>
  <c r="J1741" i="12"/>
  <c r="J1740" i="12"/>
  <c r="J1739" i="12"/>
  <c r="J1738" i="12"/>
  <c r="J1737" i="12"/>
  <c r="J1736" i="12"/>
  <c r="J1735" i="12"/>
  <c r="J1734" i="12"/>
  <c r="J1733" i="12"/>
  <c r="J1732" i="12"/>
  <c r="J1731" i="12"/>
  <c r="J1730" i="12"/>
  <c r="J1729" i="12"/>
  <c r="J1728" i="12"/>
  <c r="J1727" i="12"/>
  <c r="J1726" i="12"/>
  <c r="J1725" i="12"/>
  <c r="J1724" i="12"/>
  <c r="J1723" i="12"/>
  <c r="J1722" i="12"/>
  <c r="J1721" i="12"/>
  <c r="J1720" i="12"/>
  <c r="J1719" i="12"/>
  <c r="J1718" i="12"/>
  <c r="J1717" i="12"/>
  <c r="J1716" i="12"/>
  <c r="J1715" i="12"/>
  <c r="J1714" i="12"/>
  <c r="J1713" i="12"/>
  <c r="J1712" i="12"/>
  <c r="J1711" i="12"/>
  <c r="J1710" i="12"/>
  <c r="J1709" i="12"/>
  <c r="J1708" i="12"/>
  <c r="J1707" i="12"/>
  <c r="J1706" i="12"/>
  <c r="J1705" i="12"/>
  <c r="J1704" i="12"/>
  <c r="J1703" i="12"/>
  <c r="J1702" i="12"/>
  <c r="J1701" i="12"/>
  <c r="J1700" i="12"/>
  <c r="J1699" i="12"/>
  <c r="J1698" i="12"/>
  <c r="J1697" i="12"/>
  <c r="H1697" i="12"/>
  <c r="J1696" i="12"/>
  <c r="J1694" i="12"/>
  <c r="H1694" i="12"/>
  <c r="J1690" i="12"/>
  <c r="H1690" i="12"/>
  <c r="J1689" i="12"/>
  <c r="H1689" i="12"/>
  <c r="J1684" i="12"/>
  <c r="J1683" i="12"/>
  <c r="J1682" i="12"/>
  <c r="H1682" i="12"/>
  <c r="J1681" i="12"/>
  <c r="J1680" i="12"/>
  <c r="J1679" i="12"/>
  <c r="H1679" i="12"/>
  <c r="J1678" i="12"/>
  <c r="J1677" i="12"/>
  <c r="J1676" i="12"/>
  <c r="J1675" i="12"/>
  <c r="J1674" i="12"/>
  <c r="H1674" i="12"/>
  <c r="J1672" i="12"/>
  <c r="H1672" i="12"/>
  <c r="J1669" i="12"/>
  <c r="H1669" i="12"/>
  <c r="J1666" i="12"/>
  <c r="J1663" i="12"/>
  <c r="J1662" i="12"/>
  <c r="H1662" i="12"/>
  <c r="J1656" i="12"/>
  <c r="J1655" i="12"/>
  <c r="J1654" i="12"/>
  <c r="H1654" i="12"/>
  <c r="J1651" i="12"/>
  <c r="H1651" i="12"/>
  <c r="J1649" i="12"/>
  <c r="H1649" i="12"/>
  <c r="J1648" i="12"/>
  <c r="J1647" i="12"/>
  <c r="J1646" i="12"/>
  <c r="J1645" i="12"/>
  <c r="H1635" i="12"/>
  <c r="J1635" i="12" s="1"/>
  <c r="J1632" i="12"/>
  <c r="H1632" i="12"/>
  <c r="J1631" i="12"/>
  <c r="J1630" i="12"/>
  <c r="J1629" i="12"/>
  <c r="J1628" i="12"/>
  <c r="J1627" i="12"/>
  <c r="J1626" i="12"/>
  <c r="J1625" i="12"/>
  <c r="J1624" i="12"/>
  <c r="J1623" i="12"/>
  <c r="J1622" i="12"/>
  <c r="J1621" i="12"/>
  <c r="J1620" i="12"/>
  <c r="J1619" i="12"/>
  <c r="J1618" i="12"/>
  <c r="J1617" i="12"/>
  <c r="J1616" i="12"/>
  <c r="J1615" i="12"/>
  <c r="J1614" i="12"/>
  <c r="J1613" i="12"/>
  <c r="J1612" i="12"/>
  <c r="J1611" i="12"/>
  <c r="J1610" i="12"/>
  <c r="J1609" i="12"/>
  <c r="J1608" i="12"/>
  <c r="J1607" i="12"/>
  <c r="J1606" i="12"/>
  <c r="J1605" i="12"/>
  <c r="J1604" i="12"/>
  <c r="J1603" i="12"/>
  <c r="J1602" i="12"/>
  <c r="J1601" i="12"/>
  <c r="J1600" i="12"/>
  <c r="J1599" i="12"/>
  <c r="J1598" i="12"/>
  <c r="J1597" i="12"/>
  <c r="J1596" i="12"/>
  <c r="J1595" i="12"/>
  <c r="J1594" i="12"/>
  <c r="J1587" i="12"/>
  <c r="H1587" i="12"/>
  <c r="J1583" i="12"/>
  <c r="H1583" i="12"/>
  <c r="J1578" i="12"/>
  <c r="H1578" i="12"/>
  <c r="J1573" i="12"/>
  <c r="H1573" i="12"/>
  <c r="J1571" i="12"/>
  <c r="J1572" i="12" s="1"/>
  <c r="J1570" i="12"/>
  <c r="J1569" i="12"/>
  <c r="J1568" i="12"/>
  <c r="H1568" i="12"/>
  <c r="J1566" i="12"/>
  <c r="H1566" i="12"/>
  <c r="J1564" i="12"/>
  <c r="J1563" i="12"/>
  <c r="J1562" i="12"/>
  <c r="J1561" i="12"/>
  <c r="J1560" i="12"/>
  <c r="H1560" i="12"/>
  <c r="J1559" i="12"/>
  <c r="J1558" i="12"/>
  <c r="J1557" i="12"/>
  <c r="J1556" i="12"/>
  <c r="J1555" i="12"/>
  <c r="H1555" i="12"/>
  <c r="J1554" i="12"/>
  <c r="J1553" i="12"/>
  <c r="J1552" i="12"/>
  <c r="H1552" i="12"/>
  <c r="J1550" i="12"/>
  <c r="J1549" i="12"/>
  <c r="J1548" i="12"/>
  <c r="J1547" i="12"/>
  <c r="H1547" i="12"/>
  <c r="J1546" i="12"/>
  <c r="J1545" i="12"/>
  <c r="J1544" i="12"/>
  <c r="J1543" i="12"/>
  <c r="J1542" i="12"/>
  <c r="J1541" i="12"/>
  <c r="J1540" i="12"/>
  <c r="J1539" i="12"/>
  <c r="J1538" i="12"/>
  <c r="H1538" i="12"/>
  <c r="J1537" i="12"/>
  <c r="J1536" i="12"/>
  <c r="J1535" i="12"/>
  <c r="J1534" i="12"/>
  <c r="J1533" i="12"/>
  <c r="H1533" i="12"/>
  <c r="J1532" i="12"/>
  <c r="J1531" i="12"/>
  <c r="J1530" i="12"/>
  <c r="J1529" i="12"/>
  <c r="J1528" i="12"/>
  <c r="H1528" i="12"/>
  <c r="J1522" i="12"/>
  <c r="J1521" i="12"/>
  <c r="J1520" i="12"/>
  <c r="H1520" i="12"/>
  <c r="J1517" i="12"/>
  <c r="H1517" i="12"/>
  <c r="J1516" i="12"/>
  <c r="J1515" i="12"/>
  <c r="H1515" i="12"/>
  <c r="J1514" i="12"/>
  <c r="J1511" i="12"/>
  <c r="H1511" i="12"/>
  <c r="J1510" i="12"/>
  <c r="J1509" i="12"/>
  <c r="H1509" i="12"/>
  <c r="J1508" i="12"/>
  <c r="J1507" i="12"/>
  <c r="J1506" i="12"/>
  <c r="H1506" i="12"/>
  <c r="J1504" i="12"/>
  <c r="H1504" i="12"/>
  <c r="J1503" i="12"/>
  <c r="J1502" i="12"/>
  <c r="J1501" i="12"/>
  <c r="H1501" i="12"/>
  <c r="J1500" i="12"/>
  <c r="J1495" i="12"/>
  <c r="J1494" i="12"/>
  <c r="J1493" i="12"/>
  <c r="H1493" i="12"/>
  <c r="J1492" i="12"/>
  <c r="J1491" i="12"/>
  <c r="J1490" i="12"/>
  <c r="J1489" i="12"/>
  <c r="H1489" i="12"/>
  <c r="J1488" i="12"/>
  <c r="J1487" i="12"/>
  <c r="H1487" i="12"/>
  <c r="J1485" i="12"/>
  <c r="H1485" i="12"/>
  <c r="H1483" i="12"/>
  <c r="J1482" i="12"/>
  <c r="J1481" i="12"/>
  <c r="J1480" i="12"/>
  <c r="J1479" i="12"/>
  <c r="J1478" i="12"/>
  <c r="H1478" i="12"/>
  <c r="J1476" i="12"/>
  <c r="H1476" i="12"/>
  <c r="J1475" i="12"/>
  <c r="H1475" i="12"/>
  <c r="J1471" i="12"/>
  <c r="H1471" i="12"/>
  <c r="J1470" i="12"/>
  <c r="J1469" i="12"/>
  <c r="J1468" i="12"/>
  <c r="J1467" i="12"/>
  <c r="J1466" i="12"/>
  <c r="J1465" i="12"/>
  <c r="J1464" i="12"/>
  <c r="J1463" i="12"/>
  <c r="J1462" i="12"/>
  <c r="H1462" i="12"/>
  <c r="J1461" i="12"/>
  <c r="J1460" i="12"/>
  <c r="J1459" i="12"/>
  <c r="J1458" i="12"/>
  <c r="J1457" i="12"/>
  <c r="H1457" i="12"/>
  <c r="J1448" i="12"/>
  <c r="H1448" i="12"/>
  <c r="J1444" i="12"/>
  <c r="H1444" i="12"/>
  <c r="J1443" i="12"/>
  <c r="H1442" i="12"/>
  <c r="J1441" i="12"/>
  <c r="H1441" i="12"/>
  <c r="J1439" i="12"/>
  <c r="H1439" i="12"/>
  <c r="J1436" i="12"/>
  <c r="H1436" i="12"/>
  <c r="J1435" i="12"/>
  <c r="J1433" i="12"/>
  <c r="H1433" i="12"/>
  <c r="J1429" i="12"/>
  <c r="H1429" i="12"/>
  <c r="J1428" i="12"/>
  <c r="H1428" i="12"/>
  <c r="J1427" i="12"/>
  <c r="H1427" i="12"/>
  <c r="J1425" i="12"/>
  <c r="H1425" i="12"/>
  <c r="J1423" i="12"/>
  <c r="H1423" i="12"/>
  <c r="J1412" i="12"/>
  <c r="H1412" i="12"/>
  <c r="J1410" i="12"/>
  <c r="H1410" i="12"/>
  <c r="J1406" i="12"/>
  <c r="H1406" i="12"/>
  <c r="J1404" i="12"/>
  <c r="H1404" i="12"/>
  <c r="J1401" i="12"/>
  <c r="H1401" i="12"/>
  <c r="J1395" i="12"/>
  <c r="H1395" i="12"/>
  <c r="J1391" i="12"/>
  <c r="H1391" i="12"/>
  <c r="J1389" i="12"/>
  <c r="H1389" i="12"/>
  <c r="J1387" i="12"/>
  <c r="H1387" i="12"/>
  <c r="J1382" i="12"/>
  <c r="H1382" i="12"/>
  <c r="J1379" i="12"/>
  <c r="H1379" i="12"/>
  <c r="J1375" i="12"/>
  <c r="H1375" i="12"/>
  <c r="J1372" i="12"/>
  <c r="H1372" i="12"/>
  <c r="J1371" i="12"/>
  <c r="H1371" i="12"/>
  <c r="J1352" i="12"/>
  <c r="H1352" i="12"/>
  <c r="J1349" i="12"/>
  <c r="H1349" i="12"/>
  <c r="J1347" i="12"/>
  <c r="H1347" i="12"/>
  <c r="J1345" i="12"/>
  <c r="H1345" i="12"/>
  <c r="H1342" i="12"/>
  <c r="J1341" i="12"/>
  <c r="H1341" i="12"/>
  <c r="J1339" i="12"/>
  <c r="H1339" i="12"/>
  <c r="J1337" i="12"/>
  <c r="H1337" i="12"/>
  <c r="J1335" i="12"/>
  <c r="H1335" i="12"/>
  <c r="J1332" i="12"/>
  <c r="H1332" i="12"/>
  <c r="J1327" i="12"/>
  <c r="H1327" i="12"/>
  <c r="J1320" i="12"/>
  <c r="H1320" i="12"/>
  <c r="J1319" i="12"/>
  <c r="J1318" i="12"/>
  <c r="H1318" i="12"/>
  <c r="J1317" i="12"/>
  <c r="H1317" i="12"/>
  <c r="J1314" i="12"/>
  <c r="H1314" i="12"/>
  <c r="J1313" i="12"/>
  <c r="H1313" i="12"/>
  <c r="J1307" i="12"/>
  <c r="H1307" i="12"/>
  <c r="J1304" i="12"/>
  <c r="H1304" i="12"/>
  <c r="J1302" i="12"/>
  <c r="H1302" i="12"/>
  <c r="J1299" i="12"/>
  <c r="H1299" i="12"/>
  <c r="J1296" i="12"/>
  <c r="H1296" i="12"/>
  <c r="J1289" i="12"/>
  <c r="H1289" i="12"/>
  <c r="J1231" i="12"/>
  <c r="H1231" i="12"/>
  <c r="J1228" i="12"/>
  <c r="H1228" i="12"/>
  <c r="J1225" i="12"/>
  <c r="H1225" i="12"/>
  <c r="J1204" i="12"/>
  <c r="H1204" i="12"/>
  <c r="J1202" i="12"/>
  <c r="H1202" i="12"/>
  <c r="J1201" i="12"/>
  <c r="H1201" i="12"/>
  <c r="J1198" i="12"/>
  <c r="H1198" i="12"/>
  <c r="J1190" i="12"/>
  <c r="H1190" i="12"/>
  <c r="J1187" i="12"/>
  <c r="H1187" i="12"/>
  <c r="J1186" i="12"/>
  <c r="H1186" i="12"/>
  <c r="J1185" i="12"/>
  <c r="H1185" i="12"/>
  <c r="J1142" i="12"/>
  <c r="H1142" i="12"/>
  <c r="J1140" i="12"/>
  <c r="H1140" i="12"/>
  <c r="J1137" i="12"/>
  <c r="H1137" i="12"/>
  <c r="J1136" i="12"/>
  <c r="H1136" i="12"/>
  <c r="H1135" i="12"/>
  <c r="J1131" i="12"/>
  <c r="H1131" i="12"/>
  <c r="J1129" i="12"/>
  <c r="H1129" i="12"/>
  <c r="J1126" i="12"/>
  <c r="H1126" i="12"/>
  <c r="J1125" i="12"/>
  <c r="H1125" i="12"/>
  <c r="J1122" i="12"/>
  <c r="H1122" i="12"/>
  <c r="J1120" i="12"/>
  <c r="H1120" i="12"/>
  <c r="J1119" i="12"/>
  <c r="H1119" i="12"/>
  <c r="J1118" i="12"/>
  <c r="H1118" i="12"/>
  <c r="J1117" i="12"/>
  <c r="H1117" i="12"/>
  <c r="J1116" i="12"/>
  <c r="H1116" i="12"/>
  <c r="J1114" i="12"/>
  <c r="H1114" i="12"/>
  <c r="J1112" i="12"/>
  <c r="H1112" i="12"/>
  <c r="J1111" i="12"/>
  <c r="H1111" i="12"/>
  <c r="J1110" i="12"/>
  <c r="H1110" i="12"/>
  <c r="J1108" i="12"/>
  <c r="H1108" i="12"/>
  <c r="J1105" i="12"/>
  <c r="H1105" i="12"/>
  <c r="J1102" i="12"/>
  <c r="H1102" i="12"/>
  <c r="J1101" i="12"/>
  <c r="H1101" i="12"/>
  <c r="J1100" i="12"/>
  <c r="J1099" i="12"/>
  <c r="H1099" i="12"/>
  <c r="J1097" i="12"/>
  <c r="H1097" i="12"/>
  <c r="J1096" i="12"/>
  <c r="H1096" i="12"/>
  <c r="J1095" i="12"/>
  <c r="H1095" i="12"/>
  <c r="J1092" i="12"/>
  <c r="H1092" i="12"/>
  <c r="J1090" i="12"/>
  <c r="H1090" i="12"/>
  <c r="J1088" i="12"/>
  <c r="H1088" i="12"/>
  <c r="J1085" i="12"/>
  <c r="H1085" i="12"/>
  <c r="H1083" i="12"/>
  <c r="J1080" i="12"/>
  <c r="H1080" i="12"/>
  <c r="J1077" i="12"/>
  <c r="H1077" i="12"/>
  <c r="J1075" i="12"/>
  <c r="H1075" i="12"/>
  <c r="J1073" i="12"/>
  <c r="H1073" i="12"/>
  <c r="J1068" i="12"/>
  <c r="H1068" i="12"/>
  <c r="J1063" i="12"/>
  <c r="H1063" i="12"/>
  <c r="J1060" i="12"/>
  <c r="H1060" i="12"/>
  <c r="J1056" i="12"/>
  <c r="H1056" i="12"/>
  <c r="J1054" i="12"/>
  <c r="H1054" i="12"/>
  <c r="H1049" i="12"/>
  <c r="J1049" i="12" s="1"/>
  <c r="J1025" i="12"/>
  <c r="H1025" i="12"/>
  <c r="J1022" i="12"/>
  <c r="H1022" i="12"/>
  <c r="J1014" i="12"/>
  <c r="H1014" i="12"/>
  <c r="J1007" i="12"/>
  <c r="H1007" i="12"/>
  <c r="J1001" i="12"/>
  <c r="H1001" i="12"/>
  <c r="J999" i="12"/>
  <c r="H999" i="12"/>
  <c r="J997" i="12"/>
  <c r="H997" i="12"/>
  <c r="H993" i="12"/>
  <c r="J989" i="12"/>
  <c r="H989" i="12"/>
  <c r="J988" i="12"/>
  <c r="H988" i="12"/>
  <c r="J986" i="12"/>
  <c r="H986" i="12"/>
  <c r="J985" i="12"/>
  <c r="H985" i="12"/>
  <c r="J982" i="12"/>
  <c r="H982" i="12"/>
  <c r="J979" i="12"/>
  <c r="H979" i="12"/>
  <c r="J978" i="12"/>
  <c r="H978" i="12"/>
  <c r="J970" i="12"/>
  <c r="H970" i="12"/>
  <c r="J969" i="12"/>
  <c r="J968" i="12"/>
  <c r="H968" i="12"/>
  <c r="J965" i="12"/>
  <c r="H965" i="12"/>
  <c r="J963" i="12"/>
  <c r="H963" i="12"/>
  <c r="J961" i="12"/>
  <c r="H961" i="12"/>
  <c r="J949" i="12"/>
  <c r="J950" i="12" s="1"/>
  <c r="J948" i="12"/>
  <c r="H948" i="12"/>
  <c r="J947" i="12"/>
  <c r="J935" i="12"/>
  <c r="H935" i="12"/>
  <c r="J934" i="12"/>
  <c r="H934" i="12"/>
  <c r="J930" i="12"/>
  <c r="H930" i="12"/>
  <c r="J929" i="12"/>
  <c r="J928" i="12"/>
  <c r="H928" i="12"/>
  <c r="H927" i="12"/>
  <c r="J927" i="12" s="1"/>
  <c r="J922" i="12"/>
  <c r="H922" i="12"/>
  <c r="J921" i="12"/>
  <c r="J920" i="12"/>
  <c r="J919" i="12"/>
  <c r="H919" i="12"/>
  <c r="J917" i="12"/>
  <c r="H917" i="12"/>
  <c r="J914" i="12"/>
  <c r="H914" i="12"/>
  <c r="J913" i="12"/>
  <c r="J912" i="12"/>
  <c r="J911" i="12"/>
  <c r="H911" i="12"/>
  <c r="J910" i="12"/>
  <c r="J909" i="12"/>
  <c r="H909" i="12"/>
  <c r="J908" i="12"/>
  <c r="J907" i="12"/>
  <c r="J906" i="12"/>
  <c r="H906" i="12"/>
  <c r="K905" i="12"/>
  <c r="J905" i="12"/>
  <c r="H905" i="12"/>
  <c r="K903" i="12"/>
  <c r="J903" i="12"/>
  <c r="H903" i="12"/>
  <c r="H899" i="12"/>
  <c r="J895" i="12"/>
  <c r="H895" i="12"/>
  <c r="J894" i="12"/>
  <c r="J893" i="12"/>
  <c r="J892" i="12"/>
  <c r="H892" i="12"/>
  <c r="J891" i="12"/>
  <c r="H891" i="12"/>
  <c r="K890" i="12"/>
  <c r="J890" i="12"/>
  <c r="H890" i="12"/>
  <c r="K889" i="12"/>
  <c r="J889" i="12"/>
  <c r="H889" i="12"/>
  <c r="J886" i="12"/>
  <c r="J885" i="12"/>
  <c r="H885" i="12"/>
  <c r="J884" i="12"/>
  <c r="H884" i="12"/>
  <c r="K883" i="12"/>
  <c r="J883" i="12"/>
  <c r="H883" i="12"/>
  <c r="J882" i="12"/>
  <c r="H882" i="12"/>
  <c r="J881" i="12"/>
  <c r="H881" i="12"/>
  <c r="J877" i="12"/>
  <c r="H877" i="12"/>
  <c r="J875" i="12"/>
  <c r="H875" i="12"/>
  <c r="J858" i="12"/>
  <c r="J857" i="12"/>
  <c r="J856" i="12"/>
  <c r="H856" i="12"/>
  <c r="J852" i="12"/>
  <c r="H852" i="12"/>
  <c r="J849" i="12"/>
  <c r="H849" i="12"/>
  <c r="J846" i="12"/>
  <c r="H846" i="12"/>
  <c r="J845" i="12"/>
  <c r="H845" i="12"/>
  <c r="J841" i="12"/>
  <c r="H841" i="12"/>
  <c r="J836" i="12"/>
  <c r="H836" i="12"/>
  <c r="J835" i="12"/>
  <c r="J834" i="12"/>
  <c r="J833" i="12"/>
  <c r="H833" i="12"/>
  <c r="J830" i="12"/>
  <c r="H830" i="12"/>
  <c r="J827" i="12"/>
  <c r="H827" i="12"/>
  <c r="J824" i="12"/>
  <c r="H824" i="12"/>
  <c r="J822" i="12"/>
  <c r="H822" i="12"/>
  <c r="J815" i="12"/>
  <c r="H815" i="12"/>
  <c r="J812" i="12"/>
  <c r="H812" i="12"/>
  <c r="J810" i="12"/>
  <c r="H810" i="12"/>
  <c r="J806" i="12"/>
  <c r="H806" i="12"/>
  <c r="J802" i="12"/>
  <c r="H802" i="12"/>
  <c r="J791" i="12"/>
  <c r="H791" i="12"/>
  <c r="J781" i="12"/>
  <c r="H781" i="12"/>
  <c r="J778" i="12"/>
  <c r="H778" i="12"/>
  <c r="H777" i="12"/>
  <c r="J777" i="12" s="1"/>
  <c r="J769" i="12"/>
  <c r="H769" i="12"/>
  <c r="J762" i="12"/>
  <c r="H762" i="12"/>
  <c r="J759" i="12"/>
  <c r="H759" i="12"/>
  <c r="J757" i="12"/>
  <c r="H757" i="12"/>
  <c r="J755" i="12"/>
  <c r="H755" i="12"/>
  <c r="J747" i="12"/>
  <c r="H747" i="12"/>
  <c r="J742" i="12"/>
  <c r="H742" i="12"/>
  <c r="J738" i="12"/>
  <c r="H738" i="12"/>
  <c r="J735" i="12"/>
  <c r="H735" i="12"/>
  <c r="J729" i="12"/>
  <c r="H729" i="12"/>
  <c r="J725" i="12"/>
  <c r="H725" i="12"/>
  <c r="H724" i="12"/>
  <c r="J724" i="12" s="1"/>
  <c r="J723" i="12"/>
  <c r="H723" i="12"/>
  <c r="H722" i="12"/>
  <c r="J722" i="12" s="1"/>
  <c r="J683" i="12"/>
  <c r="H683" i="12"/>
  <c r="J677" i="12"/>
  <c r="H677" i="12"/>
  <c r="J676" i="12"/>
  <c r="J675" i="12"/>
  <c r="J674" i="12"/>
  <c r="J673" i="12"/>
  <c r="J672" i="12"/>
  <c r="J671" i="12"/>
  <c r="J670" i="12"/>
  <c r="J669" i="12"/>
  <c r="J667" i="12"/>
  <c r="J662" i="12"/>
  <c r="H662" i="12"/>
  <c r="J661" i="12"/>
  <c r="J660" i="12"/>
  <c r="J659" i="12"/>
  <c r="J658" i="12"/>
  <c r="J656" i="12"/>
  <c r="J657" i="12" s="1"/>
  <c r="H656" i="12"/>
  <c r="J654" i="12"/>
  <c r="H654" i="12"/>
  <c r="J650" i="12"/>
  <c r="H650" i="12"/>
  <c r="J644" i="12"/>
  <c r="H644" i="12"/>
  <c r="J640" i="12"/>
  <c r="H640" i="12"/>
  <c r="J637" i="12"/>
  <c r="H637" i="12"/>
  <c r="J632" i="12"/>
  <c r="H632" i="12"/>
  <c r="J629" i="12"/>
  <c r="H629" i="12"/>
  <c r="J626" i="12"/>
  <c r="H626" i="12"/>
  <c r="J624" i="12"/>
  <c r="H624" i="12"/>
  <c r="J622" i="12"/>
  <c r="H622" i="12"/>
  <c r="H621" i="12"/>
  <c r="J617" i="12"/>
  <c r="H617" i="12"/>
  <c r="J615" i="12"/>
  <c r="H615" i="12"/>
  <c r="J614" i="12"/>
  <c r="J613" i="12"/>
  <c r="J612" i="12"/>
  <c r="H612" i="12"/>
  <c r="J609" i="12"/>
  <c r="H609" i="12"/>
  <c r="J608" i="12"/>
  <c r="J607" i="12"/>
  <c r="J606" i="12"/>
  <c r="J605" i="12"/>
  <c r="J604" i="12"/>
  <c r="H604" i="12"/>
  <c r="J603" i="12"/>
  <c r="J602" i="12"/>
  <c r="J601" i="12"/>
  <c r="J600" i="12"/>
  <c r="J599" i="12"/>
  <c r="J598" i="12"/>
  <c r="H598" i="12"/>
  <c r="J597" i="12"/>
  <c r="J596" i="12"/>
  <c r="J595" i="12"/>
  <c r="J594" i="12"/>
  <c r="J593" i="12"/>
  <c r="J592" i="12"/>
  <c r="J591" i="12"/>
  <c r="J590" i="12"/>
  <c r="J589" i="12"/>
  <c r="H589" i="12"/>
  <c r="J588" i="12"/>
  <c r="J587" i="12"/>
  <c r="J586" i="12"/>
  <c r="J585" i="12"/>
  <c r="J584" i="12"/>
  <c r="J583" i="12"/>
  <c r="J582" i="12"/>
  <c r="J581" i="12"/>
  <c r="J580" i="12"/>
  <c r="H580" i="12"/>
  <c r="J579" i="12"/>
  <c r="J578" i="12"/>
  <c r="J577" i="12"/>
  <c r="J576" i="12"/>
  <c r="H576" i="12"/>
  <c r="J574" i="12"/>
  <c r="J573" i="12"/>
  <c r="J572" i="12"/>
  <c r="J571" i="12"/>
  <c r="J570" i="12"/>
  <c r="H570" i="12"/>
  <c r="J569" i="12"/>
  <c r="J568" i="12"/>
  <c r="J567" i="12"/>
  <c r="H567" i="12"/>
  <c r="J566" i="12"/>
  <c r="J565" i="12"/>
  <c r="J564" i="12"/>
  <c r="J563" i="12"/>
  <c r="J562" i="12"/>
  <c r="H562" i="12"/>
  <c r="J561" i="12"/>
  <c r="J560" i="12"/>
  <c r="J559" i="12"/>
  <c r="J558" i="12"/>
  <c r="J557" i="12"/>
  <c r="J556" i="12"/>
  <c r="H556" i="12"/>
  <c r="J555" i="12"/>
  <c r="J554" i="12"/>
  <c r="J553" i="12"/>
  <c r="J552" i="12"/>
  <c r="H552" i="12"/>
  <c r="J551" i="12"/>
  <c r="J550" i="12"/>
  <c r="H550" i="12"/>
  <c r="J549" i="12"/>
  <c r="J548" i="12"/>
  <c r="H548" i="12"/>
  <c r="J547" i="12"/>
  <c r="J546" i="12"/>
  <c r="J545" i="12"/>
  <c r="H545" i="12"/>
  <c r="J541" i="12"/>
  <c r="H541" i="12"/>
  <c r="J540" i="12"/>
  <c r="J538" i="12"/>
  <c r="J537" i="12"/>
  <c r="H537" i="12"/>
  <c r="J535" i="12"/>
  <c r="H535" i="12"/>
  <c r="J533" i="12"/>
  <c r="H533" i="12"/>
  <c r="J531" i="12"/>
  <c r="H531" i="12"/>
  <c r="J520" i="12"/>
  <c r="H520" i="12"/>
  <c r="J515" i="12"/>
  <c r="H515" i="12"/>
  <c r="J511" i="12"/>
  <c r="H511" i="12"/>
  <c r="J507" i="12"/>
  <c r="H507" i="12"/>
  <c r="H505" i="12"/>
  <c r="J501" i="12"/>
  <c r="H501" i="12"/>
  <c r="J500" i="12"/>
  <c r="J499" i="12"/>
  <c r="H499" i="12"/>
  <c r="J497" i="12"/>
  <c r="H497" i="12"/>
  <c r="J493" i="12"/>
  <c r="H493" i="12"/>
  <c r="J488" i="12"/>
  <c r="H488" i="12"/>
  <c r="J484" i="12"/>
  <c r="H484" i="12"/>
  <c r="J474" i="12"/>
  <c r="H474" i="12"/>
  <c r="J472" i="12"/>
  <c r="H472" i="12"/>
  <c r="J465" i="12"/>
  <c r="H465" i="12"/>
  <c r="J464" i="12"/>
  <c r="J459" i="12"/>
  <c r="H459" i="12"/>
  <c r="J451" i="12"/>
  <c r="H451" i="12"/>
  <c r="H450" i="12"/>
  <c r="J449" i="12"/>
  <c r="H449" i="12"/>
  <c r="J447" i="12"/>
  <c r="H447" i="12"/>
  <c r="J444" i="12"/>
  <c r="H444" i="12"/>
  <c r="J440" i="12"/>
  <c r="H440" i="12"/>
  <c r="H434" i="12"/>
  <c r="H433" i="12"/>
  <c r="J429" i="12"/>
  <c r="H429" i="12"/>
  <c r="J410" i="12"/>
  <c r="H410" i="12"/>
  <c r="J407" i="12"/>
  <c r="H407" i="12"/>
  <c r="J403" i="12"/>
  <c r="H403" i="12"/>
  <c r="H402" i="12"/>
  <c r="J393" i="12"/>
  <c r="H393" i="12"/>
  <c r="J390" i="12"/>
  <c r="H390" i="12"/>
  <c r="J387" i="12"/>
  <c r="H387" i="12"/>
  <c r="J385" i="12"/>
  <c r="H385" i="12"/>
  <c r="J382" i="12"/>
  <c r="H382" i="12"/>
  <c r="H380" i="12"/>
  <c r="J376" i="12"/>
  <c r="H376" i="12"/>
  <c r="J371" i="12"/>
  <c r="H371" i="12"/>
  <c r="J364" i="12"/>
  <c r="H364" i="12"/>
  <c r="J359" i="12"/>
  <c r="H359" i="12"/>
  <c r="J358" i="12"/>
  <c r="J356" i="12"/>
  <c r="H356" i="12"/>
  <c r="J355" i="12"/>
  <c r="J350" i="12"/>
  <c r="H350" i="12"/>
  <c r="J349" i="12"/>
  <c r="H346" i="12"/>
  <c r="J346" i="12" s="1"/>
  <c r="J345" i="12"/>
  <c r="H345" i="12"/>
  <c r="J342" i="12"/>
  <c r="H342" i="12"/>
  <c r="K341" i="12"/>
  <c r="J341" i="12"/>
  <c r="K340" i="12"/>
  <c r="J340" i="12"/>
  <c r="H340" i="12"/>
  <c r="H339" i="12"/>
  <c r="H338" i="12"/>
  <c r="H337" i="12"/>
  <c r="J333" i="12"/>
  <c r="H333" i="12"/>
  <c r="J329" i="12"/>
  <c r="H329" i="12"/>
  <c r="J323" i="12"/>
  <c r="H323" i="12"/>
  <c r="J320" i="12"/>
  <c r="H320" i="12"/>
  <c r="J314" i="12"/>
  <c r="H314" i="12"/>
  <c r="J311" i="12"/>
  <c r="H311" i="12"/>
  <c r="J297" i="12"/>
  <c r="H297" i="12"/>
  <c r="J294" i="12"/>
  <c r="H294" i="12"/>
  <c r="J291" i="12"/>
  <c r="H291" i="12"/>
  <c r="J290" i="12"/>
  <c r="H290" i="12"/>
  <c r="J288" i="12"/>
  <c r="J276" i="12"/>
  <c r="H276" i="12"/>
  <c r="J273" i="12"/>
  <c r="H273" i="12"/>
  <c r="J262" i="12"/>
  <c r="H262" i="12"/>
  <c r="J249" i="12"/>
  <c r="H249" i="12"/>
  <c r="J248" i="12"/>
  <c r="H248" i="12"/>
  <c r="J246" i="12"/>
  <c r="H246" i="12"/>
  <c r="J243" i="12"/>
  <c r="H243" i="12"/>
  <c r="J241" i="12"/>
  <c r="H241" i="12"/>
  <c r="J237" i="12"/>
  <c r="H237" i="12"/>
  <c r="J233" i="12"/>
  <c r="H233" i="12"/>
  <c r="J229" i="12"/>
  <c r="H229" i="12"/>
  <c r="J228" i="12"/>
  <c r="H228" i="12"/>
  <c r="J217" i="12"/>
  <c r="H217" i="12"/>
  <c r="J209" i="12"/>
  <c r="H209" i="12"/>
  <c r="J207" i="12"/>
  <c r="H207" i="12"/>
  <c r="J204" i="12"/>
  <c r="H204" i="12"/>
  <c r="J201" i="12"/>
  <c r="J199" i="12"/>
  <c r="H199" i="12"/>
  <c r="J195" i="12"/>
  <c r="H195" i="12"/>
  <c r="J193" i="12"/>
  <c r="H193" i="12"/>
  <c r="J190" i="12"/>
  <c r="H190" i="12"/>
  <c r="K187" i="12"/>
  <c r="J187" i="12"/>
  <c r="H187" i="12"/>
  <c r="J186" i="12"/>
  <c r="H186" i="12"/>
  <c r="J184" i="12"/>
  <c r="H184" i="12"/>
  <c r="J181" i="12"/>
  <c r="H181" i="12"/>
  <c r="J179" i="12"/>
  <c r="H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H148" i="12"/>
  <c r="J147" i="12"/>
  <c r="J146" i="12"/>
  <c r="H146" i="12"/>
  <c r="J143" i="12"/>
  <c r="H143" i="12"/>
  <c r="J140" i="12"/>
  <c r="H140" i="12"/>
  <c r="J139" i="12"/>
  <c r="J138" i="12"/>
  <c r="H138" i="12"/>
  <c r="J125" i="12"/>
  <c r="H125" i="12"/>
  <c r="J117" i="12"/>
  <c r="H117" i="12"/>
  <c r="J114" i="12"/>
  <c r="H114" i="12"/>
  <c r="J110" i="12"/>
  <c r="H110" i="12"/>
  <c r="J108" i="12"/>
  <c r="H108" i="12"/>
  <c r="J104" i="12"/>
  <c r="H104" i="12"/>
  <c r="J102" i="12"/>
  <c r="H102" i="12"/>
  <c r="J100" i="12"/>
  <c r="H100" i="12"/>
  <c r="J98" i="12"/>
  <c r="H98" i="12"/>
  <c r="J94" i="12"/>
  <c r="H94" i="12"/>
  <c r="J92" i="12"/>
  <c r="H92" i="12"/>
  <c r="J88" i="12"/>
  <c r="H88" i="12"/>
  <c r="J86" i="12"/>
  <c r="H86" i="12"/>
  <c r="J83" i="12"/>
  <c r="H83" i="12"/>
  <c r="J81" i="12"/>
  <c r="H81" i="12"/>
  <c r="J76" i="12"/>
  <c r="H76" i="12"/>
  <c r="J72" i="12"/>
  <c r="H72" i="12"/>
  <c r="J71" i="12"/>
  <c r="J68" i="12"/>
  <c r="H68" i="12"/>
  <c r="J66" i="12"/>
  <c r="J64" i="12"/>
  <c r="H64" i="12"/>
  <c r="J62" i="12"/>
  <c r="J59" i="12"/>
  <c r="H59" i="12"/>
  <c r="J56" i="12"/>
  <c r="H56" i="12"/>
  <c r="J43" i="12"/>
  <c r="H43" i="12"/>
  <c r="K35" i="12"/>
  <c r="J35" i="12"/>
  <c r="H35" i="12"/>
  <c r="J17" i="12"/>
  <c r="H17" i="12"/>
  <c r="J12" i="12"/>
  <c r="H12" i="12"/>
  <c r="J10" i="12"/>
  <c r="H10" i="12"/>
  <c r="J6" i="12"/>
  <c r="H6" i="12"/>
  <c r="J1894" i="12" l="1"/>
  <c r="J951" i="12"/>
  <c r="J952" i="12" l="1"/>
  <c r="J953" i="12" l="1"/>
  <c r="J954" i="12" l="1"/>
  <c r="J955" i="12" l="1"/>
  <c r="J956" i="12" l="1"/>
  <c r="J958" i="12" l="1"/>
  <c r="J957" i="12"/>
  <c r="J959" i="12" l="1"/>
  <c r="J960" i="12" l="1"/>
  <c r="I131" i="9" l="1"/>
  <c r="G131" i="9"/>
  <c r="F473" i="8" l="1"/>
  <c r="F410" i="8"/>
  <c r="F318" i="8"/>
  <c r="F126" i="8"/>
  <c r="H61" i="8" l="1"/>
  <c r="H55" i="8"/>
  <c r="F508" i="8"/>
  <c r="H523" i="8"/>
  <c r="F525" i="8"/>
  <c r="F523" i="8"/>
  <c r="F628" i="8"/>
  <c r="F474" i="8" l="1"/>
  <c r="F124" i="8" l="1"/>
  <c r="F78" i="8"/>
  <c r="F44" i="8"/>
  <c r="F667" i="8"/>
  <c r="F666" i="8"/>
  <c r="F322" i="8"/>
  <c r="F294" i="8"/>
  <c r="G143" i="9"/>
  <c r="G67" i="9"/>
  <c r="G50" i="9"/>
  <c r="G31" i="9"/>
  <c r="G23" i="9"/>
  <c r="G223" i="9" l="1"/>
  <c r="F62" i="8" l="1"/>
  <c r="G9" i="9" l="1"/>
  <c r="F658" i="8" l="1"/>
  <c r="F657" i="8"/>
  <c r="H677" i="11"/>
  <c r="H678" i="11"/>
  <c r="F86" i="8" l="1"/>
  <c r="H654" i="11" l="1"/>
  <c r="H653" i="11"/>
  <c r="G197" i="9" l="1"/>
  <c r="F597" i="8" l="1"/>
  <c r="G108" i="9" l="1"/>
  <c r="F656" i="8"/>
  <c r="F88" i="8" l="1"/>
  <c r="G168" i="9" l="1"/>
  <c r="F1526" i="10" l="1"/>
  <c r="F491" i="8" l="1"/>
  <c r="F55" i="8"/>
  <c r="F61" i="8"/>
  <c r="G179" i="9" l="1"/>
  <c r="F594" i="8" l="1"/>
  <c r="F337" i="8" l="1"/>
  <c r="F197" i="8" l="1"/>
  <c r="G122" i="9"/>
  <c r="G112" i="9" l="1"/>
  <c r="F324" i="8" l="1"/>
  <c r="G8" i="9" l="1"/>
  <c r="H665" i="11"/>
  <c r="G186" i="9" l="1"/>
  <c r="G185" i="9"/>
  <c r="G137" i="9" l="1"/>
  <c r="F509" i="8" l="1"/>
  <c r="F547" i="8"/>
  <c r="F15" i="8"/>
  <c r="F306" i="8"/>
  <c r="G81" i="9" l="1"/>
  <c r="F42" i="8" l="1"/>
  <c r="F531" i="8"/>
  <c r="I54" i="9" l="1"/>
  <c r="F81" i="8" l="1"/>
  <c r="F101" i="8"/>
  <c r="F100" i="8"/>
  <c r="G53" i="9" l="1"/>
  <c r="I53" i="9" s="1"/>
  <c r="F455" i="8" l="1"/>
  <c r="F356" i="8" l="1"/>
  <c r="F259" i="8"/>
  <c r="F245" i="8"/>
  <c r="F229" i="8"/>
  <c r="F45" i="8"/>
  <c r="F295" i="8" l="1"/>
  <c r="G57" i="9" l="1"/>
  <c r="F106" i="8" l="1"/>
  <c r="F58" i="8" l="1"/>
  <c r="F107" i="8" l="1"/>
  <c r="F312" i="8" l="1"/>
  <c r="F20" i="8"/>
  <c r="F327" i="8" l="1"/>
  <c r="F27" i="8" l="1"/>
  <c r="F65" i="8" l="1"/>
  <c r="G71" i="9" l="1"/>
  <c r="F23" i="8" l="1"/>
  <c r="F359" i="8" l="1"/>
  <c r="F342" i="8" l="1"/>
  <c r="G70" i="9" l="1"/>
  <c r="G39" i="10"/>
  <c r="G49" i="9" l="1"/>
  <c r="G48" i="9"/>
  <c r="G47" i="9"/>
  <c r="F184" i="8"/>
  <c r="G215" i="9" l="1"/>
  <c r="G12" i="9" l="1"/>
  <c r="F330" i="8" l="1"/>
  <c r="F375" i="8" l="1"/>
  <c r="F376" i="8" l="1"/>
  <c r="G141" i="9" l="1"/>
  <c r="G175" i="9" l="1"/>
  <c r="G115" i="9" l="1"/>
  <c r="G145" i="9" l="1"/>
  <c r="G72" i="9" l="1"/>
  <c r="G191" i="9" l="1"/>
  <c r="F344" i="8" l="1"/>
  <c r="G34" i="9" l="1"/>
  <c r="G166" i="9" l="1"/>
  <c r="G187" i="9" l="1"/>
  <c r="G73" i="9"/>
  <c r="G209" i="9" l="1"/>
  <c r="F534" i="8"/>
  <c r="G45" i="9" l="1"/>
  <c r="G129" i="9" l="1"/>
  <c r="G130" i="9"/>
  <c r="G38" i="9" l="1"/>
  <c r="G37" i="9"/>
  <c r="G219" i="9" l="1"/>
  <c r="F543" i="8" l="1"/>
  <c r="F194" i="8"/>
  <c r="F159" i="8"/>
  <c r="F157" i="8"/>
  <c r="G146" i="9" l="1"/>
  <c r="G85" i="9" l="1"/>
  <c r="G106" i="9" l="1"/>
  <c r="G104" i="9"/>
  <c r="G135" i="9" l="1"/>
  <c r="G103" i="9" l="1"/>
  <c r="G25" i="9" l="1"/>
  <c r="G27" i="9" l="1"/>
  <c r="G61" i="9" l="1"/>
  <c r="G125" i="9" l="1"/>
  <c r="I125" i="9" l="1"/>
  <c r="I152" i="9"/>
  <c r="G117" i="9" l="1"/>
  <c r="G196" i="9" l="1"/>
</calcChain>
</file>

<file path=xl/sharedStrings.xml><?xml version="1.0" encoding="utf-8"?>
<sst xmlns="http://schemas.openxmlformats.org/spreadsheetml/2006/main" count="27114" uniqueCount="14855">
  <si>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</si>
  <si>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</si>
  <si>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</si>
  <si>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</si>
  <si>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</si>
  <si>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</si>
  <si>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</si>
  <si>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</si>
  <si>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</si>
  <si>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</si>
  <si>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</si>
  <si>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</si>
  <si>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</si>
  <si>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</si>
  <si>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</si>
  <si>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</si>
  <si>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</si>
  <si>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</si>
  <si>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</si>
  <si>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</si>
  <si>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</si>
  <si>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</si>
  <si>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</si>
  <si>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</si>
  <si>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</si>
  <si>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</si>
  <si>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</si>
  <si>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</si>
  <si>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</si>
  <si>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</si>
  <si>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</si>
  <si>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</si>
  <si>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</si>
  <si>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</si>
  <si>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</si>
  <si>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</si>
  <si>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</si>
  <si>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</si>
  <si>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</si>
  <si>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</si>
  <si>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</si>
  <si>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</si>
  <si>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</si>
  <si>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</si>
  <si>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</si>
  <si>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</si>
  <si>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</si>
  <si>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</si>
  <si>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</si>
  <si>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</si>
  <si>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</si>
  <si>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</si>
  <si>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</si>
  <si>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</si>
  <si>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</si>
  <si>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</si>
  <si>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</si>
  <si>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</si>
  <si>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</si>
  <si>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</si>
  <si>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</si>
  <si>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</si>
  <si>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</si>
  <si>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</si>
  <si>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</si>
  <si>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</si>
  <si>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</si>
  <si>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</si>
  <si>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</si>
  <si>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</si>
  <si>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</si>
  <si>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</si>
  <si>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</si>
  <si>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</si>
  <si>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</si>
  <si>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</si>
  <si>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</si>
  <si>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</si>
  <si>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</si>
  <si>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</si>
  <si>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</si>
  <si>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</si>
  <si>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</si>
  <si>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</si>
  <si>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</si>
  <si>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</si>
  <si>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</si>
  <si>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</si>
  <si>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</si>
  <si>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</si>
  <si>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</si>
  <si>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</si>
  <si>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</si>
  <si>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</si>
  <si>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</si>
  <si>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</si>
  <si>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</si>
  <si>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</si>
  <si>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</si>
  <si>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</si>
  <si>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</si>
  <si>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</si>
  <si>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</si>
  <si>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</si>
  <si>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</si>
  <si>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42:12:0105002:2071</t>
  </si>
  <si>
    <t>42:12:0105002:2076</t>
  </si>
  <si>
    <t>2-х квартирный, дерево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</si>
  <si>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</si>
  <si>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</si>
  <si>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</si>
  <si>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</si>
  <si>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</si>
  <si>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</si>
  <si>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</si>
  <si>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</si>
  <si>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</si>
  <si>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</si>
  <si>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</si>
  <si>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</si>
  <si>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</si>
  <si>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</si>
  <si>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</si>
  <si>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</si>
  <si>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</si>
  <si>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</si>
  <si>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</si>
  <si>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</si>
  <si>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</si>
  <si>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</si>
  <si>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</si>
  <si>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</si>
  <si>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</si>
  <si>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</si>
  <si>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</si>
  <si>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</si>
  <si>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</si>
  <si>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</si>
  <si>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</si>
  <si>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</si>
  <si>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</si>
  <si>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</si>
  <si>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</si>
  <si>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</si>
  <si>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</si>
  <si>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</si>
  <si>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</si>
  <si>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</si>
  <si>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</si>
  <si>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</si>
  <si>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</si>
  <si>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</si>
  <si>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</si>
  <si>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</si>
  <si>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</si>
  <si>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</si>
  <si>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</si>
  <si>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</si>
  <si>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</si>
  <si>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</si>
  <si>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</si>
  <si>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</si>
  <si>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</si>
  <si>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</si>
  <si>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</si>
  <si>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</si>
  <si>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</si>
  <si>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</si>
  <si>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</si>
  <si>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</si>
  <si>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</si>
  <si>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</si>
  <si>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</si>
  <si>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</si>
  <si>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</si>
  <si>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</si>
  <si>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</si>
  <si>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</si>
  <si>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</si>
  <si>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</si>
  <si>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</si>
  <si>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</si>
  <si>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</si>
  <si>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</si>
  <si>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</si>
  <si>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</si>
  <si>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</si>
  <si>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</si>
  <si>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</si>
  <si>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</si>
  <si>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</si>
  <si>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</si>
  <si>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</si>
  <si>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</si>
  <si>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</si>
  <si>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</si>
  <si>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</si>
  <si>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</si>
  <si>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</si>
  <si>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</si>
  <si>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</si>
  <si>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</si>
  <si>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</si>
  <si>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</si>
  <si>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</si>
  <si>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</si>
  <si>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</si>
  <si>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</si>
  <si>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</si>
  <si>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</si>
  <si>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</si>
  <si>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</si>
  <si>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</si>
  <si>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</si>
  <si>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</si>
  <si>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</si>
  <si>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</si>
  <si>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</si>
  <si>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</si>
  <si>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</si>
  <si>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</si>
  <si>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</si>
  <si>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</si>
  <si>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42:34:0110009:167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</si>
  <si>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</si>
  <si>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</si>
  <si>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</si>
  <si>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</si>
  <si>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</si>
  <si>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</si>
  <si>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</si>
  <si>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</si>
  <si>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42:34:0112008:189</t>
  </si>
  <si>
    <t>42:34:0112008:190</t>
  </si>
  <si>
    <t>42:34:0101020:67</t>
  </si>
  <si>
    <t>42:34:0101020:66</t>
  </si>
  <si>
    <t>11А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</si>
  <si>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</si>
  <si>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</si>
  <si>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</si>
  <si>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</si>
  <si>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</si>
  <si>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</si>
  <si>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42:34:0112005:276</t>
  </si>
  <si>
    <t>42:34:0112006:68</t>
  </si>
  <si>
    <t>42:34:0112006:69</t>
  </si>
  <si>
    <t>42:34:0112005:277</t>
  </si>
  <si>
    <t>42:34:0112006:62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</si>
  <si>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</si>
  <si>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</si>
  <si>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</si>
  <si>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</si>
  <si>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</si>
  <si>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</si>
  <si>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</si>
  <si>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</si>
  <si>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</si>
  <si>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</si>
  <si>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</si>
  <si>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</si>
  <si>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</si>
  <si>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</si>
  <si>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</si>
  <si>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</si>
  <si>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</si>
  <si>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</si>
  <si>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</si>
  <si>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</si>
  <si>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</si>
  <si>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</si>
  <si>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</si>
  <si>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</si>
  <si>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</si>
  <si>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</si>
  <si>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</si>
  <si>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</si>
  <si>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</si>
  <si>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</si>
  <si>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</si>
  <si>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</si>
  <si>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</si>
  <si>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</si>
  <si>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</si>
  <si>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</si>
  <si>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</si>
  <si>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</si>
  <si>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</si>
  <si>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</si>
  <si>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</si>
  <si>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</si>
  <si>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</si>
  <si>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</si>
  <si>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</si>
  <si>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</si>
  <si>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</si>
  <si>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</si>
  <si>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</si>
  <si>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</si>
  <si>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</si>
  <si>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</si>
  <si>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</si>
  <si>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</si>
  <si>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</si>
  <si>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1.4.</t>
  </si>
  <si>
    <t>1.1.1</t>
  </si>
  <si>
    <t>42:34:0106004:442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</si>
  <si>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</si>
  <si>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</si>
  <si>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</si>
  <si>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</si>
  <si>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</si>
  <si>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</si>
  <si>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</si>
  <si>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42:12:0104001:1277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</si>
  <si>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</si>
  <si>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</si>
  <si>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</si>
  <si>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</si>
  <si>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</si>
  <si>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</si>
  <si>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</si>
  <si>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</si>
  <si>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</si>
  <si>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</si>
  <si>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</si>
  <si>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</si>
  <si>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</si>
  <si>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</si>
  <si>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</si>
  <si>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</si>
  <si>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</si>
  <si>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</si>
  <si>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</si>
  <si>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</si>
  <si>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</si>
  <si>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</si>
  <si>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</si>
  <si>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</si>
  <si>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</si>
  <si>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</si>
  <si>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</si>
  <si>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</si>
  <si>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</si>
  <si>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</si>
  <si>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</si>
  <si>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</si>
  <si>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</si>
  <si>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</si>
  <si>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</si>
  <si>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</si>
  <si>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</si>
  <si>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</si>
  <si>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</si>
  <si>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</si>
  <si>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</si>
  <si>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</si>
  <si>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</si>
  <si>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</si>
  <si>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</si>
  <si>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</si>
  <si>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</si>
  <si>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</si>
  <si>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</si>
  <si>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</si>
  <si>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</si>
  <si>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</si>
  <si>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</si>
  <si>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</si>
  <si>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</si>
  <si>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</si>
  <si>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</si>
  <si>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</si>
  <si>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</si>
  <si>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</si>
  <si>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</si>
  <si>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</si>
  <si>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</si>
  <si>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</si>
  <si>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</si>
  <si>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</si>
  <si>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</si>
  <si>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</si>
  <si>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</si>
  <si>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</si>
  <si>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</si>
  <si>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</si>
  <si>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</si>
  <si>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</si>
  <si>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</si>
  <si>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</si>
  <si>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</si>
  <si>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</si>
  <si>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</si>
  <si>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</si>
  <si>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</si>
  <si>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</si>
  <si>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</si>
  <si>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</si>
  <si>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</si>
  <si>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</si>
  <si>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</si>
  <si>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</si>
  <si>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</si>
  <si>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</si>
  <si>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</si>
  <si>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</si>
  <si>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</si>
  <si>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</si>
  <si>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</si>
  <si>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</si>
  <si>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</si>
  <si>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</si>
  <si>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</si>
  <si>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</si>
  <si>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</si>
  <si>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</si>
  <si>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</si>
  <si>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</si>
  <si>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</si>
  <si>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</si>
  <si>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</si>
  <si>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</si>
  <si>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</si>
  <si>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</si>
  <si>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</si>
  <si>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</si>
  <si>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</si>
  <si>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</si>
  <si>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</si>
  <si>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</si>
  <si>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</si>
  <si>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</si>
  <si>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</si>
  <si>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35-А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</si>
  <si>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</si>
  <si>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</si>
  <si>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</si>
  <si>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</si>
  <si>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</si>
  <si>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</si>
  <si>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</si>
  <si>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</si>
  <si>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</si>
  <si>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</si>
  <si>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</si>
  <si>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</si>
  <si>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</si>
  <si>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</si>
  <si>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</si>
  <si>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</si>
  <si>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</si>
  <si>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22-А</t>
  </si>
  <si>
    <t>42:12:0102003:320</t>
  </si>
  <si>
    <t>42:12:0102003:333</t>
  </si>
  <si>
    <t>42:12:0102003:796</t>
  </si>
  <si>
    <t>37-А</t>
  </si>
  <si>
    <t>42:12:0102002:763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</si>
  <si>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</si>
  <si>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</si>
  <si>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</si>
  <si>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</si>
  <si>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</si>
  <si>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</si>
  <si>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</si>
  <si>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</si>
  <si>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</si>
  <si>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</si>
  <si>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</si>
  <si>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</si>
  <si>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42:12:0102002:720</t>
  </si>
  <si>
    <t>42:12:0102005:653</t>
  </si>
  <si>
    <t>42:12:0102005:735</t>
  </si>
  <si>
    <t>42:12:0102005:349</t>
  </si>
  <si>
    <t>42:12:0102005:537</t>
  </si>
  <si>
    <t>Отдельно стоящее нежилое здание (баня)</t>
  </si>
  <si>
    <t>Отдельно стоящее нежилое здание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</si>
  <si>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</si>
  <si>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</si>
  <si>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</si>
  <si>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</si>
  <si>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</si>
  <si>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</si>
  <si>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</si>
  <si>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</si>
  <si>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</si>
  <si>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</si>
  <si>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</si>
  <si>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</si>
  <si>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</si>
  <si>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</si>
  <si>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</si>
  <si>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</si>
  <si>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</si>
  <si>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</si>
  <si>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</si>
  <si>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</si>
  <si>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</si>
  <si>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</si>
  <si>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</si>
  <si>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</si>
  <si>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</si>
  <si>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</si>
  <si>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</si>
  <si>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</si>
  <si>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</si>
  <si>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</si>
  <si>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</si>
  <si>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</si>
  <si>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</si>
  <si>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</si>
  <si>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</si>
  <si>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</si>
  <si>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</si>
  <si>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</si>
  <si>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</si>
  <si>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</si>
  <si>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</si>
  <si>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</si>
  <si>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</si>
  <si>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</si>
  <si>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</si>
  <si>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</si>
  <si>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</si>
  <si>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</si>
  <si>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</si>
  <si>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</si>
  <si>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</si>
  <si>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</si>
  <si>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</si>
  <si>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</si>
  <si>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</si>
  <si>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</si>
  <si>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</si>
  <si>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</si>
  <si>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</si>
  <si>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</si>
  <si>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</si>
  <si>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</si>
  <si>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</si>
  <si>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</si>
  <si>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</si>
  <si>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</si>
  <si>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</si>
  <si>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</si>
  <si>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</si>
  <si>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</si>
  <si>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</si>
  <si>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</si>
  <si>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</si>
  <si>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</si>
  <si>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</si>
  <si>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</si>
  <si>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</si>
  <si>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</si>
  <si>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</si>
  <si>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</si>
  <si>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</si>
  <si>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</si>
  <si>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</si>
  <si>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</si>
  <si>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</si>
  <si>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</si>
  <si>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</si>
  <si>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</si>
  <si>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</si>
  <si>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</si>
  <si>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</si>
  <si>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</si>
  <si>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</si>
  <si>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</si>
  <si>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</si>
  <si>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</si>
  <si>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</si>
  <si>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</si>
  <si>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</si>
  <si>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</si>
  <si>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</si>
  <si>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</si>
  <si>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</si>
  <si>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</si>
  <si>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</si>
  <si>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</si>
  <si>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</si>
  <si>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</si>
  <si>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</si>
  <si>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</si>
  <si>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</si>
  <si>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</si>
  <si>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</si>
  <si>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</si>
  <si>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</si>
  <si>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</si>
  <si>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</si>
  <si>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</si>
  <si>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</si>
  <si>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</si>
  <si>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</si>
  <si>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</si>
  <si>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</si>
  <si>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</si>
  <si>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</si>
  <si>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</si>
  <si>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</si>
  <si>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</si>
  <si>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</si>
  <si>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</si>
  <si>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</si>
  <si>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</si>
  <si>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</si>
  <si>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</si>
  <si>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</si>
  <si>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</si>
  <si>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</si>
  <si>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</si>
  <si>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</si>
  <si>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</si>
  <si>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</si>
  <si>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</si>
  <si>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</si>
  <si>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</si>
  <si>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</si>
  <si>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</si>
  <si>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</si>
  <si>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</si>
  <si>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</si>
  <si>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</si>
  <si>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</si>
  <si>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</si>
  <si>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</si>
  <si>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</si>
  <si>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</si>
  <si>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</si>
  <si>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</si>
  <si>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</si>
  <si>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</si>
  <si>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</si>
  <si>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</si>
  <si>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</si>
  <si>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</si>
  <si>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</si>
  <si>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</si>
  <si>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</si>
  <si>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</si>
  <si>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</si>
  <si>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</si>
  <si>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</si>
  <si>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1.1.55.</t>
  </si>
  <si>
    <t>1.1.56.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</si>
  <si>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</si>
  <si>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</si>
  <si>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</si>
  <si>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</si>
  <si>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</si>
  <si>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</si>
  <si>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</si>
  <si>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</si>
  <si>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</si>
  <si>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</si>
  <si>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</si>
  <si>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</si>
  <si>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</si>
  <si>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</si>
  <si>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</si>
  <si>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</si>
  <si>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</si>
  <si>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</si>
  <si>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</si>
  <si>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</si>
  <si>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</si>
  <si>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</si>
  <si>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</si>
  <si>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</si>
  <si>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</si>
  <si>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</si>
  <si>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</si>
  <si>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</si>
  <si>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</si>
  <si>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</si>
  <si>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</si>
  <si>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</si>
  <si>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</si>
  <si>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</si>
  <si>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</si>
  <si>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</si>
  <si>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</si>
  <si>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</si>
  <si>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</si>
  <si>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</si>
  <si>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</si>
  <si>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</si>
  <si>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</si>
  <si>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</si>
  <si>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</si>
  <si>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</si>
  <si>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</si>
  <si>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</si>
  <si>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</si>
  <si>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</si>
  <si>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</si>
  <si>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</si>
  <si>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</si>
  <si>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</si>
  <si>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</si>
  <si>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</si>
  <si>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</si>
  <si>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</si>
  <si>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</si>
  <si>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</si>
  <si>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</si>
  <si>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</si>
  <si>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</si>
  <si>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</si>
  <si>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</si>
  <si>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</si>
  <si>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</si>
  <si>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</si>
  <si>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</si>
  <si>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</si>
  <si>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</si>
  <si>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</si>
  <si>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</si>
  <si>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</si>
  <si>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</si>
  <si>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</si>
  <si>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</si>
  <si>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</si>
  <si>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</si>
  <si>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</si>
  <si>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</si>
  <si>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</si>
  <si>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</si>
  <si>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</si>
  <si>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</si>
  <si>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</si>
  <si>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</si>
  <si>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</si>
  <si>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</si>
  <si>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</si>
  <si>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</si>
  <si>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</si>
  <si>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</si>
  <si>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</si>
  <si>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</si>
  <si>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</si>
  <si>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</si>
  <si>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</si>
  <si>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</si>
  <si>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</si>
  <si>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</si>
  <si>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</si>
  <si>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</si>
  <si>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</si>
  <si>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</si>
  <si>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</si>
  <si>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</si>
  <si>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</si>
  <si>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</si>
  <si>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</si>
  <si>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</si>
  <si>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</si>
  <si>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</si>
  <si>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</si>
  <si>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</si>
  <si>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</si>
  <si>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</si>
  <si>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</si>
  <si>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</si>
  <si>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</si>
  <si>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</si>
  <si>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</si>
  <si>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</si>
  <si>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</si>
  <si>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</si>
  <si>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</si>
  <si>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</si>
  <si>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</si>
  <si>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</si>
  <si>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</si>
  <si>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</si>
  <si>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</si>
  <si>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</si>
  <si>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</si>
  <si>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</si>
  <si>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</si>
  <si>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</si>
  <si>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</si>
  <si>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</si>
  <si>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</si>
  <si>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</si>
  <si>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</si>
  <si>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</si>
  <si>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</si>
  <si>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</si>
  <si>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</si>
  <si>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</si>
  <si>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</si>
  <si>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</si>
  <si>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</si>
  <si>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</si>
  <si>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</si>
  <si>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</si>
  <si>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</si>
  <si>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</si>
  <si>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</si>
  <si>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</si>
  <si>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</si>
  <si>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</si>
  <si>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</si>
  <si>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</si>
  <si>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</si>
  <si>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</si>
  <si>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</si>
  <si>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</si>
  <si>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</si>
  <si>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</si>
  <si>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</si>
  <si>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</si>
  <si>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</si>
  <si>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</si>
  <si>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</si>
  <si>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</si>
  <si>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</si>
  <si>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</si>
  <si>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</si>
  <si>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</si>
  <si>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</si>
  <si>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</si>
  <si>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</si>
  <si>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</si>
  <si>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1.1.189.2</t>
  </si>
  <si>
    <t>1.1.189.4</t>
  </si>
  <si>
    <t>1.1.190.2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</si>
  <si>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</si>
  <si>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</si>
  <si>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</si>
  <si>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</si>
  <si>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</si>
  <si>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</si>
  <si>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</si>
  <si>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</si>
  <si>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</si>
  <si>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</si>
  <si>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</si>
  <si>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</si>
  <si>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</si>
  <si>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</si>
  <si>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</si>
  <si>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</si>
  <si>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</si>
  <si>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</si>
  <si>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</si>
  <si>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</si>
  <si>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</si>
  <si>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</si>
  <si>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</si>
  <si>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</si>
  <si>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</si>
  <si>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</si>
  <si>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</si>
  <si>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</si>
  <si>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</si>
  <si>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</si>
  <si>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</si>
  <si>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</si>
  <si>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</si>
  <si>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</si>
  <si>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</si>
  <si>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</si>
  <si>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</si>
  <si>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</si>
  <si>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</si>
  <si>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</si>
  <si>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</si>
  <si>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</si>
  <si>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</si>
  <si>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</si>
  <si>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</si>
  <si>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</si>
  <si>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</si>
  <si>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</si>
  <si>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</si>
  <si>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</si>
  <si>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</si>
  <si>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</si>
  <si>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</si>
  <si>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</si>
  <si>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</si>
  <si>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</si>
  <si>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</si>
  <si>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</si>
  <si>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</si>
  <si>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</si>
  <si>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</si>
  <si>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</si>
  <si>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</si>
  <si>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</si>
  <si>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</si>
  <si>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</si>
  <si>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</si>
  <si>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</si>
  <si>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</si>
  <si>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</si>
  <si>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</si>
  <si>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</si>
  <si>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</si>
  <si>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</si>
  <si>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</si>
  <si>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</si>
  <si>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</si>
  <si>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</si>
  <si>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</si>
  <si>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</si>
  <si>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</si>
  <si>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1.1.269.</t>
  </si>
  <si>
    <t>1.1.269.1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</si>
  <si>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</si>
  <si>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</si>
  <si>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</si>
  <si>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</si>
  <si>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</si>
  <si>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</si>
  <si>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</si>
  <si>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</si>
  <si>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</si>
  <si>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</si>
  <si>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</si>
  <si>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</si>
  <si>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</si>
  <si>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</si>
  <si>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</si>
  <si>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</si>
  <si>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</si>
  <si>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</si>
  <si>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</si>
  <si>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</si>
  <si>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</si>
  <si>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</si>
  <si>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</si>
  <si>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</si>
  <si>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</si>
  <si>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</si>
  <si>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</si>
  <si>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</si>
  <si>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</si>
  <si>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</si>
  <si>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</si>
  <si>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</si>
  <si>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</si>
  <si>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</si>
  <si>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</si>
  <si>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1.1.278.5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</si>
  <si>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</si>
  <si>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</si>
  <si>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</si>
  <si>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</si>
  <si>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</si>
  <si>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</si>
  <si>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</si>
  <si>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</si>
  <si>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</si>
  <si>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</si>
  <si>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1.1.287.</t>
  </si>
  <si>
    <t>1.1.287.1</t>
  </si>
  <si>
    <t>1.1.287.2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</si>
  <si>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</si>
  <si>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</si>
  <si>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</si>
  <si>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</si>
  <si>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</si>
  <si>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</si>
  <si>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</si>
  <si>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</si>
  <si>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</si>
  <si>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</si>
  <si>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</si>
  <si>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</si>
  <si>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</si>
  <si>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</si>
  <si>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</si>
  <si>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</si>
  <si>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</si>
  <si>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</si>
  <si>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</si>
  <si>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</si>
  <si>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</si>
  <si>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</si>
  <si>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</si>
  <si>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</si>
  <si>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</si>
  <si>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</si>
  <si>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</si>
  <si>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</si>
  <si>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</si>
  <si>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</si>
  <si>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</si>
  <si>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</si>
  <si>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</si>
  <si>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</si>
  <si>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</si>
  <si>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</si>
  <si>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</si>
  <si>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</si>
  <si>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</si>
  <si>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</si>
  <si>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</si>
  <si>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</si>
  <si>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</si>
  <si>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</si>
  <si>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</si>
  <si>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</si>
  <si>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</si>
  <si>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</si>
  <si>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</si>
  <si>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</si>
  <si>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</si>
  <si>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</si>
  <si>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</si>
  <si>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</si>
  <si>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</si>
  <si>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</si>
  <si>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</si>
  <si>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</si>
  <si>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</si>
  <si>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</si>
  <si>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</si>
  <si>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</si>
  <si>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</si>
  <si>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</si>
  <si>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</si>
  <si>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</si>
  <si>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</si>
  <si>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</si>
  <si>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</si>
  <si>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</si>
  <si>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</si>
  <si>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</si>
  <si>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</si>
  <si>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</si>
  <si>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</si>
  <si>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</si>
  <si>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</si>
  <si>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</si>
  <si>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</si>
  <si>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</si>
  <si>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</si>
  <si>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</si>
  <si>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</si>
  <si>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</si>
  <si>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</si>
  <si>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</si>
  <si>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</si>
  <si>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</si>
  <si>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</si>
  <si>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</si>
  <si>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</si>
  <si>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1.1.420.2</t>
  </si>
  <si>
    <t>1.1.421.</t>
  </si>
  <si>
    <t>1.1.421.2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</si>
  <si>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</si>
  <si>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</si>
  <si>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</si>
  <si>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</si>
  <si>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</si>
  <si>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</si>
  <si>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</si>
  <si>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</si>
  <si>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</si>
  <si>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</si>
  <si>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</si>
  <si>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</si>
  <si>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</si>
  <si>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</si>
  <si>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</si>
  <si>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</si>
  <si>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</si>
  <si>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</si>
  <si>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</si>
  <si>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</si>
  <si>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</si>
  <si>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</si>
  <si>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</si>
  <si>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</si>
  <si>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</si>
  <si>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</si>
  <si>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</si>
  <si>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</si>
  <si>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</si>
  <si>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</si>
  <si>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</si>
  <si>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</si>
  <si>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</si>
  <si>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</si>
  <si>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</si>
  <si>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</si>
  <si>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</si>
  <si>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</si>
  <si>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</si>
  <si>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</si>
  <si>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</si>
  <si>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</si>
  <si>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</si>
  <si>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</si>
  <si>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</si>
  <si>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</si>
  <si>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</si>
  <si>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</si>
  <si>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</si>
  <si>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</si>
  <si>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</si>
  <si>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</si>
  <si>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</si>
  <si>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</si>
  <si>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</si>
  <si>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</si>
  <si>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</si>
  <si>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</si>
  <si>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</si>
  <si>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</si>
  <si>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</si>
  <si>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</si>
  <si>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</si>
  <si>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</si>
  <si>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</si>
  <si>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</si>
  <si>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</si>
  <si>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</si>
  <si>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</si>
  <si>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</si>
  <si>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</si>
  <si>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</si>
  <si>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</si>
  <si>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</si>
  <si>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</si>
  <si>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</si>
  <si>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</si>
  <si>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</si>
  <si>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</si>
  <si>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</si>
  <si>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</si>
  <si>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</si>
  <si>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</si>
  <si>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</si>
  <si>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</si>
  <si>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</si>
  <si>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</si>
  <si>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</si>
  <si>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</si>
  <si>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</si>
  <si>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</si>
  <si>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</si>
  <si>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</si>
  <si>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</si>
  <si>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</si>
  <si>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</si>
  <si>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</si>
  <si>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</si>
  <si>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</si>
  <si>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</si>
  <si>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</si>
  <si>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</si>
  <si>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</si>
  <si>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</si>
  <si>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</si>
  <si>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1.1.545.3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</si>
  <si>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</si>
  <si>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</si>
  <si>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</si>
  <si>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</si>
  <si>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</si>
  <si>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</si>
  <si>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</si>
  <si>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</si>
  <si>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</si>
  <si>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</si>
  <si>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</si>
  <si>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</si>
  <si>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</si>
  <si>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</si>
  <si>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</si>
  <si>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</si>
  <si>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</si>
  <si>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</si>
  <si>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</si>
  <si>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</si>
  <si>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</si>
  <si>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</si>
  <si>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</si>
  <si>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</si>
  <si>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</si>
  <si>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</si>
  <si>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</si>
  <si>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</si>
  <si>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</si>
  <si>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</si>
  <si>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</si>
  <si>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</si>
  <si>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</si>
  <si>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</si>
  <si>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</si>
  <si>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</si>
  <si>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</si>
  <si>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</si>
  <si>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</si>
  <si>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</si>
  <si>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</si>
  <si>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</si>
  <si>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</si>
  <si>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</si>
  <si>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</si>
  <si>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</si>
  <si>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</si>
  <si>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1.1.585.</t>
  </si>
  <si>
    <t>1.1.585.1</t>
  </si>
  <si>
    <t>1.1.587.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</si>
  <si>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</si>
  <si>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</si>
  <si>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</si>
  <si>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</si>
  <si>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</si>
  <si>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</si>
  <si>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</si>
  <si>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</si>
  <si>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</si>
  <si>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</si>
  <si>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</si>
  <si>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</si>
  <si>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</si>
  <si>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</si>
  <si>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</si>
  <si>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</si>
  <si>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</si>
  <si>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</si>
  <si>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</si>
  <si>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</si>
  <si>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</si>
  <si>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</si>
  <si>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</si>
  <si>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</si>
  <si>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</si>
  <si>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</si>
  <si>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</si>
  <si>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</si>
  <si>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</si>
  <si>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</si>
  <si>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</si>
  <si>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</si>
  <si>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</si>
  <si>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</si>
  <si>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</si>
  <si>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</si>
  <si>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</si>
  <si>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</si>
  <si>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</si>
  <si>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</si>
  <si>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</si>
  <si>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</si>
  <si>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</si>
  <si>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</si>
  <si>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</si>
  <si>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</si>
  <si>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</si>
  <si>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</si>
  <si>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</si>
  <si>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</si>
  <si>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</si>
  <si>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</si>
  <si>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</si>
  <si>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</si>
  <si>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</si>
  <si>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</si>
  <si>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</si>
  <si>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</si>
  <si>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</si>
  <si>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1.1.719.1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</si>
  <si>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</si>
  <si>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</si>
  <si>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</si>
  <si>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</si>
  <si>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</si>
  <si>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</si>
  <si>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</si>
  <si>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</si>
  <si>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</si>
  <si>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</si>
  <si>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1.1.739.</t>
  </si>
  <si>
    <t>1.1.742.</t>
  </si>
  <si>
    <t>1.1.743.</t>
  </si>
  <si>
    <t>1.1.744.</t>
  </si>
  <si>
    <t>1.1.745.</t>
  </si>
  <si>
    <t>1.1.746.</t>
  </si>
  <si>
    <t>1.1.749.</t>
  </si>
  <si>
    <t>1.1.750.</t>
  </si>
  <si>
    <t>1.1.752.</t>
  </si>
  <si>
    <t>1.1.753.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</si>
  <si>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</si>
  <si>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</si>
  <si>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</si>
  <si>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</si>
  <si>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</si>
  <si>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</si>
  <si>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</si>
  <si>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</si>
  <si>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</si>
  <si>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</si>
  <si>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</si>
  <si>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</si>
  <si>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</si>
  <si>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</si>
  <si>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</si>
  <si>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</si>
  <si>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</si>
  <si>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</si>
  <si>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</si>
  <si>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</si>
  <si>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</si>
  <si>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1.1.787.</t>
  </si>
  <si>
    <t>1.1.790.2</t>
  </si>
  <si>
    <t>1.1.790.5</t>
  </si>
  <si>
    <t>1.1.790.6</t>
  </si>
  <si>
    <t>1.1.790.14</t>
  </si>
  <si>
    <t>1.1.790.15</t>
  </si>
  <si>
    <t>1.1.790.16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</si>
  <si>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</si>
  <si>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</si>
  <si>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</si>
  <si>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</si>
  <si>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</si>
  <si>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</si>
  <si>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</si>
  <si>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</si>
  <si>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</si>
  <si>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</si>
  <si>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</si>
  <si>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</si>
  <si>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</si>
  <si>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</si>
  <si>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</si>
  <si>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</si>
  <si>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</si>
  <si>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</si>
  <si>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</si>
  <si>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</si>
  <si>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</si>
  <si>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</si>
  <si>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</si>
  <si>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</si>
  <si>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</si>
  <si>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</si>
  <si>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</si>
  <si>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</si>
  <si>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</si>
  <si>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</si>
  <si>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</si>
  <si>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</si>
  <si>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</si>
  <si>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</si>
  <si>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</si>
  <si>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</si>
  <si>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</si>
  <si>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</si>
  <si>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</si>
  <si>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</si>
  <si>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</si>
  <si>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</si>
  <si>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</si>
  <si>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</si>
  <si>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</si>
  <si>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</si>
  <si>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</si>
  <si>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</si>
  <si>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</si>
  <si>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</si>
  <si>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</si>
  <si>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</si>
  <si>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</si>
  <si>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</si>
  <si>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</si>
  <si>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</si>
  <si>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</si>
  <si>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</si>
  <si>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</si>
  <si>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</si>
  <si>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</si>
  <si>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</si>
  <si>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</si>
  <si>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</si>
  <si>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</si>
  <si>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</si>
  <si>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</si>
  <si>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</si>
  <si>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</si>
  <si>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</si>
  <si>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</si>
  <si>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</si>
  <si>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</si>
  <si>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</si>
  <si>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</si>
  <si>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</si>
  <si>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</si>
  <si>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</si>
  <si>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</si>
  <si>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</si>
  <si>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</si>
  <si>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1.1.102.7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</si>
  <si>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</si>
  <si>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</si>
  <si>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</si>
  <si>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</si>
  <si>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</si>
  <si>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</si>
  <si>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</si>
  <si>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1.1.132.1</t>
  </si>
  <si>
    <t>1.1.132.2</t>
  </si>
  <si>
    <t>1.1.132.3</t>
  </si>
  <si>
    <t>1.1.137.6</t>
  </si>
  <si>
    <t>1.1.137.10</t>
  </si>
  <si>
    <t>1.1.137.16</t>
  </si>
  <si>
    <t>1.1.137.20</t>
  </si>
  <si>
    <t>1.1.142.1</t>
  </si>
  <si>
    <t>1.1.149.1</t>
  </si>
  <si>
    <t>1.1.149.2</t>
  </si>
  <si>
    <t>1.1.167.1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</si>
  <si>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</si>
  <si>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</si>
  <si>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</si>
  <si>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</si>
  <si>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</si>
  <si>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</si>
  <si>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</si>
  <si>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</si>
  <si>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</si>
  <si>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</si>
  <si>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</si>
  <si>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</si>
  <si>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</si>
  <si>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1.1.171.10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</si>
  <si>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</si>
  <si>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</si>
  <si>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</si>
  <si>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</si>
  <si>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</si>
  <si>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</si>
  <si>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</si>
  <si>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</si>
  <si>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</si>
  <si>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</si>
  <si>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1.1.187.5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</si>
  <si>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</si>
  <si>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</si>
  <si>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</si>
  <si>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</si>
  <si>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</si>
  <si>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</si>
  <si>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</si>
  <si>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1.1.193.9</t>
  </si>
  <si>
    <t>1.1.193.10</t>
  </si>
  <si>
    <t>1.1.204.1</t>
  </si>
  <si>
    <t>1.1.217.1</t>
  </si>
  <si>
    <t>1.1.217.5</t>
  </si>
  <si>
    <t>1.1.217.6</t>
  </si>
  <si>
    <t>1.1.235.2</t>
  </si>
  <si>
    <t>1.1.236.1</t>
  </si>
  <si>
    <t>1.1.236.2</t>
  </si>
  <si>
    <t>1.1.236.4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</si>
  <si>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</si>
  <si>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</si>
  <si>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</si>
  <si>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</si>
  <si>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</si>
  <si>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</si>
  <si>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</si>
  <si>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</si>
  <si>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</si>
  <si>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</si>
  <si>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</si>
  <si>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</si>
  <si>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</si>
  <si>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</si>
  <si>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</si>
  <si>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</si>
  <si>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</si>
  <si>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</si>
  <si>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</si>
  <si>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</si>
  <si>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</si>
  <si>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</si>
  <si>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</si>
  <si>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</si>
  <si>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</si>
  <si>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</si>
  <si>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</si>
  <si>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</si>
  <si>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</si>
  <si>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</si>
  <si>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</si>
  <si>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</si>
  <si>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</si>
  <si>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</si>
  <si>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</si>
  <si>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</si>
  <si>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</si>
  <si>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</si>
  <si>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</si>
  <si>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</si>
  <si>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</si>
  <si>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</si>
  <si>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</si>
  <si>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</si>
  <si>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</si>
  <si>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</si>
  <si>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</si>
  <si>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</si>
  <si>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</si>
  <si>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</si>
  <si>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</si>
  <si>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</si>
  <si>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</si>
  <si>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</si>
  <si>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</si>
  <si>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</si>
  <si>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</si>
  <si>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</si>
  <si>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</si>
  <si>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</si>
  <si>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</si>
  <si>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</si>
  <si>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</si>
  <si>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</si>
  <si>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</si>
  <si>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</si>
  <si>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1.1.263.1</t>
  </si>
  <si>
    <t>1.1.263.2</t>
  </si>
  <si>
    <t>1.1.263.3</t>
  </si>
  <si>
    <t>1.1.263.6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</si>
  <si>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</si>
  <si>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</si>
  <si>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</si>
  <si>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</si>
  <si>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</si>
  <si>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</si>
  <si>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</si>
  <si>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</si>
  <si>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</si>
  <si>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</si>
  <si>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</si>
  <si>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</si>
  <si>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</si>
  <si>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</si>
  <si>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</si>
  <si>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</si>
  <si>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1.1.268.5</t>
  </si>
  <si>
    <t>1.1.272.5</t>
  </si>
  <si>
    <t>1.1.272.7</t>
  </si>
  <si>
    <t>1.1.272.8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</si>
  <si>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</si>
  <si>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</si>
  <si>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</si>
  <si>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</si>
  <si>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</si>
  <si>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</si>
  <si>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</si>
  <si>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</si>
  <si>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</si>
  <si>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</si>
  <si>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1.1.283.9</t>
  </si>
  <si>
    <t>1.1.283.10</t>
  </si>
  <si>
    <t>1.1.283.11</t>
  </si>
  <si>
    <t>1.1.284.3</t>
  </si>
  <si>
    <t>1.1.292.3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</si>
  <si>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</si>
  <si>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</si>
  <si>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</si>
  <si>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</si>
  <si>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</si>
  <si>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</si>
  <si>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</si>
  <si>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</si>
  <si>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</si>
  <si>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</si>
  <si>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</si>
  <si>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</si>
  <si>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</si>
  <si>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</si>
  <si>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</si>
  <si>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</si>
  <si>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</si>
  <si>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</si>
  <si>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</si>
  <si>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</si>
  <si>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</si>
  <si>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</si>
  <si>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</si>
  <si>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</si>
  <si>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</si>
  <si>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</si>
  <si>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</si>
  <si>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</si>
  <si>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</si>
  <si>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</si>
  <si>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</si>
  <si>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</si>
  <si>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</si>
  <si>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</si>
  <si>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</si>
  <si>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</si>
  <si>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</si>
  <si>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</si>
  <si>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</si>
  <si>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</si>
  <si>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</si>
  <si>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</si>
  <si>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</si>
  <si>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</si>
  <si>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</si>
  <si>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</si>
  <si>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</si>
  <si>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</si>
  <si>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</si>
  <si>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</si>
  <si>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</si>
  <si>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</si>
  <si>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</si>
  <si>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</si>
  <si>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</si>
  <si>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</si>
  <si>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</si>
  <si>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</si>
  <si>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</si>
  <si>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</si>
  <si>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</si>
  <si>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</si>
  <si>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</si>
  <si>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</si>
  <si>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</si>
  <si>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</si>
  <si>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</si>
  <si>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</si>
  <si>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</si>
  <si>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</si>
  <si>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</si>
  <si>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</si>
  <si>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</si>
  <si>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</si>
  <si>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</si>
  <si>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</si>
  <si>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</si>
  <si>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</si>
  <si>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</si>
  <si>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</si>
  <si>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</si>
  <si>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</si>
  <si>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</si>
  <si>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</si>
  <si>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</si>
  <si>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</si>
  <si>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</si>
  <si>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</si>
  <si>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</si>
  <si>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</si>
  <si>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</si>
  <si>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</si>
  <si>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</si>
  <si>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</si>
  <si>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</si>
  <si>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</si>
  <si>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</si>
  <si>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</si>
  <si>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</si>
  <si>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</si>
  <si>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</si>
  <si>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</si>
  <si>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</si>
  <si>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</si>
  <si>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</si>
  <si>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</si>
  <si>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</si>
  <si>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</si>
  <si>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</si>
  <si>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</si>
  <si>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</si>
  <si>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</si>
  <si>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</si>
  <si>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</si>
  <si>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</si>
  <si>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</si>
  <si>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</si>
  <si>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</si>
  <si>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</si>
  <si>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</si>
  <si>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</si>
  <si>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</si>
  <si>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</si>
  <si>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</si>
  <si>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</si>
  <si>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</si>
  <si>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</si>
  <si>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</si>
  <si>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</si>
  <si>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</si>
  <si>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</si>
  <si>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</si>
  <si>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</si>
  <si>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</si>
  <si>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</si>
  <si>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</si>
  <si>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</si>
  <si>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</si>
  <si>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</si>
  <si>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</si>
  <si>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</si>
  <si>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</si>
  <si>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</si>
  <si>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</si>
  <si>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</si>
  <si>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</si>
  <si>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</si>
  <si>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</si>
  <si>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</si>
  <si>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</si>
  <si>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</si>
  <si>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</si>
  <si>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</si>
  <si>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</si>
  <si>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</si>
  <si>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</si>
  <si>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</si>
  <si>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</si>
  <si>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</si>
  <si>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</si>
  <si>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</si>
  <si>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</si>
  <si>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</si>
  <si>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</si>
  <si>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</si>
  <si>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</si>
  <si>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</si>
  <si>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</si>
  <si>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</si>
  <si>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</si>
  <si>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</si>
  <si>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</si>
  <si>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</si>
  <si>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</si>
  <si>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</si>
  <si>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</si>
  <si>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</si>
  <si>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</si>
  <si>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</si>
  <si>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</si>
  <si>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</si>
  <si>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</si>
  <si>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</si>
  <si>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</si>
  <si>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</si>
  <si>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</si>
  <si>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</si>
  <si>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</si>
  <si>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</si>
  <si>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</si>
  <si>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</si>
  <si>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</si>
  <si>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</si>
  <si>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</si>
  <si>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</si>
  <si>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</si>
  <si>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</si>
  <si>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</si>
  <si>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</si>
  <si>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</si>
  <si>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</si>
  <si>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</si>
  <si>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</si>
  <si>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</si>
  <si>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</si>
  <si>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</si>
  <si>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</si>
  <si>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</si>
  <si>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</si>
  <si>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</si>
  <si>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</si>
  <si>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</si>
  <si>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</si>
  <si>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</si>
  <si>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</si>
  <si>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</si>
  <si>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</si>
  <si>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</si>
  <si>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</si>
  <si>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</si>
  <si>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</si>
  <si>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</si>
  <si>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</si>
  <si>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</si>
  <si>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</si>
  <si>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</si>
  <si>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</si>
  <si>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</si>
  <si>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</si>
  <si>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</si>
  <si>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</si>
  <si>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</si>
  <si>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</si>
  <si>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</si>
  <si>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</si>
  <si>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</si>
  <si>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</si>
  <si>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</si>
  <si>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</si>
  <si>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</si>
  <si>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</si>
  <si>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</si>
  <si>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</si>
  <si>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</si>
  <si>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</si>
  <si>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</si>
  <si>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</si>
  <si>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</si>
  <si>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</si>
  <si>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</si>
  <si>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</si>
  <si>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</si>
  <si>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</si>
  <si>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</si>
  <si>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</si>
  <si>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</si>
  <si>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1.1.582.1</t>
  </si>
  <si>
    <t>1.1.582.2</t>
  </si>
  <si>
    <t>1.1.582.4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</si>
  <si>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</si>
  <si>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</si>
  <si>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</si>
  <si>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</si>
  <si>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</si>
  <si>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</si>
  <si>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</si>
  <si>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</si>
  <si>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</si>
  <si>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</si>
  <si>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</si>
  <si>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</si>
  <si>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</si>
  <si>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</si>
  <si>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</si>
  <si>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</si>
  <si>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</si>
  <si>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</si>
  <si>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</si>
  <si>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</si>
  <si>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</si>
  <si>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</si>
  <si>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</si>
  <si>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</si>
  <si>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</si>
  <si>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</si>
  <si>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</si>
  <si>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</si>
  <si>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</si>
  <si>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</si>
  <si>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</si>
  <si>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</si>
  <si>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</si>
  <si>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</si>
  <si>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</si>
  <si>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</si>
  <si>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</si>
  <si>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</si>
  <si>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</si>
  <si>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</si>
  <si>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</si>
  <si>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</si>
  <si>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</si>
  <si>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</si>
  <si>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</si>
  <si>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</si>
  <si>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</si>
  <si>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</si>
  <si>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</si>
  <si>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</si>
  <si>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</si>
  <si>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</si>
  <si>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</si>
  <si>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</si>
  <si>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</si>
  <si>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</si>
  <si>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</si>
  <si>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</si>
  <si>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</si>
  <si>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</si>
  <si>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</si>
  <si>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</si>
  <si>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1.1.783.32</t>
  </si>
  <si>
    <t>1.1.783.38</t>
  </si>
  <si>
    <t>1.1.783.39</t>
  </si>
  <si>
    <t>1.1.787.3</t>
  </si>
  <si>
    <t>1.1.787.7</t>
  </si>
  <si>
    <t>1.1.787.10</t>
  </si>
  <si>
    <t>1.1.787.12</t>
  </si>
  <si>
    <t>1.1.787.16</t>
  </si>
  <si>
    <t>1.1.788.</t>
  </si>
  <si>
    <t>1.1.790.</t>
  </si>
  <si>
    <t>1.1.790.1</t>
  </si>
  <si>
    <t>1.1.791.39</t>
  </si>
  <si>
    <t>1.1.791.46</t>
  </si>
  <si>
    <t>1.1.791.61</t>
  </si>
  <si>
    <t>1.1.792.15</t>
  </si>
  <si>
    <t>1.1.792.27</t>
  </si>
  <si>
    <t>1.1.792.36</t>
  </si>
  <si>
    <t>1.1.799.3</t>
  </si>
  <si>
    <t>1.1.799.4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</si>
  <si>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</si>
  <si>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</si>
  <si>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</si>
  <si>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</si>
  <si>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</si>
  <si>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</si>
  <si>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</si>
  <si>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</si>
  <si>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</si>
  <si>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</si>
  <si>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</si>
  <si>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</si>
  <si>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1.5.3</t>
  </si>
  <si>
    <t>1.5.4</t>
  </si>
  <si>
    <t>1.5.5</t>
  </si>
  <si>
    <t>1.5.6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</si>
  <si>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</si>
  <si>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</si>
  <si>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</si>
  <si>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</si>
  <si>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</si>
  <si>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</si>
  <si>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</si>
  <si>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</si>
  <si>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</si>
  <si>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</si>
  <si>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</si>
  <si>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</si>
  <si>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</si>
  <si>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</si>
  <si>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</si>
  <si>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</si>
  <si>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</si>
  <si>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</si>
  <si>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</si>
  <si>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</si>
  <si>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</si>
  <si>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</si>
  <si>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</si>
  <si>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</si>
  <si>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</si>
  <si>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</si>
  <si>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</si>
  <si>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</si>
  <si>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</si>
  <si>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</si>
  <si>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</si>
  <si>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</si>
  <si>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</si>
  <si>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</si>
  <si>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</si>
  <si>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</si>
  <si>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</si>
  <si>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</si>
  <si>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</si>
  <si>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</si>
  <si>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</si>
  <si>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</si>
  <si>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</si>
  <si>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</si>
  <si>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</si>
  <si>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</si>
  <si>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</si>
  <si>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</si>
  <si>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</si>
  <si>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</si>
  <si>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</si>
  <si>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</si>
  <si>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</si>
  <si>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</si>
  <si>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</si>
  <si>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</si>
  <si>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</si>
  <si>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</si>
  <si>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</si>
  <si>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</si>
  <si>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</si>
  <si>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</si>
  <si>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</si>
  <si>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</si>
  <si>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</si>
  <si>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</si>
  <si>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</si>
  <si>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</si>
  <si>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</si>
  <si>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</si>
  <si>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</si>
  <si>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</si>
  <si>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</si>
  <si>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</si>
  <si>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</si>
  <si>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</si>
  <si>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</si>
  <si>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</si>
  <si>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</si>
  <si>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</si>
  <si>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</si>
  <si>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</si>
  <si>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</si>
  <si>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</si>
  <si>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</si>
  <si>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</si>
  <si>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</si>
  <si>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</si>
  <si>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</si>
  <si>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</si>
  <si>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</si>
  <si>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</si>
  <si>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</si>
  <si>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</si>
  <si>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</si>
  <si>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</si>
  <si>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</si>
  <si>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</si>
  <si>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</si>
  <si>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</si>
  <si>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</si>
  <si>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</si>
  <si>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</si>
  <si>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</si>
  <si>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</si>
  <si>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</si>
  <si>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</si>
  <si>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</si>
  <si>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</si>
  <si>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</si>
  <si>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</si>
  <si>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</si>
  <si>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</si>
  <si>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</si>
  <si>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</si>
  <si>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</si>
  <si>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</si>
  <si>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</si>
  <si>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</si>
  <si>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</si>
  <si>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</si>
  <si>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</si>
  <si>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</si>
  <si>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</si>
  <si>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</si>
  <si>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</si>
  <si>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</si>
  <si>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</si>
  <si>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</si>
  <si>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</si>
  <si>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</si>
  <si>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</si>
  <si>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</si>
  <si>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</si>
  <si>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</si>
  <si>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</si>
  <si>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</si>
  <si>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</si>
  <si>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</si>
  <si>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</si>
  <si>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</si>
  <si>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</si>
  <si>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</si>
  <si>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</si>
  <si>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</si>
  <si>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</si>
  <si>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</si>
  <si>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</si>
  <si>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</si>
  <si>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</si>
  <si>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</si>
  <si>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</si>
  <si>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</si>
  <si>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</si>
  <si>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</si>
  <si>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</si>
  <si>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</si>
  <si>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</si>
  <si>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</si>
  <si>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</si>
  <si>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</si>
  <si>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</si>
  <si>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</si>
  <si>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</si>
  <si>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</si>
  <si>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</si>
  <si>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</si>
  <si>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</si>
  <si>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</si>
  <si>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</si>
  <si>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</si>
  <si>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</si>
  <si>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</si>
  <si>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</si>
  <si>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</si>
  <si>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</si>
  <si>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</si>
  <si>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</si>
  <si>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</si>
  <si>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</si>
  <si>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</si>
  <si>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</si>
  <si>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</si>
  <si>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</si>
  <si>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</si>
  <si>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</si>
  <si>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</si>
  <si>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</si>
  <si>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</si>
  <si>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</si>
  <si>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</si>
  <si>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</si>
  <si>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</si>
  <si>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</si>
  <si>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</si>
  <si>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</si>
  <si>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</si>
  <si>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</si>
  <si>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</si>
  <si>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</si>
  <si>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</si>
  <si>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</si>
  <si>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</si>
  <si>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</si>
  <si>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</si>
  <si>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</si>
  <si>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</si>
  <si>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</si>
  <si>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</si>
  <si>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</si>
  <si>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</si>
  <si>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</si>
  <si>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</si>
  <si>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</si>
  <si>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</si>
  <si>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</si>
  <si>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</si>
  <si>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</si>
  <si>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</si>
  <si>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</si>
  <si>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</si>
  <si>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</si>
  <si>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</si>
  <si>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</si>
  <si>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</si>
  <si>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</si>
  <si>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</si>
  <si>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</si>
  <si>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</si>
  <si>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</si>
  <si>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</si>
  <si>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</si>
  <si>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</si>
  <si>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</si>
  <si>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</si>
  <si>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</si>
  <si>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</si>
  <si>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</si>
  <si>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</si>
  <si>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</si>
  <si>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</si>
  <si>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</si>
  <si>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</si>
  <si>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</si>
  <si>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</si>
  <si>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</si>
  <si>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</si>
  <si>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</si>
  <si>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</si>
  <si>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</si>
  <si>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</si>
  <si>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</si>
  <si>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</si>
  <si>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</si>
  <si>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</si>
  <si>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</si>
  <si>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</si>
  <si>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</si>
  <si>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</si>
  <si>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</si>
  <si>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</si>
  <si>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</si>
  <si>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</si>
  <si>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</si>
  <si>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</si>
  <si>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</si>
  <si>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</si>
  <si>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</si>
  <si>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</si>
  <si>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</si>
  <si>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</si>
  <si>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</si>
  <si>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</si>
  <si>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</si>
  <si>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</si>
  <si>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</si>
  <si>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</si>
  <si>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</si>
  <si>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</si>
  <si>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</si>
  <si>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</si>
  <si>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</si>
  <si>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</si>
  <si>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</si>
  <si>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</si>
  <si>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</si>
  <si>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</si>
  <si>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</si>
  <si>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</si>
  <si>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</si>
  <si>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</si>
  <si>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</si>
  <si>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</si>
  <si>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</si>
  <si>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</si>
  <si>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</si>
  <si>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</si>
  <si>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</si>
  <si>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</si>
  <si>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</si>
  <si>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</si>
  <si>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</si>
  <si>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</si>
  <si>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</si>
  <si>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</si>
  <si>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</si>
  <si>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</si>
  <si>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</si>
  <si>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</si>
  <si>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</si>
  <si>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</si>
  <si>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</si>
  <si>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</si>
  <si>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</si>
  <si>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</si>
  <si>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</si>
  <si>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</si>
  <si>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</si>
  <si>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</si>
  <si>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</si>
  <si>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</si>
  <si>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</si>
  <si>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</si>
  <si>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</si>
  <si>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</si>
  <si>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</si>
  <si>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</si>
  <si>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</si>
  <si>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</si>
  <si>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1.3.102</t>
  </si>
  <si>
    <t>1.3.104</t>
  </si>
  <si>
    <t>1.3.105</t>
  </si>
  <si>
    <t>1.3.106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</si>
  <si>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</si>
  <si>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</si>
  <si>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</si>
  <si>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</si>
  <si>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</si>
  <si>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</si>
  <si>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</si>
  <si>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</si>
  <si>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</si>
  <si>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</si>
  <si>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</si>
  <si>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</si>
  <si>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</si>
  <si>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</si>
  <si>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</si>
  <si>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</si>
  <si>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</si>
  <si>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</si>
  <si>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</si>
  <si>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</si>
  <si>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</si>
  <si>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</si>
  <si>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</si>
  <si>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</si>
  <si>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</si>
  <si>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</si>
  <si>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</si>
  <si>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</si>
  <si>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</si>
  <si>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</si>
  <si>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</si>
  <si>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</si>
  <si>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</si>
  <si>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</si>
  <si>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</si>
  <si>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</si>
  <si>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</si>
  <si>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</si>
  <si>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</si>
  <si>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</si>
  <si>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</si>
  <si>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</si>
  <si>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</si>
  <si>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</si>
  <si>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</si>
  <si>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</si>
  <si>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</si>
  <si>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</si>
  <si>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</si>
  <si>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</si>
  <si>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</si>
  <si>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</si>
  <si>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</si>
  <si>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</si>
  <si>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</si>
  <si>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</si>
  <si>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</si>
  <si>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</si>
  <si>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</si>
  <si>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</si>
  <si>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</si>
  <si>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</si>
  <si>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</si>
  <si>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</si>
  <si>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</si>
  <si>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</si>
  <si>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</si>
  <si>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</si>
  <si>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</si>
  <si>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</si>
  <si>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</si>
  <si>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</si>
  <si>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</si>
  <si>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</si>
  <si>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</si>
  <si>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</si>
  <si>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</si>
  <si>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</si>
  <si>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</si>
  <si>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</si>
  <si>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</si>
  <si>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</si>
  <si>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</si>
  <si>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</si>
  <si>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</si>
  <si>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</si>
  <si>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</si>
  <si>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</si>
  <si>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</si>
  <si>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</si>
  <si>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</si>
  <si>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</si>
  <si>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</si>
  <si>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</si>
  <si>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</si>
  <si>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</si>
  <si>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</si>
  <si>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</si>
  <si>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</si>
  <si>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</si>
  <si>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</si>
  <si>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</si>
  <si>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</si>
  <si>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</si>
  <si>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</si>
  <si>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</si>
  <si>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</si>
  <si>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</si>
  <si>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</si>
  <si>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</si>
  <si>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</si>
  <si>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</si>
  <si>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</si>
  <si>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</si>
  <si>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</si>
  <si>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</si>
  <si>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</si>
  <si>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</si>
  <si>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</si>
  <si>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</si>
  <si>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</si>
  <si>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</si>
  <si>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</si>
  <si>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</si>
  <si>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</si>
  <si>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</si>
  <si>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</si>
  <si>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</si>
  <si>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</si>
  <si>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</si>
  <si>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</si>
  <si>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</si>
  <si>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</si>
  <si>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</si>
  <si>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</si>
  <si>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</si>
  <si>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</si>
  <si>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</si>
  <si>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</si>
  <si>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</si>
  <si>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</si>
  <si>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</si>
  <si>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</si>
  <si>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</si>
  <si>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</si>
  <si>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</si>
  <si>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</si>
  <si>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</si>
  <si>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</si>
  <si>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</si>
  <si>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</si>
  <si>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</si>
  <si>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</si>
  <si>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</si>
  <si>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</si>
  <si>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</si>
  <si>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</si>
  <si>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</si>
  <si>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</si>
  <si>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</si>
  <si>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</si>
  <si>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</si>
  <si>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</si>
  <si>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</si>
  <si>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</si>
  <si>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</si>
  <si>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</si>
  <si>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</si>
  <si>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</si>
  <si>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</si>
  <si>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</si>
  <si>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</si>
  <si>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</si>
  <si>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</si>
  <si>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</si>
  <si>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</si>
  <si>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</si>
  <si>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</si>
  <si>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</si>
  <si>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</si>
  <si>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</si>
  <si>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</si>
  <si>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</si>
  <si>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</si>
  <si>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</si>
  <si>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</si>
  <si>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</si>
  <si>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</si>
  <si>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</si>
  <si>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</si>
  <si>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</si>
  <si>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</si>
  <si>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</si>
  <si>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</si>
  <si>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</si>
  <si>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</si>
  <si>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</si>
  <si>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</si>
  <si>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</si>
  <si>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</si>
  <si>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</si>
  <si>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</si>
  <si>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</si>
  <si>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</si>
  <si>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</si>
  <si>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</si>
  <si>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</si>
  <si>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</si>
  <si>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</si>
  <si>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</si>
  <si>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</si>
  <si>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</si>
  <si>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</si>
  <si>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</si>
  <si>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</si>
  <si>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</si>
  <si>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</si>
  <si>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</si>
  <si>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</si>
  <si>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</si>
  <si>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</si>
  <si>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</si>
  <si>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</si>
  <si>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</si>
  <si>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</si>
  <si>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</si>
  <si>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</si>
  <si>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</si>
  <si>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</si>
  <si>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</si>
  <si>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</si>
  <si>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</si>
  <si>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</si>
  <si>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</si>
  <si>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</si>
  <si>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</si>
  <si>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</si>
  <si>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</si>
  <si>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</si>
  <si>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</si>
  <si>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</si>
  <si>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</si>
  <si>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</si>
  <si>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</si>
  <si>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</si>
  <si>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</si>
  <si>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</si>
  <si>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</si>
  <si>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</si>
  <si>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</si>
  <si>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</si>
  <si>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</si>
  <si>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</si>
  <si>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</si>
  <si>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</si>
  <si>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</si>
  <si>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</si>
  <si>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</si>
  <si>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</si>
  <si>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</si>
  <si>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</si>
  <si>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</si>
  <si>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</si>
  <si>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</si>
  <si>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</si>
  <si>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</si>
  <si>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</si>
  <si>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</si>
  <si>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</si>
  <si>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</si>
  <si>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</si>
  <si>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</si>
  <si>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</si>
  <si>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</si>
  <si>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</si>
  <si>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</si>
  <si>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</si>
  <si>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</si>
  <si>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</si>
  <si>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</si>
  <si>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</si>
  <si>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</si>
  <si>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</si>
  <si>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</si>
  <si>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</si>
  <si>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</si>
  <si>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</si>
  <si>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</si>
  <si>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</si>
  <si>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</si>
  <si>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</si>
  <si>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</si>
  <si>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</si>
  <si>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</si>
  <si>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</si>
  <si>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</si>
  <si>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</si>
  <si>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</si>
  <si>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</si>
  <si>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</si>
  <si>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</si>
  <si>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</si>
  <si>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</si>
  <si>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</si>
  <si>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</si>
  <si>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</si>
  <si>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</si>
  <si>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</si>
  <si>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</si>
  <si>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</si>
  <si>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</si>
  <si>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</si>
  <si>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</si>
  <si>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</si>
  <si>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</si>
  <si>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</si>
  <si>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</si>
  <si>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</si>
  <si>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</si>
  <si>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</si>
  <si>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</si>
  <si>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</si>
  <si>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</si>
  <si>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</si>
  <si>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</si>
  <si>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</si>
  <si>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</si>
  <si>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</si>
  <si>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</si>
  <si>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</si>
  <si>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</si>
  <si>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</si>
  <si>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</si>
  <si>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</si>
  <si>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</si>
  <si>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</si>
  <si>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</si>
  <si>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</si>
  <si>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</si>
  <si>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</si>
  <si>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</si>
  <si>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</si>
  <si>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</si>
  <si>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</si>
  <si>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</si>
  <si>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</si>
  <si>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</si>
  <si>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</si>
  <si>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</si>
  <si>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</si>
  <si>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</si>
  <si>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</si>
  <si>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</si>
  <si>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</si>
  <si>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</si>
  <si>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</si>
  <si>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</si>
  <si>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</si>
  <si>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</si>
  <si>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</si>
  <si>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</si>
  <si>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</si>
  <si>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</si>
  <si>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</si>
  <si>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</si>
  <si>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</si>
  <si>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</si>
  <si>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</si>
  <si>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</si>
  <si>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</si>
  <si>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</si>
  <si>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</si>
  <si>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</si>
  <si>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</si>
  <si>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</si>
  <si>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</si>
  <si>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</si>
  <si>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</si>
  <si>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</si>
  <si>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</si>
  <si>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</si>
  <si>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</si>
  <si>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</si>
  <si>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</si>
  <si>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</si>
  <si>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</si>
  <si>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</si>
  <si>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</si>
  <si>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</si>
  <si>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</si>
  <si>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</si>
  <si>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</si>
  <si>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</si>
  <si>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</si>
  <si>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</si>
  <si>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</si>
  <si>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</si>
  <si>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</si>
  <si>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</si>
  <si>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</si>
  <si>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</si>
  <si>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</si>
  <si>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</si>
  <si>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</si>
  <si>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</si>
  <si>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</si>
  <si>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</si>
  <si>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</si>
  <si>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</si>
  <si>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</si>
  <si>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</si>
  <si>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</si>
  <si>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</si>
  <si>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</si>
  <si>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</si>
  <si>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</si>
  <si>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</si>
  <si>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</si>
  <si>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</si>
  <si>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</si>
  <si>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</si>
  <si>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</si>
  <si>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</si>
  <si>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</si>
  <si>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</si>
  <si>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</si>
  <si>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</si>
  <si>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</si>
  <si>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</si>
  <si>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</si>
  <si>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</si>
  <si>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</si>
  <si>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</si>
  <si>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</si>
  <si>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</si>
  <si>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</si>
  <si>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</si>
  <si>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 xml:space="preserve">42:34:0106003:181 </t>
  </si>
  <si>
    <t>1.1.8.9</t>
  </si>
  <si>
    <t>42:34:0106002:522</t>
  </si>
  <si>
    <t>1.1.9.9</t>
  </si>
  <si>
    <t>1.1.9.10</t>
  </si>
  <si>
    <t>1.1.9.15</t>
  </si>
  <si>
    <t>1.1.9.18</t>
  </si>
  <si>
    <t>1.1.9.20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</si>
  <si>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</si>
  <si>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</si>
  <si>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</si>
  <si>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</si>
  <si>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</si>
  <si>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1.1.684.3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</si>
  <si>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</si>
  <si>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</si>
  <si>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</si>
  <si>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</si>
  <si>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</si>
  <si>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</si>
  <si>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1.1.755.5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</si>
  <si>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</si>
  <si>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</si>
  <si>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</si>
  <si>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</si>
  <si>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</si>
  <si>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</si>
  <si>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</si>
  <si>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</si>
  <si>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</si>
  <si>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</si>
  <si>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</si>
  <si>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</si>
  <si>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</si>
  <si>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</si>
  <si>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</si>
  <si>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</si>
  <si>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</si>
  <si>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</si>
  <si>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</si>
  <si>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</si>
  <si>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</si>
  <si>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</si>
  <si>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</si>
  <si>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</si>
  <si>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</si>
  <si>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</si>
  <si>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</si>
  <si>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</si>
  <si>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</si>
  <si>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</si>
  <si>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</si>
  <si>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</si>
  <si>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</si>
  <si>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</si>
  <si>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</si>
  <si>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</si>
  <si>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</si>
  <si>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</si>
  <si>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</si>
  <si>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</si>
  <si>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</si>
  <si>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</si>
  <si>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</si>
  <si>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</si>
  <si>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</si>
  <si>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</si>
  <si>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</si>
  <si>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42:34:0114008:108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</si>
  <si>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</si>
  <si>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</si>
  <si>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</si>
  <si>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</si>
  <si>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</si>
  <si>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</si>
  <si>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</si>
  <si>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</si>
  <si>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</si>
  <si>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</si>
  <si>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</si>
  <si>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</si>
  <si>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</si>
  <si>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</si>
  <si>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</si>
  <si>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</si>
  <si>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</si>
  <si>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</si>
  <si>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</si>
  <si>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</si>
  <si>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1.1.814.11</t>
  </si>
  <si>
    <t>1.1.814.12</t>
  </si>
  <si>
    <t>1.1.814.18</t>
  </si>
  <si>
    <t xml:space="preserve">42:34:0114008:95 </t>
  </si>
  <si>
    <t>42:34:0114014:27</t>
  </si>
  <si>
    <t xml:space="preserve">42:12:0104001:2846 </t>
  </si>
  <si>
    <t xml:space="preserve">42:34:0114002:46 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</si>
  <si>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</si>
  <si>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</si>
  <si>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</si>
  <si>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</si>
  <si>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</si>
  <si>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</si>
  <si>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</si>
  <si>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</si>
  <si>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42:12:0102004:432 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</si>
  <si>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</si>
  <si>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</si>
  <si>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</si>
  <si>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</si>
  <si>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</si>
  <si>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</si>
  <si>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</si>
  <si>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</si>
  <si>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</si>
  <si>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</si>
  <si>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</si>
  <si>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</si>
  <si>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</si>
  <si>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</si>
  <si>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</si>
  <si>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</si>
  <si>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</si>
  <si>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</si>
  <si>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</si>
  <si>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</si>
  <si>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</si>
  <si>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</si>
  <si>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</si>
  <si>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</si>
  <si>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</si>
  <si>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</si>
  <si>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</si>
  <si>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</si>
  <si>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</si>
  <si>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</si>
  <si>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</si>
  <si>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</si>
  <si>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</si>
  <si>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</si>
  <si>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</si>
  <si>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</si>
  <si>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</si>
  <si>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</si>
  <si>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</si>
  <si>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</si>
  <si>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</si>
  <si>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</si>
  <si>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</si>
  <si>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</si>
  <si>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</si>
  <si>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</si>
  <si>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</si>
  <si>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</si>
  <si>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</si>
  <si>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</si>
  <si>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</si>
  <si>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</si>
  <si>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</si>
  <si>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</si>
  <si>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</si>
  <si>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</si>
  <si>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</si>
  <si>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</si>
  <si>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</si>
  <si>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</si>
  <si>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</si>
  <si>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</si>
  <si>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</si>
  <si>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</si>
  <si>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</si>
  <si>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</si>
  <si>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</si>
  <si>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</si>
  <si>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</si>
  <si>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</si>
  <si>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</si>
  <si>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</si>
  <si>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</si>
  <si>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</si>
  <si>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</si>
  <si>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</si>
  <si>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</si>
  <si>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</si>
  <si>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</si>
  <si>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</si>
  <si>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</si>
  <si>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</si>
  <si>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</si>
  <si>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</si>
  <si>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</si>
  <si>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</si>
  <si>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</si>
  <si>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</si>
  <si>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</si>
  <si>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</si>
  <si>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</si>
  <si>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</si>
  <si>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</si>
  <si>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</si>
  <si>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</si>
  <si>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</si>
  <si>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</si>
  <si>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</si>
  <si>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</si>
  <si>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</si>
  <si>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</si>
  <si>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</si>
  <si>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</si>
  <si>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</si>
  <si>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</si>
  <si>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</si>
  <si>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</si>
  <si>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</si>
  <si>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</si>
  <si>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</si>
  <si>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</si>
  <si>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</si>
  <si>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</si>
  <si>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</si>
  <si>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</si>
  <si>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</si>
  <si>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</si>
  <si>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</si>
  <si>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</si>
  <si>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</si>
  <si>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</si>
  <si>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</si>
  <si>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</si>
  <si>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</si>
  <si>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</si>
  <si>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</si>
  <si>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</si>
  <si>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</si>
  <si>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</si>
  <si>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</si>
  <si>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</si>
  <si>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</si>
  <si>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</si>
  <si>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</si>
  <si>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</si>
  <si>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</si>
  <si>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</si>
  <si>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</si>
  <si>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</si>
  <si>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</si>
  <si>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</si>
  <si>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</si>
  <si>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</si>
  <si>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</si>
  <si>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</si>
  <si>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</si>
  <si>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</si>
  <si>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</si>
  <si>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</si>
  <si>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</si>
  <si>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</si>
  <si>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</si>
  <si>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</si>
  <si>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</si>
  <si>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</si>
  <si>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</si>
  <si>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</si>
  <si>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</si>
  <si>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</si>
  <si>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</si>
  <si>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</si>
  <si>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</si>
  <si>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</si>
  <si>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</si>
  <si>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</si>
  <si>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</si>
  <si>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</si>
  <si>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</si>
  <si>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</si>
  <si>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</si>
  <si>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</si>
  <si>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</si>
  <si>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</si>
  <si>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</si>
  <si>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</si>
  <si>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</si>
  <si>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</si>
  <si>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</si>
  <si>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</si>
  <si>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</si>
  <si>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</si>
  <si>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</si>
  <si>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</si>
  <si>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</si>
  <si>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</si>
  <si>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</si>
  <si>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</si>
  <si>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</si>
  <si>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</si>
  <si>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</si>
  <si>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</si>
  <si>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</si>
  <si>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</si>
  <si>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</si>
  <si>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</si>
  <si>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</si>
  <si>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</si>
  <si>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</si>
  <si>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</si>
  <si>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</si>
  <si>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</si>
  <si>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</si>
  <si>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</si>
  <si>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</si>
  <si>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</si>
  <si>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</si>
  <si>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</si>
  <si>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</si>
  <si>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</si>
  <si>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</si>
  <si>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</si>
  <si>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</si>
  <si>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</si>
  <si>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</si>
  <si>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</si>
  <si>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</si>
  <si>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</si>
  <si>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</si>
  <si>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</si>
  <si>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</si>
  <si>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</si>
  <si>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</si>
  <si>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</si>
  <si>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</si>
  <si>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</si>
  <si>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</si>
  <si>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</si>
  <si>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</si>
  <si>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</si>
  <si>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</si>
  <si>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</si>
  <si>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</si>
  <si>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</si>
  <si>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</si>
  <si>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</si>
  <si>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</si>
  <si>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</si>
  <si>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</si>
  <si>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</si>
  <si>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</si>
  <si>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</si>
  <si>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</si>
  <si>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</si>
  <si>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</si>
  <si>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</si>
  <si>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</si>
  <si>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</si>
  <si>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</si>
  <si>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</si>
  <si>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</si>
  <si>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</si>
  <si>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</si>
  <si>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</si>
  <si>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</si>
  <si>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</si>
  <si>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</si>
  <si>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</si>
  <si>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</si>
  <si>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</si>
  <si>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</si>
  <si>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</si>
  <si>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</si>
  <si>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</si>
  <si>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</si>
  <si>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</si>
  <si>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</si>
  <si>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</si>
  <si>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</si>
  <si>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</si>
  <si>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</si>
  <si>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</si>
  <si>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</si>
  <si>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</si>
  <si>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</si>
  <si>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</si>
  <si>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</si>
  <si>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</si>
  <si>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</si>
  <si>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</si>
  <si>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</si>
  <si>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</si>
  <si>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</si>
  <si>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</si>
  <si>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</si>
  <si>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</si>
  <si>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</si>
  <si>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</si>
  <si>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</si>
  <si>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</si>
  <si>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</si>
  <si>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</si>
  <si>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</si>
  <si>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</si>
  <si>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</si>
  <si>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</si>
  <si>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</si>
  <si>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</si>
  <si>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</si>
  <si>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</si>
  <si>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</si>
  <si>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</si>
  <si>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</si>
  <si>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</si>
  <si>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</si>
  <si>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</si>
  <si>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</si>
  <si>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</si>
  <si>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</si>
  <si>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</si>
  <si>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</si>
  <si>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 xml:space="preserve">42:34:0114014:88 </t>
  </si>
  <si>
    <t>42:34:0114014:90</t>
  </si>
  <si>
    <t xml:space="preserve">42:34:0114008:40 </t>
  </si>
  <si>
    <t xml:space="preserve">42:34:0114008:53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</si>
  <si>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</si>
  <si>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</si>
  <si>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</si>
  <si>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</si>
  <si>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</si>
  <si>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</si>
  <si>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</si>
  <si>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</si>
  <si>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</si>
  <si>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</si>
  <si>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</si>
  <si>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</si>
  <si>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</si>
  <si>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</si>
  <si>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</si>
  <si>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</si>
  <si>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</si>
  <si>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</si>
  <si>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</si>
  <si>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</si>
  <si>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</si>
  <si>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</si>
  <si>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</si>
  <si>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</si>
  <si>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</si>
  <si>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</si>
  <si>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</si>
  <si>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</si>
  <si>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</si>
  <si>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</si>
  <si>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</si>
  <si>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</si>
  <si>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</si>
  <si>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</si>
  <si>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</si>
  <si>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</si>
  <si>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</si>
  <si>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</si>
  <si>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</si>
  <si>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</si>
  <si>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</si>
  <si>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</si>
  <si>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</si>
  <si>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</si>
  <si>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</si>
  <si>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</si>
  <si>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</si>
  <si>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</si>
  <si>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</si>
  <si>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</si>
  <si>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</si>
  <si>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</si>
  <si>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</si>
  <si>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</si>
  <si>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</si>
  <si>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</si>
  <si>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</si>
  <si>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</si>
  <si>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</si>
  <si>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</si>
  <si>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</si>
  <si>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</si>
  <si>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</si>
  <si>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</si>
  <si>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</si>
  <si>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</si>
  <si>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</si>
  <si>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</si>
  <si>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</si>
  <si>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</si>
  <si>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</si>
  <si>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</si>
  <si>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</si>
  <si>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</si>
  <si>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</si>
  <si>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</si>
  <si>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</si>
  <si>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</si>
  <si>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</si>
  <si>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</si>
  <si>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</si>
  <si>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</si>
  <si>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</si>
  <si>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</si>
  <si>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</si>
  <si>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</si>
  <si>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</si>
  <si>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</si>
  <si>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</si>
  <si>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1.1.756.56</t>
  </si>
  <si>
    <t>1.1.756.57</t>
  </si>
  <si>
    <t>1.1.756.59</t>
  </si>
  <si>
    <t>1.1.756.60</t>
  </si>
  <si>
    <t>1.1.756.61</t>
  </si>
  <si>
    <t>1.1.756.64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</si>
  <si>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</si>
  <si>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</si>
  <si>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</si>
  <si>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</si>
  <si>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</si>
  <si>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</si>
  <si>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</si>
  <si>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</si>
  <si>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</si>
  <si>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</si>
  <si>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</si>
  <si>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</si>
  <si>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</si>
  <si>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</si>
  <si>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</si>
  <si>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</si>
  <si>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</si>
  <si>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</si>
  <si>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</si>
  <si>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</si>
  <si>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</si>
  <si>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</si>
  <si>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</si>
  <si>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</si>
  <si>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</si>
  <si>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</si>
  <si>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</si>
  <si>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</si>
  <si>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</si>
  <si>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</si>
  <si>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</si>
  <si>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</si>
  <si>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</si>
  <si>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</si>
  <si>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</si>
  <si>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</si>
  <si>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</si>
  <si>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</si>
  <si>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</si>
  <si>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</si>
  <si>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</si>
  <si>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</si>
  <si>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</si>
  <si>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</si>
  <si>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</si>
  <si>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</si>
  <si>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</si>
  <si>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</si>
  <si>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</si>
  <si>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</si>
  <si>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</si>
  <si>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</si>
  <si>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</si>
  <si>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</si>
  <si>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</si>
  <si>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</si>
  <si>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</si>
  <si>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</si>
  <si>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</si>
  <si>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</si>
  <si>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</si>
  <si>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</si>
  <si>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</si>
  <si>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</si>
  <si>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</si>
  <si>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</si>
  <si>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</si>
  <si>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</si>
  <si>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</si>
  <si>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</si>
  <si>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</si>
  <si>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</si>
  <si>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</si>
  <si>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</si>
  <si>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</si>
  <si>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</si>
  <si>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</si>
  <si>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</si>
  <si>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</si>
  <si>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</si>
  <si>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</si>
  <si>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</si>
  <si>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</si>
  <si>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</si>
  <si>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</si>
  <si>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</si>
  <si>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</si>
  <si>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</si>
  <si>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</si>
  <si>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</si>
  <si>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</si>
  <si>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</si>
  <si>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</si>
  <si>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</si>
  <si>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</si>
  <si>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</si>
  <si>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</si>
  <si>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</si>
  <si>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</si>
  <si>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</si>
  <si>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</si>
  <si>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</si>
  <si>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</si>
  <si>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</si>
  <si>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</si>
  <si>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</si>
  <si>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</si>
  <si>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</si>
  <si>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</si>
  <si>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</si>
  <si>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</si>
  <si>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</si>
  <si>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</si>
  <si>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</si>
  <si>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</si>
  <si>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</si>
  <si>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</si>
  <si>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</si>
  <si>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</si>
  <si>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</si>
  <si>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</si>
  <si>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</si>
  <si>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</si>
  <si>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</si>
  <si>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</si>
  <si>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</si>
  <si>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</si>
  <si>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</si>
  <si>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</si>
  <si>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</si>
  <si>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</si>
  <si>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</si>
  <si>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</si>
  <si>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</si>
  <si>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</si>
  <si>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</si>
  <si>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</si>
  <si>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</si>
  <si>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</si>
  <si>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</si>
  <si>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</si>
  <si>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</si>
  <si>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</si>
  <si>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</si>
  <si>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</si>
  <si>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</si>
  <si>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</si>
  <si>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</si>
  <si>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</si>
  <si>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</si>
  <si>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</si>
  <si>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</si>
  <si>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</si>
  <si>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</si>
  <si>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</si>
  <si>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</si>
  <si>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</si>
  <si>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</si>
  <si>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</si>
  <si>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</si>
  <si>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</si>
  <si>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</si>
  <si>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</si>
  <si>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</si>
  <si>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</si>
  <si>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</si>
  <si>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</si>
  <si>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</si>
  <si>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</si>
  <si>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</si>
  <si>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</si>
  <si>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</si>
  <si>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</si>
  <si>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</si>
  <si>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</si>
  <si>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</si>
  <si>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</si>
  <si>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</si>
  <si>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</si>
  <si>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</si>
  <si>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</si>
  <si>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</si>
  <si>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</si>
  <si>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</si>
  <si>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</si>
  <si>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</si>
  <si>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</si>
  <si>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</si>
  <si>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</si>
  <si>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</si>
  <si>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</si>
  <si>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</si>
  <si>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</si>
  <si>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</si>
  <si>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</si>
  <si>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</si>
  <si>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</si>
  <si>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</si>
  <si>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</si>
  <si>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</si>
  <si>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</si>
  <si>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</si>
  <si>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</si>
  <si>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</si>
  <si>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</si>
  <si>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</si>
  <si>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</si>
  <si>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</si>
  <si>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</si>
  <si>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</si>
  <si>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</si>
  <si>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</si>
  <si>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</si>
  <si>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</si>
  <si>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</si>
  <si>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</si>
  <si>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</si>
  <si>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</si>
  <si>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</si>
  <si>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</si>
  <si>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</si>
  <si>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</si>
  <si>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</si>
  <si>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</si>
  <si>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</si>
  <si>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</si>
  <si>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</si>
  <si>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</si>
  <si>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</si>
  <si>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</si>
  <si>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</si>
  <si>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</si>
  <si>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</si>
  <si>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</si>
  <si>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</si>
  <si>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</si>
  <si>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</si>
  <si>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</si>
  <si>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</si>
  <si>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</si>
  <si>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</si>
  <si>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</si>
  <si>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</si>
  <si>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</si>
  <si>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</si>
  <si>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</si>
  <si>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</si>
  <si>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</si>
  <si>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</si>
  <si>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</si>
  <si>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</si>
  <si>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</si>
  <si>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</si>
  <si>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</si>
  <si>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</si>
  <si>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</si>
  <si>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</si>
  <si>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</si>
  <si>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</si>
  <si>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</si>
  <si>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</si>
  <si>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</si>
  <si>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</si>
  <si>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</si>
  <si>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</si>
  <si>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</si>
  <si>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</si>
  <si>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</si>
  <si>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</si>
  <si>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</si>
  <si>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</si>
  <si>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</si>
  <si>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</si>
  <si>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</si>
  <si>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</si>
  <si>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</si>
  <si>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</si>
  <si>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</si>
  <si>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</si>
  <si>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</si>
  <si>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</si>
  <si>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</si>
  <si>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</si>
  <si>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</si>
  <si>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</si>
  <si>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</si>
  <si>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</si>
  <si>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</si>
  <si>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</si>
  <si>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</si>
  <si>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</si>
  <si>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</si>
  <si>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</si>
  <si>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</si>
  <si>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</si>
  <si>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</si>
  <si>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</si>
  <si>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</si>
  <si>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</si>
  <si>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</si>
  <si>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</si>
  <si>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</si>
  <si>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1.1.236.8</t>
  </si>
  <si>
    <t xml:space="preserve">42:12:0102002:810 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</si>
  <si>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</si>
  <si>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</si>
  <si>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</si>
  <si>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</si>
  <si>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</si>
  <si>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</si>
  <si>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</si>
  <si>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</si>
  <si>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</si>
  <si>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</si>
  <si>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</si>
  <si>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</si>
  <si>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</si>
  <si>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</si>
  <si>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</si>
  <si>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</si>
  <si>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</si>
  <si>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</si>
  <si>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</si>
  <si>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</si>
  <si>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</si>
  <si>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</si>
  <si>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</si>
  <si>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</si>
  <si>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</si>
  <si>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</si>
  <si>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</si>
  <si>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</si>
  <si>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</si>
  <si>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</si>
  <si>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</si>
  <si>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</si>
  <si>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</si>
  <si>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</si>
  <si>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</si>
  <si>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</si>
  <si>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</si>
  <si>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</si>
  <si>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</si>
  <si>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</si>
  <si>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</si>
  <si>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</si>
  <si>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</si>
  <si>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</si>
  <si>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</si>
  <si>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</si>
  <si>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</si>
  <si>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</si>
  <si>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</si>
  <si>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</si>
  <si>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</si>
  <si>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</si>
  <si>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</si>
  <si>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</si>
  <si>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</si>
  <si>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</si>
  <si>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</si>
  <si>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</si>
  <si>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</si>
  <si>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</si>
  <si>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</si>
  <si>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</si>
  <si>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</si>
  <si>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</si>
  <si>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</si>
  <si>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</si>
  <si>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</si>
  <si>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</si>
  <si>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</si>
  <si>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</si>
  <si>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</si>
  <si>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</si>
  <si>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</si>
  <si>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</si>
  <si>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</si>
  <si>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</si>
  <si>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</si>
  <si>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</si>
  <si>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</si>
  <si>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</si>
  <si>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</si>
  <si>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</si>
  <si>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</si>
  <si>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</si>
  <si>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</si>
  <si>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</si>
  <si>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</si>
  <si>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</si>
  <si>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</si>
  <si>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</si>
  <si>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</si>
  <si>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</si>
  <si>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</si>
  <si>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</si>
  <si>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</si>
  <si>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</si>
  <si>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</si>
  <si>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</si>
  <si>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</si>
  <si>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</si>
  <si>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</si>
  <si>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</si>
  <si>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</si>
  <si>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</si>
  <si>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</si>
  <si>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</si>
  <si>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</si>
  <si>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</si>
  <si>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</si>
  <si>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</si>
  <si>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</si>
  <si>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</si>
  <si>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</si>
  <si>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</si>
  <si>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</si>
  <si>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</si>
  <si>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</si>
  <si>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</si>
  <si>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</si>
  <si>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</si>
  <si>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</si>
  <si>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</si>
  <si>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</si>
  <si>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</si>
  <si>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</si>
  <si>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</si>
  <si>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</si>
  <si>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</si>
  <si>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</si>
  <si>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</si>
  <si>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</si>
  <si>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</si>
  <si>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</si>
  <si>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</si>
  <si>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</si>
  <si>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</si>
  <si>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</si>
  <si>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</si>
  <si>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</si>
  <si>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</si>
  <si>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</si>
  <si>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</si>
  <si>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</si>
  <si>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</si>
  <si>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</si>
  <si>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</si>
  <si>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</si>
  <si>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</si>
  <si>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</si>
  <si>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</si>
  <si>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</si>
  <si>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</si>
  <si>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</si>
  <si>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</si>
  <si>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</si>
  <si>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</si>
  <si>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</si>
  <si>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</si>
  <si>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</si>
  <si>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</si>
  <si>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</si>
  <si>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</si>
  <si>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</si>
  <si>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</si>
  <si>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</si>
  <si>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</si>
  <si>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</si>
  <si>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</si>
  <si>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</si>
  <si>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</si>
  <si>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</si>
  <si>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</si>
  <si>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</si>
  <si>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</si>
  <si>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</si>
  <si>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</si>
  <si>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</si>
  <si>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</si>
  <si>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</si>
  <si>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</si>
  <si>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</si>
  <si>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</si>
  <si>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</si>
  <si>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</si>
  <si>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</si>
  <si>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</si>
  <si>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</si>
  <si>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</si>
  <si>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</si>
  <si>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</si>
  <si>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</si>
  <si>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</si>
  <si>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</si>
  <si>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</si>
  <si>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</si>
  <si>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</si>
  <si>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</si>
  <si>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</si>
  <si>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</si>
  <si>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</si>
  <si>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</si>
  <si>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</si>
  <si>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</si>
  <si>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</si>
  <si>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</si>
  <si>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</si>
  <si>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</si>
  <si>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</si>
  <si>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</si>
  <si>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</si>
  <si>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</si>
  <si>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</si>
  <si>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</si>
  <si>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</si>
  <si>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</si>
  <si>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</si>
  <si>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</si>
  <si>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</si>
  <si>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</si>
  <si>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</si>
  <si>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</si>
  <si>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</si>
  <si>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</si>
  <si>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</si>
  <si>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</si>
  <si>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</si>
  <si>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</si>
  <si>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</si>
  <si>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</si>
  <si>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</si>
  <si>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</si>
  <si>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</si>
  <si>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</si>
  <si>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</si>
  <si>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</si>
  <si>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</si>
  <si>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</si>
  <si>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</si>
  <si>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</si>
  <si>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</si>
  <si>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</si>
  <si>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</si>
  <si>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</si>
  <si>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</si>
  <si>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</si>
  <si>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</si>
  <si>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</si>
  <si>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</si>
  <si>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</si>
  <si>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</si>
  <si>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</si>
  <si>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</si>
  <si>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</si>
  <si>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</si>
  <si>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</si>
  <si>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</si>
  <si>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</si>
  <si>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</si>
  <si>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</si>
  <si>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</si>
  <si>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</si>
  <si>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</si>
  <si>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</si>
  <si>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</si>
  <si>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</si>
  <si>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</si>
  <si>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</si>
  <si>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</si>
  <si>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</si>
  <si>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</si>
  <si>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</si>
  <si>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</si>
  <si>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</si>
  <si>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</si>
  <si>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</si>
  <si>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</si>
  <si>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</si>
  <si>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</si>
  <si>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</si>
  <si>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</si>
  <si>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</si>
  <si>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</si>
  <si>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</si>
  <si>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</si>
  <si>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</si>
  <si>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</si>
  <si>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</si>
  <si>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</si>
  <si>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</si>
  <si>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</si>
  <si>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</si>
  <si>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</si>
  <si>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</si>
  <si>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</si>
  <si>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</si>
  <si>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</si>
  <si>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</si>
  <si>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</si>
  <si>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</si>
  <si>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</si>
  <si>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</si>
  <si>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</si>
  <si>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</si>
  <si>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</si>
  <si>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</si>
  <si>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</si>
  <si>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</si>
  <si>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</si>
  <si>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</si>
  <si>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</si>
  <si>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</si>
  <si>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</si>
  <si>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</si>
  <si>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</si>
  <si>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</si>
  <si>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</si>
  <si>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</si>
  <si>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</si>
  <si>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</si>
  <si>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</si>
  <si>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</si>
  <si>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</si>
  <si>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</si>
  <si>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</si>
  <si>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</si>
  <si>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</si>
  <si>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</si>
  <si>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</si>
  <si>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</si>
  <si>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</si>
  <si>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</si>
  <si>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</si>
  <si>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</si>
  <si>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</si>
  <si>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</si>
  <si>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</si>
  <si>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</si>
  <si>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</si>
  <si>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</si>
  <si>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</si>
  <si>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</si>
  <si>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</si>
  <si>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</si>
  <si>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</si>
  <si>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</si>
  <si>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</si>
  <si>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</si>
  <si>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</si>
  <si>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</si>
  <si>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</si>
  <si>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</si>
  <si>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</si>
  <si>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</si>
  <si>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</si>
  <si>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</si>
  <si>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</si>
  <si>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</si>
  <si>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</si>
  <si>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</si>
  <si>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</si>
  <si>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</si>
  <si>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</si>
  <si>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</si>
  <si>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</si>
  <si>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</si>
  <si>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</si>
  <si>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</si>
  <si>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</si>
  <si>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</si>
  <si>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</si>
  <si>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</si>
  <si>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</si>
  <si>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</si>
  <si>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</si>
  <si>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</si>
  <si>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</si>
  <si>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</si>
  <si>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</si>
  <si>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</si>
  <si>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</si>
  <si>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</si>
  <si>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</si>
  <si>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</si>
  <si>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</si>
  <si>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</si>
  <si>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</si>
  <si>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</si>
  <si>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</si>
  <si>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</si>
  <si>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</si>
  <si>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</si>
  <si>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</si>
  <si>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</si>
  <si>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</si>
  <si>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</si>
  <si>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</si>
  <si>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</si>
  <si>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</si>
  <si>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</si>
  <si>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</si>
  <si>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</si>
  <si>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</si>
  <si>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</si>
  <si>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</si>
  <si>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</si>
  <si>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</si>
  <si>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</si>
  <si>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</si>
  <si>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</si>
  <si>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</si>
  <si>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</si>
  <si>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</si>
  <si>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</si>
  <si>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</si>
  <si>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</si>
  <si>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</si>
  <si>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</si>
  <si>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</si>
  <si>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</si>
  <si>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</si>
  <si>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</si>
  <si>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</si>
  <si>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</si>
  <si>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</si>
  <si>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</si>
  <si>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</si>
  <si>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</si>
  <si>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</si>
  <si>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</si>
  <si>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</si>
  <si>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</si>
  <si>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</si>
  <si>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</si>
  <si>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</si>
  <si>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</si>
  <si>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</si>
  <si>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</si>
  <si>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</si>
  <si>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</si>
  <si>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</si>
  <si>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</si>
  <si>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</si>
  <si>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</si>
  <si>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</si>
  <si>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</si>
  <si>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</si>
  <si>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</si>
  <si>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</si>
  <si>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</si>
  <si>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</si>
  <si>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</si>
  <si>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</si>
  <si>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</si>
  <si>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</si>
  <si>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</si>
  <si>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</si>
  <si>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1.2.331.1</t>
  </si>
  <si>
    <t>В арендном пользовании Павлова А.П.</t>
  </si>
  <si>
    <t>1-но этажное  здание, кирпичное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</si>
  <si>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</si>
  <si>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</si>
  <si>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</si>
  <si>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</si>
  <si>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</si>
  <si>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</si>
  <si>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</si>
  <si>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</si>
  <si>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</si>
  <si>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</si>
  <si>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</si>
  <si>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</si>
  <si>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</si>
  <si>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</si>
  <si>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</si>
  <si>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</si>
  <si>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</si>
  <si>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</si>
  <si>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</si>
  <si>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</si>
  <si>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</si>
  <si>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</si>
  <si>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</si>
  <si>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</si>
  <si>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</si>
  <si>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</si>
  <si>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</si>
  <si>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</si>
  <si>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</si>
  <si>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</si>
  <si>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</si>
  <si>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</si>
  <si>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</si>
  <si>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</si>
  <si>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</si>
  <si>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</si>
  <si>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</si>
  <si>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</si>
  <si>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</si>
  <si>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</si>
  <si>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</si>
  <si>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</si>
  <si>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</si>
  <si>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</si>
  <si>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</si>
  <si>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</si>
  <si>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</si>
  <si>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</si>
  <si>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</si>
  <si>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</si>
  <si>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</si>
  <si>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</si>
  <si>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</si>
  <si>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</si>
  <si>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</si>
  <si>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</si>
  <si>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</si>
  <si>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</si>
  <si>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</si>
  <si>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</si>
  <si>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</si>
  <si>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</si>
  <si>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</si>
  <si>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</si>
  <si>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</si>
  <si>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</si>
  <si>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</si>
  <si>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</si>
  <si>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</si>
  <si>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</si>
  <si>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</si>
  <si>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</si>
  <si>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</si>
  <si>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</si>
  <si>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</si>
  <si>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</si>
  <si>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</si>
  <si>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</si>
  <si>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</si>
  <si>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</si>
  <si>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</si>
  <si>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</si>
  <si>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</si>
  <si>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</si>
  <si>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</si>
  <si>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</si>
  <si>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</si>
  <si>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</si>
  <si>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</si>
  <si>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</si>
  <si>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</si>
  <si>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</si>
  <si>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</si>
  <si>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</si>
  <si>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</si>
  <si>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</si>
  <si>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</si>
  <si>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</si>
  <si>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</si>
  <si>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</si>
  <si>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</si>
  <si>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</si>
  <si>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</si>
  <si>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</si>
  <si>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</si>
  <si>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</si>
  <si>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</si>
  <si>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</si>
  <si>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</si>
  <si>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</si>
  <si>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</si>
  <si>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</si>
  <si>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</si>
  <si>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</si>
  <si>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</si>
  <si>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</si>
  <si>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</si>
  <si>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</si>
  <si>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</si>
  <si>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</si>
  <si>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</si>
  <si>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</si>
  <si>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</si>
  <si>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</si>
  <si>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</si>
  <si>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</si>
  <si>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</si>
  <si>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</si>
  <si>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</si>
  <si>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</si>
  <si>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</si>
  <si>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</si>
  <si>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</si>
  <si>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</si>
  <si>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</si>
  <si>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</si>
  <si>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</si>
  <si>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</si>
  <si>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</si>
  <si>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</si>
  <si>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</si>
  <si>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</si>
  <si>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</si>
  <si>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</si>
  <si>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</si>
  <si>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</si>
  <si>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</si>
  <si>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</si>
  <si>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</si>
  <si>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</si>
  <si>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</si>
  <si>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</si>
  <si>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</si>
  <si>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</si>
  <si>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</si>
  <si>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</si>
  <si>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</si>
  <si>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</si>
  <si>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</si>
  <si>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</si>
  <si>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</si>
  <si>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</si>
  <si>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</si>
  <si>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</si>
  <si>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</si>
  <si>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</si>
  <si>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</si>
  <si>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</si>
  <si>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</si>
  <si>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</si>
  <si>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</si>
  <si>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</si>
  <si>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</si>
  <si>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</si>
  <si>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</si>
  <si>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</si>
  <si>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</si>
  <si>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</si>
  <si>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</si>
  <si>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</si>
  <si>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</si>
  <si>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</si>
  <si>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</si>
  <si>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</si>
  <si>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</si>
  <si>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</si>
  <si>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</si>
  <si>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</si>
  <si>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</si>
  <si>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</si>
  <si>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</si>
  <si>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</si>
  <si>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</si>
  <si>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</si>
  <si>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</si>
  <si>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</si>
  <si>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</si>
  <si>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</si>
  <si>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</si>
  <si>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</si>
  <si>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</si>
  <si>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</si>
  <si>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</si>
  <si>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</si>
  <si>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</si>
  <si>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</si>
  <si>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</si>
  <si>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</si>
  <si>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</si>
  <si>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</si>
  <si>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</si>
  <si>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</si>
  <si>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</si>
  <si>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</si>
  <si>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</si>
  <si>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</si>
  <si>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</si>
  <si>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</si>
  <si>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</si>
  <si>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</si>
  <si>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</si>
  <si>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</si>
  <si>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</si>
  <si>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</si>
  <si>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</si>
  <si>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</si>
  <si>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</si>
  <si>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</si>
  <si>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</si>
  <si>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</si>
  <si>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</si>
  <si>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</si>
  <si>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</si>
  <si>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</si>
  <si>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</si>
  <si>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</si>
  <si>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</si>
  <si>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</si>
  <si>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</si>
  <si>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</si>
  <si>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</si>
  <si>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</si>
  <si>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</si>
  <si>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</si>
  <si>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</si>
  <si>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</si>
  <si>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</si>
  <si>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</si>
  <si>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</si>
  <si>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</si>
  <si>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</si>
  <si>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</si>
  <si>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</si>
  <si>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</si>
  <si>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</si>
  <si>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</si>
  <si>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</si>
  <si>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</si>
  <si>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</si>
  <si>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</si>
  <si>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</si>
  <si>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</si>
  <si>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</si>
  <si>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</si>
  <si>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</si>
  <si>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</si>
  <si>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</si>
  <si>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</si>
  <si>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</si>
  <si>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</si>
  <si>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</si>
  <si>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</si>
  <si>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</si>
  <si>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</si>
  <si>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</si>
  <si>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</si>
  <si>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</si>
  <si>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</si>
  <si>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</si>
  <si>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</si>
  <si>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</si>
  <si>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</si>
  <si>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</si>
  <si>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</si>
  <si>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</si>
  <si>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</si>
  <si>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</si>
  <si>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</si>
  <si>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</si>
  <si>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</si>
  <si>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</si>
  <si>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</si>
  <si>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</si>
  <si>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</si>
  <si>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</si>
  <si>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</si>
  <si>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</si>
  <si>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</si>
  <si>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</si>
  <si>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</si>
  <si>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</si>
  <si>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</si>
  <si>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</si>
  <si>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</si>
  <si>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</si>
  <si>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</si>
  <si>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</si>
  <si>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</si>
  <si>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</si>
  <si>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</si>
  <si>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</si>
  <si>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</si>
  <si>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</si>
  <si>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</si>
  <si>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</si>
  <si>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</si>
  <si>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</si>
  <si>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</si>
  <si>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</si>
  <si>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</si>
  <si>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</si>
  <si>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</si>
  <si>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</si>
  <si>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</si>
  <si>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</si>
  <si>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</si>
  <si>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</si>
  <si>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</si>
  <si>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</si>
  <si>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</si>
  <si>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</si>
  <si>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</si>
  <si>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</si>
  <si>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</si>
  <si>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</si>
  <si>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</si>
  <si>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</si>
  <si>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</si>
  <si>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</si>
  <si>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</si>
  <si>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</si>
  <si>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</si>
  <si>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</si>
  <si>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</si>
  <si>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</si>
  <si>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</si>
  <si>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</si>
  <si>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</si>
  <si>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</si>
  <si>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</si>
  <si>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</si>
  <si>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</si>
  <si>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</si>
  <si>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</si>
  <si>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</si>
  <si>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</si>
  <si>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</si>
  <si>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</si>
  <si>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</si>
  <si>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</si>
  <si>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</si>
  <si>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</si>
  <si>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</si>
  <si>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</si>
  <si>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</si>
  <si>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</si>
  <si>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</si>
  <si>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</si>
  <si>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</si>
  <si>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</si>
  <si>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</si>
  <si>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</si>
  <si>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</si>
  <si>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</si>
  <si>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</si>
  <si>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</si>
  <si>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</si>
  <si>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</si>
  <si>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</si>
  <si>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</si>
  <si>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</si>
  <si>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</si>
  <si>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</si>
  <si>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</si>
  <si>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</si>
  <si>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</si>
  <si>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</si>
  <si>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</si>
  <si>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</si>
  <si>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</si>
  <si>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</si>
  <si>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</si>
  <si>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</si>
  <si>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</si>
  <si>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</si>
  <si>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</si>
  <si>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</si>
  <si>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</si>
  <si>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</si>
  <si>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</si>
  <si>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</si>
  <si>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</si>
  <si>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</si>
  <si>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</si>
  <si>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</si>
  <si>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</si>
  <si>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</si>
  <si>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</si>
  <si>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</si>
  <si>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</si>
  <si>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</si>
  <si>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</si>
  <si>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</si>
  <si>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</si>
  <si>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</si>
  <si>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</si>
  <si>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</si>
  <si>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</si>
  <si>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</si>
  <si>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</si>
  <si>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</si>
  <si>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</si>
  <si>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</si>
  <si>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</si>
  <si>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</si>
  <si>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</si>
  <si>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</si>
  <si>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</si>
  <si>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</si>
  <si>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</si>
  <si>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</si>
  <si>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</si>
  <si>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</si>
  <si>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</si>
  <si>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</si>
  <si>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</si>
  <si>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</si>
  <si>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</si>
  <si>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</si>
  <si>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</si>
  <si>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</si>
  <si>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</si>
  <si>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</si>
  <si>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</si>
  <si>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</si>
  <si>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</si>
  <si>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</si>
  <si>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</si>
  <si>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</si>
  <si>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</si>
  <si>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</si>
  <si>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</si>
  <si>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</si>
  <si>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</si>
  <si>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</si>
  <si>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</si>
  <si>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</si>
  <si>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</si>
  <si>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</si>
  <si>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</si>
  <si>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</si>
  <si>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</si>
  <si>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</si>
  <si>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</si>
  <si>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</si>
  <si>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</si>
  <si>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</si>
  <si>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</si>
  <si>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</si>
  <si>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</si>
  <si>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</si>
  <si>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</si>
  <si>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</si>
  <si>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</si>
  <si>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</si>
  <si>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</si>
  <si>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</si>
  <si>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</si>
  <si>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</si>
  <si>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</si>
  <si>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</si>
  <si>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</si>
  <si>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</si>
  <si>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</si>
  <si>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</si>
  <si>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</si>
  <si>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</si>
  <si>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</si>
  <si>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</si>
  <si>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</si>
  <si>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</si>
  <si>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</si>
  <si>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</si>
  <si>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</si>
  <si>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</si>
  <si>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</si>
  <si>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</si>
  <si>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</si>
  <si>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</si>
  <si>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</si>
  <si>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</si>
  <si>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</si>
  <si>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</si>
  <si>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</si>
  <si>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</si>
  <si>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</si>
  <si>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</si>
  <si>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</si>
  <si>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</si>
  <si>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</si>
  <si>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</si>
  <si>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</si>
  <si>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</si>
  <si>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</si>
  <si>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</si>
  <si>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</si>
  <si>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</si>
  <si>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</si>
  <si>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</si>
  <si>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</si>
  <si>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</si>
  <si>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</si>
  <si>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</si>
  <si>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</si>
  <si>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</si>
  <si>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</si>
  <si>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</si>
  <si>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</si>
  <si>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</si>
  <si>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</si>
  <si>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</si>
  <si>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</si>
  <si>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</si>
  <si>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</si>
  <si>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</si>
  <si>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</si>
  <si>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</si>
  <si>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</si>
  <si>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</si>
  <si>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</si>
  <si>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</si>
  <si>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</si>
  <si>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</si>
  <si>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</si>
  <si>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</si>
  <si>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</si>
  <si>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</si>
  <si>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</si>
  <si>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</si>
  <si>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</si>
  <si>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</si>
  <si>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</si>
  <si>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</si>
  <si>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</si>
  <si>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</si>
  <si>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</si>
  <si>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</si>
  <si>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</si>
  <si>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</si>
  <si>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</si>
  <si>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</si>
  <si>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</si>
  <si>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</si>
  <si>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</si>
  <si>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</si>
  <si>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</si>
  <si>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</si>
  <si>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</si>
  <si>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</si>
  <si>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</si>
  <si>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</si>
  <si>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</si>
  <si>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</si>
  <si>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</si>
  <si>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</si>
  <si>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</si>
  <si>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</si>
  <si>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</si>
  <si>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</si>
  <si>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</si>
  <si>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</si>
  <si>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</si>
  <si>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</si>
  <si>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</si>
  <si>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</si>
  <si>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</si>
  <si>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</si>
  <si>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</si>
  <si>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</si>
  <si>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</si>
  <si>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</si>
  <si>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</si>
  <si>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</si>
  <si>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</si>
  <si>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</si>
  <si>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</si>
  <si>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</si>
  <si>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</si>
  <si>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</si>
  <si>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</si>
  <si>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</si>
  <si>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</si>
  <si>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</si>
  <si>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</si>
  <si>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</si>
  <si>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</si>
  <si>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</si>
  <si>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</si>
  <si>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</si>
  <si>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</si>
  <si>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</si>
  <si>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</si>
  <si>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</si>
  <si>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</si>
  <si>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</si>
  <si>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</si>
  <si>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</si>
  <si>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</si>
  <si>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</si>
  <si>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</si>
  <si>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</si>
  <si>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</si>
  <si>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</si>
  <si>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</si>
  <si>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</si>
  <si>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</si>
  <si>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</si>
  <si>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</si>
  <si>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</si>
  <si>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</si>
  <si>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</si>
  <si>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</si>
  <si>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</si>
  <si>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</si>
  <si>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</si>
  <si>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</si>
  <si>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</si>
  <si>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</si>
  <si>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</si>
  <si>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</si>
  <si>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</si>
  <si>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</si>
  <si>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</si>
  <si>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</si>
  <si>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</si>
  <si>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</si>
  <si>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</si>
  <si>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</si>
  <si>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</si>
  <si>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</si>
  <si>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</si>
  <si>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</si>
  <si>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</si>
  <si>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</si>
  <si>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</si>
  <si>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</si>
  <si>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</si>
  <si>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</si>
  <si>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</si>
  <si>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</si>
  <si>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</si>
  <si>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</si>
  <si>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</si>
  <si>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</si>
  <si>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</si>
  <si>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</si>
  <si>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</si>
  <si>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</si>
  <si>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</si>
  <si>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</si>
  <si>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</si>
  <si>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</si>
  <si>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</si>
  <si>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</si>
  <si>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</si>
  <si>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</si>
  <si>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</si>
  <si>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</si>
  <si>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</si>
  <si>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</si>
  <si>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</si>
  <si>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</si>
  <si>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</si>
  <si>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</si>
  <si>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</si>
  <si>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</si>
  <si>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</si>
  <si>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</si>
  <si>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</si>
  <si>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</si>
  <si>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</si>
  <si>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</si>
  <si>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</si>
  <si>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</si>
  <si>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</si>
  <si>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</si>
  <si>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</si>
  <si>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</si>
  <si>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</si>
  <si>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</si>
  <si>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</si>
  <si>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</si>
  <si>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</si>
  <si>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</si>
  <si>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</si>
  <si>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</si>
  <si>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</si>
  <si>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</si>
  <si>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</si>
  <si>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</si>
  <si>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</si>
  <si>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</si>
  <si>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</si>
  <si>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</si>
  <si>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</si>
  <si>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</si>
  <si>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</si>
  <si>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</si>
  <si>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</si>
  <si>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</si>
  <si>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</si>
  <si>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</si>
  <si>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</si>
  <si>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</si>
  <si>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</si>
  <si>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</si>
  <si>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</si>
  <si>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</si>
  <si>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</si>
  <si>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</si>
  <si>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</si>
  <si>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</si>
  <si>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</si>
  <si>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</si>
  <si>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</si>
  <si>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</si>
  <si>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</si>
  <si>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</si>
  <si>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</si>
  <si>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</si>
  <si>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</si>
  <si>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</si>
  <si>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</si>
  <si>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</si>
  <si>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</si>
  <si>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</si>
  <si>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</si>
  <si>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</si>
  <si>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</si>
  <si>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</si>
  <si>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</si>
  <si>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</si>
  <si>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</si>
  <si>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</si>
  <si>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</si>
  <si>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</si>
  <si>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</si>
  <si>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</si>
  <si>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</si>
  <si>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</si>
  <si>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</si>
  <si>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</si>
  <si>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</si>
  <si>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</si>
  <si>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</si>
  <si>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</si>
  <si>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</si>
  <si>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</si>
  <si>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</si>
  <si>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</si>
  <si>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</si>
  <si>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</si>
  <si>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</si>
  <si>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</si>
  <si>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</si>
  <si>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</si>
  <si>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</si>
  <si>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</si>
  <si>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</si>
  <si>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</si>
  <si>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</si>
  <si>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</si>
  <si>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</si>
  <si>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</si>
  <si>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</si>
  <si>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</si>
  <si>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</si>
  <si>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</si>
  <si>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</si>
  <si>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</si>
  <si>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</si>
  <si>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</si>
  <si>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</si>
  <si>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</si>
  <si>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</si>
  <si>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</si>
  <si>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</si>
  <si>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</si>
  <si>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</si>
  <si>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</si>
  <si>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</si>
  <si>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</si>
  <si>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</si>
  <si>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</si>
  <si>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</si>
  <si>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</si>
  <si>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</si>
  <si>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</si>
  <si>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</si>
  <si>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</si>
  <si>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</si>
  <si>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</si>
  <si>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</si>
  <si>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</si>
  <si>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</si>
  <si>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</si>
  <si>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</si>
  <si>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</si>
  <si>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</si>
  <si>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</si>
  <si>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</si>
  <si>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</si>
  <si>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</si>
  <si>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</si>
  <si>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</si>
  <si>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</si>
  <si>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</si>
  <si>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</si>
  <si>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</si>
  <si>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</si>
  <si>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</si>
  <si>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</si>
  <si>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</si>
  <si>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</si>
  <si>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</si>
  <si>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</si>
  <si>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</si>
  <si>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</si>
  <si>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</si>
  <si>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</si>
  <si>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</si>
  <si>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</si>
  <si>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</si>
  <si>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</si>
  <si>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</si>
  <si>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</si>
  <si>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</si>
  <si>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</si>
  <si>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</si>
  <si>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</si>
  <si>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</si>
  <si>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</si>
  <si>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</si>
  <si>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</si>
  <si>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</si>
  <si>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</si>
  <si>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</si>
  <si>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</si>
  <si>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</si>
  <si>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</si>
  <si>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</si>
  <si>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</si>
  <si>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</si>
  <si>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</si>
  <si>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</si>
  <si>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</si>
  <si>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</si>
  <si>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</si>
  <si>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</si>
  <si>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</si>
  <si>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</si>
  <si>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</si>
  <si>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</si>
  <si>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</si>
  <si>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</si>
  <si>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</si>
  <si>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</si>
  <si>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</si>
  <si>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</si>
  <si>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</si>
  <si>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</si>
  <si>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</si>
  <si>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</si>
  <si>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</si>
  <si>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</si>
  <si>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</si>
  <si>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</si>
  <si>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</si>
  <si>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</si>
  <si>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</si>
  <si>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</si>
  <si>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</si>
  <si>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</si>
  <si>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</si>
  <si>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</si>
  <si>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</si>
  <si>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</si>
  <si>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</si>
  <si>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</si>
  <si>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</si>
  <si>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</si>
  <si>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</si>
  <si>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</si>
  <si>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</si>
  <si>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</si>
  <si>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</si>
  <si>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</si>
  <si>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</si>
  <si>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</si>
  <si>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</si>
  <si>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</si>
  <si>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</si>
  <si>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</si>
  <si>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</si>
  <si>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</si>
  <si>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</si>
  <si>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</si>
  <si>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</si>
  <si>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</si>
  <si>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</si>
  <si>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</si>
  <si>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</si>
  <si>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</si>
  <si>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</si>
  <si>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</si>
  <si>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</si>
  <si>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</si>
  <si>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</si>
  <si>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</si>
  <si>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</si>
  <si>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</si>
  <si>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</si>
  <si>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</si>
  <si>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</si>
  <si>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</si>
  <si>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</si>
  <si>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</si>
  <si>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</si>
  <si>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</si>
  <si>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</si>
  <si>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</si>
  <si>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</si>
  <si>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</si>
  <si>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</si>
  <si>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</si>
  <si>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</si>
  <si>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</si>
  <si>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</si>
  <si>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</si>
  <si>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</si>
  <si>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</si>
  <si>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</si>
  <si>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</si>
  <si>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</si>
  <si>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</si>
  <si>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</si>
  <si>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</si>
  <si>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</si>
  <si>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</si>
  <si>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</si>
  <si>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</si>
  <si>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</si>
  <si>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</si>
  <si>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</si>
  <si>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</si>
  <si>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</si>
  <si>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</si>
  <si>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</si>
  <si>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</si>
  <si>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</si>
  <si>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</si>
  <si>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</si>
  <si>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</si>
  <si>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</si>
  <si>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</si>
  <si>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</si>
  <si>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</si>
  <si>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</si>
  <si>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</si>
  <si>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</si>
  <si>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</si>
  <si>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</si>
  <si>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</si>
  <si>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</si>
  <si>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</si>
  <si>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</si>
  <si>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</si>
  <si>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</si>
  <si>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</si>
  <si>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</si>
  <si>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</si>
  <si>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</si>
  <si>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</si>
  <si>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</si>
  <si>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</si>
  <si>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</si>
  <si>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</si>
  <si>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</si>
  <si>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</si>
  <si>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</si>
  <si>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</si>
  <si>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</si>
  <si>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</si>
  <si>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</si>
  <si>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</si>
  <si>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</si>
  <si>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</si>
  <si>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</si>
  <si>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</si>
  <si>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</si>
  <si>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</si>
  <si>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</si>
  <si>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</si>
  <si>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</si>
  <si>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</si>
  <si>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</si>
  <si>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</si>
  <si>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</si>
  <si>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</si>
  <si>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</si>
  <si>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</si>
  <si>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</si>
  <si>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</si>
  <si>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</si>
  <si>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</si>
  <si>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</si>
  <si>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1.1.820.4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</si>
  <si>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</si>
  <si>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</si>
  <si>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</si>
  <si>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</si>
  <si>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</si>
  <si>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</si>
  <si>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</si>
  <si>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</si>
  <si>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</si>
  <si>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</si>
  <si>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</si>
  <si>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</si>
  <si>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</si>
  <si>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</si>
  <si>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</si>
  <si>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</si>
  <si>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</si>
  <si>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</si>
  <si>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</si>
  <si>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</si>
  <si>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</si>
  <si>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</si>
  <si>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</si>
  <si>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</si>
  <si>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</si>
  <si>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</si>
  <si>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</si>
  <si>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</si>
  <si>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</si>
  <si>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</si>
  <si>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</si>
  <si>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</si>
  <si>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</si>
  <si>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</si>
  <si>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</si>
  <si>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</si>
  <si>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</si>
  <si>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</si>
  <si>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</si>
  <si>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</si>
  <si>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</si>
  <si>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</si>
  <si>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</si>
  <si>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</si>
  <si>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</si>
  <si>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</si>
  <si>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</si>
  <si>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</si>
  <si>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</si>
  <si>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</si>
  <si>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</si>
  <si>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</si>
  <si>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</si>
  <si>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</si>
  <si>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</si>
  <si>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</si>
  <si>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</si>
  <si>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</si>
  <si>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</si>
  <si>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</si>
  <si>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</si>
  <si>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</si>
  <si>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</si>
  <si>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</si>
  <si>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</si>
  <si>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</si>
  <si>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</si>
  <si>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</si>
  <si>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</si>
  <si>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</si>
  <si>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</si>
  <si>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</si>
  <si>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</si>
  <si>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</si>
  <si>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</si>
  <si>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</si>
  <si>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</si>
  <si>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</si>
  <si>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</si>
  <si>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</si>
  <si>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</si>
  <si>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</si>
  <si>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</si>
  <si>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</si>
  <si>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</si>
  <si>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</si>
  <si>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</si>
  <si>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</si>
  <si>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</si>
  <si>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</si>
  <si>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</si>
  <si>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</si>
  <si>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</si>
  <si>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</si>
  <si>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</si>
  <si>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</si>
  <si>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</si>
  <si>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</si>
  <si>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</si>
  <si>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</si>
  <si>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</si>
  <si>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</si>
  <si>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</si>
  <si>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</si>
  <si>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</si>
  <si>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</si>
  <si>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</si>
  <si>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</si>
  <si>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</si>
  <si>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</si>
  <si>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</si>
  <si>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</si>
  <si>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</si>
  <si>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</si>
  <si>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</si>
  <si>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</si>
  <si>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</si>
  <si>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</si>
  <si>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</si>
  <si>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</si>
  <si>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</si>
  <si>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</si>
  <si>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</si>
  <si>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</si>
  <si>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</si>
  <si>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</si>
  <si>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</si>
  <si>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</si>
  <si>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</si>
  <si>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</si>
  <si>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</si>
  <si>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</si>
  <si>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</si>
  <si>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</si>
  <si>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</si>
  <si>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</si>
  <si>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</si>
  <si>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</si>
  <si>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</si>
  <si>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</si>
  <si>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</si>
  <si>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</si>
  <si>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</si>
  <si>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</si>
  <si>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</si>
  <si>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</si>
  <si>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</si>
  <si>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</si>
  <si>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</si>
  <si>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</si>
  <si>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</si>
  <si>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</si>
  <si>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</si>
  <si>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</si>
  <si>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</si>
  <si>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</si>
  <si>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</si>
  <si>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</si>
  <si>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</si>
  <si>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</si>
  <si>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</si>
  <si>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</si>
  <si>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</si>
  <si>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</si>
  <si>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</si>
  <si>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</si>
  <si>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</si>
  <si>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</si>
  <si>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</si>
  <si>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</si>
  <si>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</si>
  <si>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</si>
  <si>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</si>
  <si>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</si>
  <si>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</si>
  <si>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</si>
  <si>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</si>
  <si>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</si>
  <si>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</si>
  <si>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</si>
  <si>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</si>
  <si>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</si>
  <si>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</si>
  <si>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</si>
  <si>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</si>
  <si>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</si>
  <si>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</si>
  <si>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</si>
  <si>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</si>
  <si>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</si>
  <si>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</si>
  <si>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</si>
  <si>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</si>
  <si>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</si>
  <si>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</si>
  <si>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</si>
  <si>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</si>
  <si>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</si>
  <si>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</si>
  <si>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</si>
  <si>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</si>
  <si>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</si>
  <si>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</si>
  <si>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</si>
  <si>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</si>
  <si>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</si>
  <si>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</si>
  <si>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</si>
  <si>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</si>
  <si>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</si>
  <si>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</si>
  <si>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</si>
  <si>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</si>
  <si>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</si>
  <si>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</si>
  <si>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</si>
  <si>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</si>
  <si>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</si>
  <si>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</si>
  <si>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</si>
  <si>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</si>
  <si>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</si>
  <si>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</si>
  <si>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</si>
  <si>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</si>
  <si>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</si>
  <si>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</si>
  <si>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</si>
  <si>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</si>
  <si>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</si>
  <si>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</si>
  <si>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</si>
  <si>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</si>
  <si>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</si>
  <si>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</si>
  <si>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</si>
  <si>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</si>
  <si>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</si>
  <si>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</si>
  <si>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</si>
  <si>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</si>
  <si>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</si>
  <si>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</si>
  <si>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</si>
  <si>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</si>
  <si>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</si>
  <si>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</si>
  <si>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</si>
  <si>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</si>
  <si>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</si>
  <si>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</si>
  <si>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</si>
  <si>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</si>
  <si>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</si>
  <si>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</si>
  <si>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</si>
  <si>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</si>
  <si>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</si>
  <si>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</si>
  <si>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</si>
  <si>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</si>
  <si>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</si>
  <si>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</si>
  <si>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</si>
  <si>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</si>
  <si>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</si>
  <si>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</si>
  <si>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</si>
  <si>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</si>
  <si>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</si>
  <si>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</si>
  <si>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</si>
  <si>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</si>
  <si>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</si>
  <si>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</si>
  <si>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</si>
  <si>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</si>
  <si>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</si>
  <si>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</si>
  <si>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</si>
  <si>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</si>
  <si>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</si>
  <si>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</si>
  <si>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</si>
  <si>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</si>
  <si>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</si>
  <si>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</si>
  <si>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</si>
  <si>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</si>
  <si>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</si>
  <si>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</si>
  <si>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</si>
  <si>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</si>
  <si>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</si>
  <si>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</si>
  <si>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</si>
  <si>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</si>
  <si>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</si>
  <si>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</si>
  <si>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</si>
  <si>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</si>
  <si>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</si>
  <si>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</si>
  <si>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</si>
  <si>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</si>
  <si>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</si>
  <si>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</si>
  <si>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</si>
  <si>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</si>
  <si>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</si>
  <si>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</si>
  <si>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</si>
  <si>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</si>
  <si>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</si>
  <si>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</si>
  <si>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</si>
  <si>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</si>
  <si>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</si>
  <si>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</si>
  <si>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</si>
  <si>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</si>
  <si>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</si>
  <si>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</si>
  <si>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</si>
  <si>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</si>
  <si>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</si>
  <si>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</si>
  <si>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</si>
  <si>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</si>
  <si>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</si>
  <si>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</si>
  <si>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</si>
  <si>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</si>
  <si>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</si>
  <si>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</si>
  <si>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</si>
  <si>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</si>
  <si>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</si>
  <si>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</si>
  <si>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</si>
  <si>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</si>
  <si>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</si>
  <si>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</si>
  <si>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</si>
  <si>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</si>
  <si>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</si>
  <si>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</si>
  <si>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</si>
  <si>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</si>
  <si>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</si>
  <si>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</si>
  <si>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</si>
  <si>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</si>
  <si>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</si>
  <si>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</si>
  <si>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</si>
  <si>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</si>
  <si>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</si>
  <si>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</si>
  <si>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</si>
  <si>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</si>
  <si>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</si>
  <si>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</si>
  <si>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</si>
  <si>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</si>
  <si>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</si>
  <si>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</si>
  <si>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</si>
  <si>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</si>
  <si>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</si>
  <si>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</si>
  <si>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</si>
  <si>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</si>
  <si>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</si>
  <si>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</si>
  <si>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</si>
  <si>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</si>
  <si>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</si>
  <si>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</si>
  <si>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</si>
  <si>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</si>
  <si>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</si>
  <si>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</si>
  <si>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</si>
  <si>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</si>
  <si>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</si>
  <si>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</si>
  <si>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</si>
  <si>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</si>
  <si>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</si>
  <si>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</si>
  <si>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</si>
  <si>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</si>
  <si>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</si>
  <si>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</si>
  <si>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</si>
  <si>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</si>
  <si>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</si>
  <si>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</si>
  <si>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</si>
  <si>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</si>
  <si>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</si>
  <si>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</si>
  <si>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</si>
  <si>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</si>
  <si>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</si>
  <si>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</si>
  <si>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</si>
  <si>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</si>
  <si>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</si>
  <si>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</si>
  <si>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</si>
  <si>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</si>
  <si>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</si>
  <si>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</si>
  <si>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</si>
  <si>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</si>
  <si>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</si>
  <si>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</si>
  <si>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</si>
  <si>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</si>
  <si>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</si>
  <si>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</si>
  <si>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</si>
  <si>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</si>
  <si>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</si>
  <si>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</si>
  <si>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</si>
  <si>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</si>
  <si>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</si>
  <si>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</si>
  <si>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</si>
  <si>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</si>
  <si>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</si>
  <si>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</si>
  <si>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</si>
  <si>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</si>
  <si>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</si>
  <si>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</si>
  <si>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</si>
  <si>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</si>
  <si>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</si>
  <si>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</si>
  <si>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</si>
  <si>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</si>
  <si>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</si>
  <si>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</si>
  <si>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</si>
  <si>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</si>
  <si>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</si>
  <si>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</si>
  <si>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</si>
  <si>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</si>
  <si>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</si>
  <si>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</si>
  <si>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</si>
  <si>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</si>
  <si>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</si>
  <si>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</si>
  <si>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</si>
  <si>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</si>
  <si>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5-ти этажное, кирпичное (подвальное, офис)</t>
  </si>
  <si>
    <t>5-этаж., кирпичное -свободное (подвальное)</t>
  </si>
  <si>
    <t>1.3.16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</si>
  <si>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</si>
  <si>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</si>
  <si>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</si>
  <si>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</si>
  <si>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</si>
  <si>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</si>
  <si>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</si>
  <si>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</si>
  <si>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</si>
  <si>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</si>
  <si>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</si>
  <si>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</si>
  <si>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</si>
  <si>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</si>
  <si>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</si>
  <si>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5</t>
  </si>
  <si>
    <t>1.1.821.</t>
  </si>
  <si>
    <t>1.1.821.1</t>
  </si>
  <si>
    <t>1.1.821.3</t>
  </si>
  <si>
    <t>1.1.821.31</t>
  </si>
  <si>
    <t>1.1.821.35</t>
  </si>
  <si>
    <t>20/1</t>
  </si>
  <si>
    <t>42:12:0102005:1062</t>
  </si>
  <si>
    <t>42:12:0102005:1097</t>
  </si>
  <si>
    <t>42:12:0102005:1095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</si>
  <si>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</si>
  <si>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</si>
  <si>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</si>
  <si>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</si>
  <si>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</si>
  <si>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</si>
  <si>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</si>
  <si>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</si>
  <si>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</si>
  <si>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</si>
  <si>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</si>
  <si>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</si>
  <si>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</si>
  <si>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</si>
  <si>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</si>
  <si>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</si>
  <si>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</si>
  <si>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</si>
  <si>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</si>
  <si>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</si>
  <si>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</si>
  <si>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</si>
  <si>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</si>
  <si>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</si>
  <si>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</si>
  <si>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</si>
  <si>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</si>
  <si>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</si>
  <si>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</si>
  <si>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</si>
  <si>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</si>
  <si>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</si>
  <si>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</si>
  <si>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</si>
  <si>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</si>
  <si>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</si>
  <si>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</si>
  <si>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</si>
  <si>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</si>
  <si>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</si>
  <si>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</si>
  <si>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</si>
  <si>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</si>
  <si>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</si>
  <si>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</si>
  <si>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</si>
  <si>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</si>
  <si>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</si>
  <si>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</si>
  <si>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</si>
  <si>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</si>
  <si>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</si>
  <si>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</si>
  <si>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</si>
  <si>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</si>
  <si>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</si>
  <si>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</si>
  <si>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</si>
  <si>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</si>
  <si>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</si>
  <si>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</si>
  <si>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</si>
  <si>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</si>
  <si>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</si>
  <si>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</si>
  <si>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</si>
  <si>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</si>
  <si>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</si>
  <si>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</si>
  <si>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</si>
  <si>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</si>
  <si>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</si>
  <si>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</si>
  <si>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</si>
  <si>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</si>
  <si>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</si>
  <si>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</si>
  <si>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</si>
  <si>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</si>
  <si>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</si>
  <si>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</si>
  <si>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</si>
  <si>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</si>
  <si>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</si>
  <si>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</si>
  <si>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</si>
  <si>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</si>
  <si>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</si>
  <si>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</si>
  <si>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</si>
  <si>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</si>
  <si>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</si>
  <si>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</si>
  <si>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</si>
  <si>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</si>
  <si>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</si>
  <si>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</si>
  <si>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</si>
  <si>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</si>
  <si>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</si>
  <si>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</si>
  <si>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</si>
  <si>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</si>
  <si>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</si>
  <si>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</si>
  <si>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</si>
  <si>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</si>
  <si>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</si>
  <si>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</si>
  <si>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</si>
  <si>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</si>
  <si>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</si>
  <si>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</si>
  <si>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</si>
  <si>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</si>
  <si>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</si>
  <si>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</si>
  <si>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</si>
  <si>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</si>
  <si>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</si>
  <si>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</si>
  <si>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</si>
  <si>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</si>
  <si>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</si>
  <si>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</si>
  <si>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</si>
  <si>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</si>
  <si>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</si>
  <si>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</si>
  <si>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</si>
  <si>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</si>
  <si>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</si>
  <si>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</si>
  <si>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</si>
  <si>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</si>
  <si>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</si>
  <si>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</si>
  <si>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</si>
  <si>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</si>
  <si>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</si>
  <si>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</si>
  <si>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</si>
  <si>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</si>
  <si>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</si>
  <si>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</si>
  <si>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</si>
  <si>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</si>
  <si>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</si>
  <si>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</si>
  <si>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</si>
  <si>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</si>
  <si>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</si>
  <si>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</si>
  <si>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</si>
  <si>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</si>
  <si>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</si>
  <si>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</si>
  <si>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</si>
  <si>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</si>
  <si>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</si>
  <si>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</si>
  <si>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</si>
  <si>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</si>
  <si>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</si>
  <si>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</si>
  <si>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</si>
  <si>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</si>
  <si>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</si>
  <si>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</si>
  <si>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</si>
  <si>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</si>
  <si>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</si>
  <si>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</si>
  <si>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</si>
  <si>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</si>
  <si>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</si>
  <si>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</si>
  <si>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</si>
  <si>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</si>
  <si>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</si>
  <si>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</si>
  <si>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</si>
  <si>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</si>
  <si>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</si>
  <si>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</si>
  <si>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</si>
  <si>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</si>
  <si>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</si>
  <si>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</si>
  <si>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</si>
  <si>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</si>
  <si>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</si>
  <si>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</si>
  <si>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</si>
  <si>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</si>
  <si>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</si>
  <si>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</si>
  <si>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</si>
  <si>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</si>
  <si>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</si>
  <si>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</si>
  <si>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</si>
  <si>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</si>
  <si>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</si>
  <si>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</si>
  <si>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</si>
  <si>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</si>
  <si>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 xml:space="preserve">42:12:0101001:47 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</si>
  <si>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</si>
  <si>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</si>
  <si>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</si>
  <si>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</si>
  <si>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</si>
  <si>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</si>
  <si>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</si>
  <si>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</si>
  <si>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</si>
  <si>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</si>
  <si>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</si>
  <si>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</si>
  <si>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</si>
  <si>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</si>
  <si>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</si>
  <si>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</si>
  <si>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</si>
  <si>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</si>
  <si>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</si>
  <si>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</si>
  <si>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</si>
  <si>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</si>
  <si>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</si>
  <si>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</si>
  <si>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</si>
  <si>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</si>
  <si>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</si>
  <si>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</si>
  <si>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</si>
  <si>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</si>
  <si>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</si>
  <si>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</si>
  <si>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</si>
  <si>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</si>
  <si>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</si>
  <si>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</si>
  <si>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</si>
  <si>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</si>
  <si>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</si>
  <si>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</si>
  <si>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</si>
  <si>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</si>
  <si>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</si>
  <si>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</si>
  <si>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</si>
  <si>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</si>
  <si>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</si>
  <si>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</si>
  <si>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</si>
  <si>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</si>
  <si>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</si>
  <si>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</si>
  <si>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</si>
  <si>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</si>
  <si>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</si>
  <si>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</si>
  <si>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</si>
  <si>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</si>
  <si>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</si>
  <si>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</si>
  <si>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</si>
  <si>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</si>
  <si>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</si>
  <si>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</si>
  <si>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</si>
  <si>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</si>
  <si>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</si>
  <si>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</si>
  <si>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</si>
  <si>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</si>
  <si>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</si>
  <si>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</si>
  <si>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</si>
  <si>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</si>
  <si>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</si>
  <si>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</si>
  <si>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</si>
  <si>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</si>
  <si>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</si>
  <si>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</si>
  <si>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</si>
  <si>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</si>
  <si>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</si>
  <si>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</si>
  <si>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</si>
  <si>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</si>
  <si>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</si>
  <si>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</si>
  <si>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</si>
  <si>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</si>
  <si>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</si>
  <si>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</si>
  <si>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</si>
  <si>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</si>
  <si>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</si>
  <si>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</si>
  <si>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</si>
  <si>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</si>
  <si>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</si>
  <si>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</si>
  <si>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</si>
  <si>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</si>
  <si>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</si>
  <si>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</si>
  <si>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</si>
  <si>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</si>
  <si>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</si>
  <si>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</si>
  <si>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</si>
  <si>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</si>
  <si>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</si>
  <si>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</si>
  <si>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</si>
  <si>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</si>
  <si>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</si>
  <si>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</si>
  <si>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</si>
  <si>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</si>
  <si>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</si>
  <si>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</si>
  <si>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</si>
  <si>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</si>
  <si>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</si>
  <si>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</si>
  <si>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</si>
  <si>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</si>
  <si>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</si>
  <si>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</si>
  <si>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</si>
  <si>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</si>
  <si>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</si>
  <si>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</si>
  <si>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</si>
  <si>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</si>
  <si>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</si>
  <si>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</si>
  <si>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</si>
  <si>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</si>
  <si>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</si>
  <si>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</si>
  <si>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</si>
  <si>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</si>
  <si>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</si>
  <si>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</si>
  <si>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</si>
  <si>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</si>
  <si>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</si>
  <si>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</si>
  <si>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</si>
  <si>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</si>
  <si>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</si>
  <si>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</si>
  <si>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</si>
  <si>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</si>
  <si>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</si>
  <si>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</si>
  <si>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</si>
  <si>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</si>
  <si>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</si>
  <si>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</si>
  <si>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</si>
  <si>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</si>
  <si>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</si>
  <si>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</si>
  <si>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</si>
  <si>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</si>
  <si>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</si>
  <si>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</si>
  <si>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</si>
  <si>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</si>
  <si>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</si>
  <si>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</si>
  <si>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</si>
  <si>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</si>
  <si>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</si>
  <si>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</si>
  <si>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</si>
  <si>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</si>
  <si>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</si>
  <si>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</si>
  <si>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</si>
  <si>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</si>
  <si>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</si>
  <si>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</si>
  <si>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</si>
  <si>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</si>
  <si>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</si>
  <si>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</si>
  <si>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</si>
  <si>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</si>
  <si>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</si>
  <si>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</si>
  <si>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</si>
  <si>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</si>
  <si>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</si>
  <si>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</si>
  <si>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</si>
  <si>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</si>
  <si>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</si>
  <si>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</si>
  <si>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</si>
  <si>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</si>
  <si>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</si>
  <si>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</si>
  <si>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</si>
  <si>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</si>
  <si>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</si>
  <si>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</si>
  <si>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1.2.87.1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</si>
  <si>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</si>
  <si>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</si>
  <si>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</si>
  <si>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</si>
  <si>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</si>
  <si>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</si>
  <si>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</si>
  <si>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</si>
  <si>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</si>
  <si>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</si>
  <si>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</si>
  <si>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</si>
  <si>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</si>
  <si>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</si>
  <si>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</si>
  <si>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</si>
  <si>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</si>
  <si>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</si>
  <si>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</si>
  <si>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</si>
  <si>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</si>
  <si>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</si>
  <si>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</si>
  <si>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</si>
  <si>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</si>
  <si>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</si>
  <si>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</si>
  <si>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</si>
  <si>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</si>
  <si>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</si>
  <si>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</si>
  <si>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</si>
  <si>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</si>
  <si>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</si>
  <si>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</si>
  <si>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</si>
  <si>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</si>
  <si>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</si>
  <si>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</si>
  <si>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</si>
  <si>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</si>
  <si>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</si>
  <si>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</si>
  <si>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</si>
  <si>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</si>
  <si>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</si>
  <si>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</si>
  <si>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</si>
  <si>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</si>
  <si>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</si>
  <si>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</si>
  <si>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</si>
  <si>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</si>
  <si>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</si>
  <si>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</si>
  <si>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</si>
  <si>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</si>
  <si>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</si>
  <si>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</si>
  <si>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</si>
  <si>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</si>
  <si>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</si>
  <si>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</si>
  <si>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</si>
  <si>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</si>
  <si>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</si>
  <si>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</si>
  <si>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</si>
  <si>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</si>
  <si>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</si>
  <si>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</si>
  <si>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</si>
  <si>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</si>
  <si>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</si>
  <si>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</si>
  <si>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</si>
  <si>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</si>
  <si>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 ул.Ленина (район горбольницы)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</si>
  <si>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</si>
  <si>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</si>
  <si>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</si>
  <si>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</si>
  <si>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</si>
  <si>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</si>
  <si>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</si>
  <si>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</si>
  <si>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</si>
  <si>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</si>
  <si>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</si>
  <si>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</si>
  <si>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</si>
  <si>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</si>
  <si>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</si>
  <si>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</si>
  <si>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</si>
  <si>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</si>
  <si>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</si>
  <si>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</si>
  <si>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</si>
  <si>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</si>
  <si>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</si>
  <si>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</si>
  <si>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</si>
  <si>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</si>
  <si>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</si>
  <si>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</si>
  <si>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</si>
  <si>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</si>
  <si>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</si>
  <si>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</si>
  <si>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</si>
  <si>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</si>
  <si>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</si>
  <si>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</si>
  <si>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</si>
  <si>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</si>
  <si>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</si>
  <si>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</si>
  <si>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</si>
  <si>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</si>
  <si>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</si>
  <si>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</si>
  <si>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</si>
  <si>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</si>
  <si>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</si>
  <si>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</si>
  <si>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</si>
  <si>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</si>
  <si>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</si>
  <si>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</si>
  <si>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</si>
  <si>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</si>
  <si>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</si>
  <si>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</si>
  <si>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</si>
  <si>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</si>
  <si>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</si>
  <si>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</si>
  <si>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</si>
  <si>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</si>
  <si>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</si>
  <si>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</si>
  <si>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</si>
  <si>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</si>
  <si>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</si>
  <si>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</si>
  <si>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</si>
  <si>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</si>
  <si>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</si>
  <si>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</si>
  <si>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</si>
  <si>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</si>
  <si>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</si>
  <si>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</si>
  <si>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</si>
  <si>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</si>
  <si>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</si>
  <si>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</si>
  <si>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</si>
  <si>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</si>
  <si>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</si>
  <si>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</si>
  <si>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</si>
  <si>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</si>
  <si>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</si>
  <si>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</si>
  <si>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</si>
  <si>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</si>
  <si>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</si>
  <si>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</si>
  <si>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</si>
  <si>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</si>
  <si>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</si>
  <si>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</si>
  <si>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</si>
  <si>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</si>
  <si>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</si>
  <si>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</si>
  <si>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</si>
  <si>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</si>
  <si>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</si>
  <si>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</si>
  <si>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</si>
  <si>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</si>
  <si>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</si>
  <si>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</si>
  <si>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</si>
  <si>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</si>
  <si>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</si>
  <si>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</si>
  <si>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</si>
  <si>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</si>
  <si>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</si>
  <si>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</si>
  <si>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</si>
  <si>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</si>
  <si>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</si>
  <si>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</si>
  <si>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</si>
  <si>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</si>
  <si>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</si>
  <si>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</si>
  <si>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</si>
  <si>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</si>
  <si>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</si>
  <si>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</si>
  <si>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</si>
  <si>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</si>
  <si>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</si>
  <si>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</si>
  <si>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</si>
  <si>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</si>
  <si>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</si>
  <si>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</si>
  <si>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</si>
  <si>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</si>
  <si>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</si>
  <si>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</si>
  <si>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</si>
  <si>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</si>
  <si>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</si>
  <si>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</si>
  <si>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</si>
  <si>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</si>
  <si>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</si>
  <si>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</si>
  <si>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</si>
  <si>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</si>
  <si>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</si>
  <si>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</si>
  <si>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</si>
  <si>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</si>
  <si>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</si>
  <si>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</si>
  <si>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</si>
  <si>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</si>
  <si>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</si>
  <si>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</si>
  <si>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</si>
  <si>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</si>
  <si>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</si>
  <si>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</si>
  <si>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</si>
  <si>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</si>
  <si>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</si>
  <si>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</si>
  <si>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</si>
  <si>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</si>
  <si>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</si>
  <si>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</si>
  <si>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</si>
  <si>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</si>
  <si>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</si>
  <si>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</si>
  <si>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</si>
  <si>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</si>
  <si>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</si>
  <si>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</si>
  <si>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</si>
  <si>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</si>
  <si>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</si>
  <si>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</si>
  <si>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</si>
  <si>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</si>
  <si>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</si>
  <si>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</si>
  <si>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</si>
  <si>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</si>
  <si>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</si>
  <si>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1.1.825.7</t>
  </si>
  <si>
    <t>1.1.825.8</t>
  </si>
  <si>
    <t>1.1.825.9</t>
  </si>
  <si>
    <t>1.1.825.12</t>
  </si>
  <si>
    <t>1.1.825.14</t>
  </si>
  <si>
    <t>1.1.825.15</t>
  </si>
  <si>
    <t>1.1.825.16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</si>
  <si>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</si>
  <si>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</si>
  <si>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</si>
  <si>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</si>
  <si>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</si>
  <si>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</si>
  <si>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</si>
  <si>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</si>
  <si>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</si>
  <si>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</si>
  <si>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</si>
  <si>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</si>
  <si>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</si>
  <si>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42:12:0104001:3628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</si>
  <si>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</si>
  <si>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</si>
  <si>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</si>
  <si>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</si>
  <si>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</si>
  <si>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</si>
  <si>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</si>
  <si>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</si>
  <si>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</si>
  <si>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</si>
  <si>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</si>
  <si>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</si>
  <si>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</si>
  <si>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</si>
  <si>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</si>
  <si>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</si>
  <si>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</si>
  <si>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</si>
  <si>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</si>
  <si>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</si>
  <si>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42:12:0105002:3226</t>
  </si>
  <si>
    <t>42:12:0105002:3228</t>
  </si>
  <si>
    <t>42:12:0105002:3232</t>
  </si>
  <si>
    <t>42:12:0105002:3238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</si>
  <si>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</si>
  <si>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</si>
  <si>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</si>
  <si>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</si>
  <si>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</si>
  <si>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</si>
  <si>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</si>
  <si>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</si>
  <si>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</si>
  <si>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</si>
  <si>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</si>
  <si>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</si>
  <si>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</si>
  <si>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</si>
  <si>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</si>
  <si>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</si>
  <si>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</si>
  <si>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</si>
  <si>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1.1.827.7</t>
  </si>
  <si>
    <t>42:34:0114008:134</t>
  </si>
  <si>
    <t>42:34:0114008:139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</si>
  <si>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</si>
  <si>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</si>
  <si>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</si>
  <si>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</si>
  <si>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</si>
  <si>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</si>
  <si>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</si>
  <si>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</si>
  <si>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</si>
  <si>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</si>
  <si>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</si>
  <si>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</si>
  <si>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</si>
  <si>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</si>
  <si>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</si>
  <si>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</si>
  <si>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</si>
  <si>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</si>
  <si>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</si>
  <si>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</si>
  <si>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</si>
  <si>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</si>
  <si>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</si>
  <si>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</si>
  <si>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</si>
  <si>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</si>
  <si>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</si>
  <si>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</si>
  <si>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</si>
  <si>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</si>
  <si>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</si>
  <si>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</si>
  <si>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</si>
  <si>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</si>
  <si>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</si>
  <si>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</si>
  <si>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</si>
  <si>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</si>
  <si>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</si>
  <si>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</si>
  <si>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</si>
  <si>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</si>
  <si>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</si>
  <si>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</si>
  <si>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</si>
  <si>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</si>
  <si>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</si>
  <si>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</si>
  <si>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</si>
  <si>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</si>
  <si>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</si>
  <si>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</si>
  <si>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</si>
  <si>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</si>
  <si>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</si>
  <si>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</si>
  <si>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</si>
  <si>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</si>
  <si>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</si>
  <si>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</si>
  <si>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</si>
  <si>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</si>
  <si>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</si>
  <si>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</si>
  <si>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</si>
  <si>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</si>
  <si>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</si>
  <si>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</si>
  <si>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</si>
  <si>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</si>
  <si>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</si>
  <si>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</si>
  <si>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</si>
  <si>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</si>
  <si>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</si>
  <si>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</si>
  <si>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</si>
  <si>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</si>
  <si>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</si>
  <si>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</si>
  <si>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</si>
  <si>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</si>
  <si>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</si>
  <si>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</si>
  <si>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</si>
  <si>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</si>
  <si>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</si>
  <si>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</si>
  <si>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</si>
  <si>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</si>
  <si>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</si>
  <si>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</si>
  <si>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</si>
  <si>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</si>
  <si>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</si>
  <si>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</si>
  <si>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</si>
  <si>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</si>
  <si>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</si>
  <si>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</si>
  <si>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</si>
  <si>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</si>
  <si>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</si>
  <si>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</si>
  <si>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</si>
  <si>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</si>
  <si>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</si>
  <si>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</si>
  <si>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</si>
  <si>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</si>
  <si>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</si>
  <si>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</si>
  <si>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</si>
  <si>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</si>
  <si>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</si>
  <si>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</si>
  <si>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</si>
  <si>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</si>
  <si>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</si>
  <si>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</si>
  <si>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</si>
  <si>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42:12:0102015:298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</si>
  <si>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</si>
  <si>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</si>
  <si>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</si>
  <si>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</si>
  <si>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</si>
  <si>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</si>
  <si>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</si>
  <si>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</si>
  <si>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</si>
  <si>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</si>
  <si>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</si>
  <si>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</si>
  <si>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</si>
  <si>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</si>
  <si>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</si>
  <si>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1.2.242.1</t>
  </si>
  <si>
    <t>пристрой 2-3 этажи- второй этаж</t>
  </si>
  <si>
    <t>42:12:0102015:221</t>
  </si>
  <si>
    <t>42:12:0102015:222</t>
  </si>
  <si>
    <t>42:12:0102015:224</t>
  </si>
  <si>
    <t>42:12:0102015:225</t>
  </si>
  <si>
    <t>42:12:0102015:226</t>
  </si>
  <si>
    <t>42:12:0102015:227</t>
  </si>
  <si>
    <t>42:12:0102015:228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</si>
  <si>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</si>
  <si>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</si>
  <si>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</si>
  <si>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</si>
  <si>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</si>
  <si>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</si>
  <si>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42:12:0102015:219</t>
  </si>
  <si>
    <t>42:12:0102015:220</t>
  </si>
  <si>
    <t>1.4.17.1</t>
  </si>
  <si>
    <t>42:34:0106003:512</t>
  </si>
  <si>
    <t>42:12:0102015:281</t>
  </si>
  <si>
    <t>42:12:0102015:320</t>
  </si>
  <si>
    <t>42:12:0102015:321</t>
  </si>
  <si>
    <t>42:12:0102015:324</t>
  </si>
  <si>
    <t>42:12:0108002:764</t>
  </si>
  <si>
    <t>42:12:0102015:264</t>
  </si>
  <si>
    <t>42:12:0102015:273</t>
  </si>
  <si>
    <t>42:12:0102015:269</t>
  </si>
  <si>
    <t>42:12:0102015:270</t>
  </si>
  <si>
    <t>42:12:0102015:271</t>
  </si>
  <si>
    <t xml:space="preserve">Галерея угля </t>
  </si>
  <si>
    <t>В арендном пользовании ООО "Асгард"</t>
  </si>
  <si>
    <t>1.4.19.1</t>
  </si>
  <si>
    <t>1.4.26.1</t>
  </si>
  <si>
    <t>1.4.26.3</t>
  </si>
  <si>
    <t>1.4.26.4</t>
  </si>
  <si>
    <t>1.4.26.5</t>
  </si>
  <si>
    <t>1.4.26.6</t>
  </si>
  <si>
    <t>1.4.26.7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</si>
  <si>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</si>
  <si>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</si>
  <si>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</si>
  <si>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</si>
  <si>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</si>
  <si>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</si>
  <si>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</si>
  <si>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</si>
  <si>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</si>
  <si>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</si>
  <si>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</si>
  <si>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</si>
  <si>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</si>
  <si>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</si>
  <si>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</si>
  <si>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</si>
  <si>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</si>
  <si>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</si>
  <si>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</si>
  <si>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</si>
  <si>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</si>
  <si>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</si>
  <si>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</si>
  <si>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</si>
  <si>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</si>
  <si>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</si>
  <si>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</si>
  <si>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1.4.26.36</t>
  </si>
  <si>
    <t>1.4.26.37</t>
  </si>
  <si>
    <t>1.4.26.38</t>
  </si>
  <si>
    <t>1.4.26.39</t>
  </si>
  <si>
    <t>1.4.26.40</t>
  </si>
  <si>
    <t>1.4.26.41</t>
  </si>
  <si>
    <t>1.4.26.42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</si>
  <si>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</si>
  <si>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</si>
  <si>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</si>
  <si>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</si>
  <si>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</si>
  <si>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</si>
  <si>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</si>
  <si>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</si>
  <si>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1.4.26.53</t>
  </si>
  <si>
    <t>1.4.26.54</t>
  </si>
  <si>
    <t>1.4.26.55</t>
  </si>
  <si>
    <t>1.4.26.56</t>
  </si>
  <si>
    <t>1.4.26.57</t>
  </si>
  <si>
    <t>1.4.26.59</t>
  </si>
  <si>
    <t>1.4.26.60</t>
  </si>
  <si>
    <t>1.4.26.61</t>
  </si>
  <si>
    <t>1.4.26.62</t>
  </si>
  <si>
    <t>1.4.26.63</t>
  </si>
  <si>
    <t>1.4.26.64</t>
  </si>
  <si>
    <t>1.4.26.68</t>
  </si>
  <si>
    <t>1.4.26.69</t>
  </si>
  <si>
    <t>1.4.26.70</t>
  </si>
  <si>
    <t>1.4.26.72</t>
  </si>
  <si>
    <t>1.4.26.73</t>
  </si>
  <si>
    <t>1.4.26.74</t>
  </si>
  <si>
    <t>1.4.26.76</t>
  </si>
  <si>
    <t>1.4.26.78</t>
  </si>
  <si>
    <t>1.4.26.80</t>
  </si>
  <si>
    <t>1.4.26.81</t>
  </si>
  <si>
    <t>1.4.26.82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</si>
  <si>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</si>
  <si>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</si>
  <si>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</si>
  <si>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</si>
  <si>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</si>
  <si>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</si>
  <si>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</si>
  <si>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</si>
  <si>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1.4.26.85</t>
  </si>
  <si>
    <t>1.4.26.86</t>
  </si>
  <si>
    <t>1.4.26.87</t>
  </si>
  <si>
    <t>1.4.26.89</t>
  </si>
  <si>
    <t>1.4.26.90</t>
  </si>
  <si>
    <t>1.4.26.91</t>
  </si>
  <si>
    <t>1.4.26.92</t>
  </si>
  <si>
    <t>1.4.26.93</t>
  </si>
  <si>
    <t>1.4.26.94</t>
  </si>
  <si>
    <t>42:12:0102015:313</t>
  </si>
  <si>
    <t>42:12:0102015:371</t>
  </si>
  <si>
    <t>42:12:0102015:370</t>
  </si>
  <si>
    <t>42:12:0102015:368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</si>
  <si>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</si>
  <si>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</si>
  <si>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</si>
  <si>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</si>
  <si>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</si>
  <si>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</si>
  <si>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</si>
  <si>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</si>
  <si>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</si>
  <si>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</si>
  <si>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</si>
  <si>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</si>
  <si>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</si>
  <si>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</si>
  <si>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</si>
  <si>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</si>
  <si>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</si>
  <si>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</si>
  <si>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</si>
  <si>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1.4.26.113</t>
  </si>
  <si>
    <t>1.4.26.114</t>
  </si>
  <si>
    <t>1.4.26.115</t>
  </si>
  <si>
    <t>1.4.26.116</t>
  </si>
  <si>
    <t>1.4.26.117</t>
  </si>
  <si>
    <t>1.4.26.118</t>
  </si>
  <si>
    <t>1.4.26.119</t>
  </si>
  <si>
    <t>1.4.26.120</t>
  </si>
  <si>
    <t>42:12:0102015:268</t>
  </si>
  <si>
    <t>42:12:0102015:333</t>
  </si>
  <si>
    <t>42:12:0102015:322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</si>
  <si>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</si>
  <si>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</si>
  <si>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</si>
  <si>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</si>
  <si>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</si>
  <si>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</si>
  <si>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</si>
  <si>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</si>
  <si>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</si>
  <si>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</si>
  <si>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</si>
  <si>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</si>
  <si>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</si>
  <si>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</si>
  <si>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</si>
  <si>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</si>
  <si>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</si>
  <si>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</si>
  <si>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</si>
  <si>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</si>
  <si>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</si>
  <si>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</si>
  <si>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1.1.821.44</t>
  </si>
  <si>
    <t>1.1.821.51</t>
  </si>
  <si>
    <t>1.1.821.59</t>
  </si>
  <si>
    <t>42:12:0102005:1155</t>
  </si>
  <si>
    <t>10-ти этажное, крупноблочные</t>
  </si>
  <si>
    <t>42:12:0102005:1168</t>
  </si>
  <si>
    <t>42:12:0102005:1179</t>
  </si>
  <si>
    <t>1.1.821.79</t>
  </si>
  <si>
    <t>1.1.821.80</t>
  </si>
  <si>
    <t>1.1.821.81</t>
  </si>
  <si>
    <t>42:12:0102005:1221</t>
  </si>
  <si>
    <t>42:12:0102005:1222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</si>
  <si>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</si>
  <si>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</si>
  <si>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</si>
  <si>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</si>
  <si>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</si>
  <si>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</si>
  <si>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</si>
  <si>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</si>
  <si>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</si>
  <si>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</si>
  <si>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1.4.26.123</t>
  </si>
  <si>
    <t>1.4.26.125</t>
  </si>
  <si>
    <t>1.4.26.126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</si>
  <si>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</si>
  <si>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</si>
  <si>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</si>
  <si>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</si>
  <si>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</si>
  <si>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</si>
  <si>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</si>
  <si>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</si>
  <si>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42:12:0102015:280</t>
  </si>
  <si>
    <t>42:12:0102015:278</t>
  </si>
  <si>
    <t>42:12:0102015:283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</si>
  <si>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</si>
  <si>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</si>
  <si>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</si>
  <si>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</si>
  <si>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</si>
  <si>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</si>
  <si>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</si>
  <si>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</si>
  <si>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</si>
  <si>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</si>
  <si>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</si>
  <si>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</si>
  <si>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</si>
  <si>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</si>
  <si>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</si>
  <si>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</si>
  <si>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</si>
  <si>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</si>
  <si>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</si>
  <si>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</si>
  <si>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</si>
  <si>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</si>
  <si>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</si>
  <si>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</si>
  <si>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</si>
  <si>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</si>
  <si>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</si>
  <si>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</si>
  <si>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</si>
  <si>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</si>
  <si>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</si>
  <si>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</si>
  <si>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</si>
  <si>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затраты на капитальный ремонт</t>
  </si>
  <si>
    <t>60/402</t>
  </si>
  <si>
    <t>6-ти этажное, кирпичное (2-й этаж)-фотостудия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</si>
  <si>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</si>
  <si>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</si>
  <si>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</si>
  <si>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</si>
  <si>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</si>
  <si>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</si>
  <si>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</si>
  <si>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</si>
  <si>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</si>
  <si>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</si>
  <si>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</si>
  <si>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</si>
  <si>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</si>
  <si>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</si>
  <si>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</si>
  <si>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</si>
  <si>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</si>
  <si>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</si>
  <si>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</si>
  <si>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</si>
  <si>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</si>
  <si>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</si>
  <si>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</si>
  <si>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</si>
  <si>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</si>
  <si>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</si>
  <si>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</si>
  <si>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</si>
  <si>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</si>
  <si>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</si>
  <si>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</si>
  <si>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</si>
  <si>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</si>
  <si>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</si>
  <si>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</si>
  <si>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</si>
  <si>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</si>
  <si>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</si>
  <si>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</si>
  <si>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</si>
  <si>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</si>
  <si>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</si>
  <si>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</si>
  <si>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</si>
  <si>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</si>
  <si>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</si>
  <si>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</si>
  <si>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</si>
  <si>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</si>
  <si>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</si>
  <si>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</si>
  <si>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</si>
  <si>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</si>
  <si>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</si>
  <si>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</si>
  <si>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</si>
  <si>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</si>
  <si>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</si>
  <si>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1.1.563.3</t>
  </si>
  <si>
    <t>1.1.7.76</t>
  </si>
  <si>
    <t>42:34:0106003:505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</si>
  <si>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</si>
  <si>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</si>
  <si>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</si>
  <si>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</si>
  <si>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</si>
  <si>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</si>
  <si>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</si>
  <si>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</si>
  <si>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</si>
  <si>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</si>
  <si>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</si>
  <si>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</si>
  <si>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</si>
  <si>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</si>
  <si>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</si>
  <si>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</si>
  <si>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</si>
  <si>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</si>
  <si>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</si>
  <si>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</si>
  <si>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</si>
  <si>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</si>
  <si>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</si>
  <si>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</si>
  <si>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</si>
  <si>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</si>
  <si>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</si>
  <si>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</si>
  <si>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</si>
  <si>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</si>
  <si>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</si>
  <si>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</si>
  <si>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</si>
  <si>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</si>
  <si>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</si>
  <si>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</si>
  <si>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</si>
  <si>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</si>
  <si>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</si>
  <si>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</si>
  <si>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</si>
  <si>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</si>
  <si>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</si>
  <si>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</si>
  <si>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1.4.26.148</t>
  </si>
  <si>
    <t>1.4.26.149</t>
  </si>
  <si>
    <t>1.4.26.151</t>
  </si>
  <si>
    <t>1.4.26.152</t>
  </si>
  <si>
    <t>1.4.26.153</t>
  </si>
  <si>
    <t>42:12:0102015:409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</si>
  <si>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</si>
  <si>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</si>
  <si>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</si>
  <si>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</si>
  <si>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</si>
  <si>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</si>
  <si>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1.4.26.156</t>
  </si>
  <si>
    <t>1.4.26.157</t>
  </si>
  <si>
    <t>1.4.26.158</t>
  </si>
  <si>
    <t>1.4.26.159</t>
  </si>
  <si>
    <t>1.4.26.160</t>
  </si>
  <si>
    <t>1.4.26.161</t>
  </si>
  <si>
    <t>1.4.26.162</t>
  </si>
  <si>
    <t>1.4.26.164</t>
  </si>
  <si>
    <t>1.4.26.165</t>
  </si>
  <si>
    <t>1.4.26.166</t>
  </si>
  <si>
    <t>1.4.26.167</t>
  </si>
  <si>
    <t>1.4.26.168</t>
  </si>
  <si>
    <t>1.4.26.171</t>
  </si>
  <si>
    <t>1.4.26.172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</si>
  <si>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</si>
  <si>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</si>
  <si>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</si>
  <si>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</si>
  <si>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</si>
  <si>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</si>
  <si>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</si>
  <si>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42:12:0102015:437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</si>
  <si>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</si>
  <si>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</si>
  <si>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</si>
  <si>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</si>
  <si>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</si>
  <si>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</si>
  <si>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42:12:0102015:445</t>
  </si>
  <si>
    <t>42:12:0102015:446</t>
  </si>
  <si>
    <t>42:12:0102015:447</t>
  </si>
  <si>
    <t>42:12:0102015:448</t>
  </si>
  <si>
    <t>42:12:0102015:449</t>
  </si>
  <si>
    <t>42:12:0102015:452</t>
  </si>
  <si>
    <t>42:12:0102015:453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</si>
  <si>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</si>
  <si>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</si>
  <si>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</si>
  <si>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</si>
  <si>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</si>
  <si>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</si>
  <si>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</si>
  <si>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</si>
  <si>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</si>
  <si>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</si>
  <si>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</si>
  <si>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</si>
  <si>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</si>
  <si>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</si>
  <si>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</si>
  <si>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</si>
  <si>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</si>
  <si>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</si>
  <si>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</si>
  <si>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</si>
  <si>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</si>
  <si>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</si>
  <si>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</si>
  <si>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</si>
  <si>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</si>
  <si>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</si>
  <si>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</si>
  <si>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</si>
  <si>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</si>
  <si>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</si>
  <si>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</si>
  <si>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</si>
  <si>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</si>
  <si>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</si>
  <si>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</si>
  <si>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</si>
  <si>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</si>
  <si>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</si>
  <si>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</si>
  <si>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</si>
  <si>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</si>
  <si>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</si>
  <si>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</si>
  <si>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</si>
  <si>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</si>
  <si>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</si>
  <si>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</si>
  <si>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</si>
  <si>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</si>
  <si>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</si>
  <si>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</si>
  <si>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</si>
  <si>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</si>
  <si>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</si>
  <si>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</si>
  <si>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</si>
  <si>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</si>
  <si>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</si>
  <si>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</si>
  <si>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</si>
  <si>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</si>
  <si>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</si>
  <si>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</si>
  <si>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</si>
  <si>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</si>
  <si>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</si>
  <si>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</si>
  <si>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</si>
  <si>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</si>
  <si>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</si>
  <si>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</si>
  <si>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</si>
  <si>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</si>
  <si>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</si>
  <si>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</si>
  <si>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</si>
  <si>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</si>
  <si>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</si>
  <si>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</si>
  <si>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</si>
  <si>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</si>
  <si>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</si>
  <si>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</si>
  <si>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</si>
  <si>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</si>
  <si>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</si>
  <si>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</si>
  <si>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</si>
  <si>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</si>
  <si>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</si>
  <si>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</si>
  <si>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</si>
  <si>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</si>
  <si>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</si>
  <si>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</si>
  <si>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</si>
  <si>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</si>
  <si>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</si>
  <si>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</si>
  <si>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</si>
  <si>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</si>
  <si>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</si>
  <si>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</si>
  <si>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</si>
  <si>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</si>
  <si>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</si>
  <si>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</si>
  <si>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</si>
  <si>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</si>
  <si>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</si>
  <si>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</si>
  <si>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</si>
  <si>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</si>
  <si>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</si>
  <si>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</si>
  <si>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</si>
  <si>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</si>
  <si>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</si>
  <si>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</si>
  <si>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</si>
  <si>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</si>
  <si>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</si>
  <si>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</si>
  <si>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</si>
  <si>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</si>
  <si>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</si>
  <si>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</si>
  <si>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</si>
  <si>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</si>
  <si>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</si>
  <si>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</si>
  <si>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</si>
  <si>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</si>
  <si>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</si>
  <si>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</si>
  <si>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</si>
  <si>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</si>
  <si>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</si>
  <si>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</si>
  <si>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</si>
  <si>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</si>
  <si>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</si>
  <si>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</si>
  <si>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</si>
  <si>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</si>
  <si>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</si>
  <si>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</si>
  <si>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</si>
  <si>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</si>
  <si>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</si>
  <si>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</si>
  <si>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</si>
  <si>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</si>
  <si>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</si>
  <si>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</si>
  <si>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</si>
  <si>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</si>
  <si>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</si>
  <si>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</si>
  <si>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</si>
  <si>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</si>
  <si>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</si>
  <si>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</si>
  <si>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</si>
  <si>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</si>
  <si>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</si>
  <si>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</si>
  <si>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</si>
  <si>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</si>
  <si>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</si>
  <si>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</si>
  <si>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1.4.26.186</t>
  </si>
  <si>
    <t>1.4.26.187</t>
  </si>
  <si>
    <t>1.4.26.188</t>
  </si>
  <si>
    <t>1.4.26.189</t>
  </si>
  <si>
    <t>1.4.26.190</t>
  </si>
  <si>
    <t>1.4.26.191</t>
  </si>
  <si>
    <t>1.4.26.192</t>
  </si>
  <si>
    <t>1.4.26.193</t>
  </si>
  <si>
    <t>1.4.26.194</t>
  </si>
  <si>
    <t>1.4.26.195</t>
  </si>
  <si>
    <t>1.4.26.196</t>
  </si>
  <si>
    <t>1.4.26.197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</si>
  <si>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</si>
  <si>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</si>
  <si>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</si>
  <si>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</si>
  <si>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</si>
  <si>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</si>
  <si>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42:12:0102015:404</t>
  </si>
  <si>
    <t>42:12:0102015:424</t>
  </si>
  <si>
    <t>42:12:0102015:425</t>
  </si>
  <si>
    <t>42:12:0102015:294</t>
  </si>
  <si>
    <t>42:12:0102015:417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</si>
  <si>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</si>
  <si>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</si>
  <si>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</si>
  <si>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</si>
  <si>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</si>
  <si>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</si>
  <si>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42:12:0102015:464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</si>
  <si>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</si>
  <si>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</si>
  <si>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</si>
  <si>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</si>
  <si>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</si>
  <si>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</si>
  <si>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</si>
  <si>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</si>
  <si>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</si>
  <si>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</si>
  <si>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</si>
  <si>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</si>
  <si>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</si>
  <si>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</si>
  <si>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</si>
  <si>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</si>
  <si>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</si>
  <si>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</si>
  <si>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</si>
  <si>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</si>
  <si>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</si>
  <si>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</si>
  <si>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</si>
  <si>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</si>
  <si>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</si>
  <si>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</si>
  <si>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</si>
  <si>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</si>
  <si>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</si>
  <si>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</si>
  <si>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</si>
  <si>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</si>
  <si>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</si>
  <si>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</si>
  <si>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</si>
  <si>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</si>
  <si>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</si>
  <si>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</si>
  <si>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</si>
  <si>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</si>
  <si>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</si>
  <si>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1.3.163</t>
  </si>
  <si>
    <t>1.3.164</t>
  </si>
  <si>
    <t>1.3.171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</si>
  <si>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</si>
  <si>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</si>
  <si>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</si>
  <si>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</si>
  <si>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</si>
  <si>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</si>
  <si>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</si>
  <si>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</si>
  <si>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</si>
  <si>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</si>
  <si>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</si>
  <si>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</si>
  <si>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</si>
  <si>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</si>
  <si>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</si>
  <si>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 xml:space="preserve">Земли населенных пунктов 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</si>
  <si>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</si>
  <si>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</si>
  <si>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</si>
  <si>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</si>
  <si>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</si>
  <si>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</si>
  <si>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</si>
  <si>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</si>
  <si>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</si>
  <si>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</si>
  <si>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</si>
  <si>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</si>
  <si>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</si>
  <si>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</si>
  <si>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</si>
  <si>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</si>
  <si>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</si>
  <si>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</si>
  <si>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</si>
  <si>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</si>
  <si>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</si>
  <si>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</si>
  <si>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</si>
  <si>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1.4.26.201</t>
  </si>
  <si>
    <t>1.4.26.203</t>
  </si>
  <si>
    <t>1.4.26.204</t>
  </si>
  <si>
    <t>1.4.26.205</t>
  </si>
  <si>
    <t>1.4.26.207</t>
  </si>
  <si>
    <t>1.4.26.208</t>
  </si>
  <si>
    <t>1.4.26.209</t>
  </si>
  <si>
    <t>42:12:0102015:361</t>
  </si>
  <si>
    <t>42:12:0102015:373</t>
  </si>
  <si>
    <t>42:12:0102015:470</t>
  </si>
  <si>
    <t>42:12:0102015:284</t>
  </si>
  <si>
    <t>42:12:0102015:252</t>
  </si>
  <si>
    <t>42:12:0102015:306</t>
  </si>
  <si>
    <t>42:12:0102015:458</t>
  </si>
  <si>
    <t>42:12:0102015:422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</si>
  <si>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</si>
  <si>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</si>
  <si>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</si>
  <si>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</si>
  <si>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</si>
  <si>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</si>
  <si>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</si>
  <si>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</si>
  <si>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</si>
  <si>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</si>
  <si>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</si>
  <si>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</si>
  <si>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</si>
  <si>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</si>
  <si>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</si>
  <si>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</si>
  <si>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</si>
  <si>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</si>
  <si>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</si>
  <si>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</si>
  <si>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</si>
  <si>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</si>
  <si>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</si>
  <si>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</si>
  <si>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</si>
  <si>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</si>
  <si>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</si>
  <si>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</si>
  <si>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</si>
  <si>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</si>
  <si>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</si>
  <si>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</si>
  <si>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</si>
  <si>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</si>
  <si>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</si>
  <si>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</si>
  <si>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</si>
  <si>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</si>
  <si>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</si>
  <si>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</si>
  <si>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</si>
  <si>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</si>
  <si>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</si>
  <si>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</si>
  <si>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</si>
  <si>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</si>
  <si>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</si>
  <si>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</si>
  <si>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</si>
  <si>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</si>
  <si>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</si>
  <si>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</si>
  <si>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</si>
  <si>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</si>
  <si>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</si>
  <si>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</si>
  <si>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</si>
  <si>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</si>
  <si>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</si>
  <si>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</si>
  <si>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</si>
  <si>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</si>
  <si>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</si>
  <si>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</si>
  <si>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</si>
  <si>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</si>
  <si>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</si>
  <si>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</si>
  <si>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</si>
  <si>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</si>
  <si>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</si>
  <si>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</si>
  <si>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</si>
  <si>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</si>
  <si>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</si>
  <si>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</si>
  <si>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</si>
  <si>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</si>
  <si>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</si>
  <si>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</si>
  <si>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</si>
  <si>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</si>
  <si>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</si>
  <si>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</si>
  <si>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</si>
  <si>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</si>
  <si>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</si>
  <si>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</si>
  <si>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</si>
  <si>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</si>
  <si>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</si>
  <si>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</si>
  <si>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</si>
  <si>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</si>
  <si>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</si>
  <si>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</si>
  <si>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</si>
  <si>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</si>
  <si>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1.1.834.8</t>
  </si>
  <si>
    <t>1.1.834.11</t>
  </si>
  <si>
    <t>1.1.834.13</t>
  </si>
  <si>
    <t>28а</t>
  </si>
  <si>
    <t>42:34:0103007:170</t>
  </si>
  <si>
    <t>42:34:0103007:171</t>
  </si>
  <si>
    <t>42:34:0103007:178</t>
  </si>
  <si>
    <t>42:34:0103007:181</t>
  </si>
  <si>
    <t>42:34:0103007:183</t>
  </si>
  <si>
    <t>3-х этажное, монолитные ж/б панели</t>
  </si>
  <si>
    <t>1.4.26.231</t>
  </si>
  <si>
    <t>1.4.26.232</t>
  </si>
  <si>
    <t>1.4.26.233</t>
  </si>
  <si>
    <t>1.4.26.234</t>
  </si>
  <si>
    <t>1.4.26.235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</si>
  <si>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</si>
  <si>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</si>
  <si>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</si>
  <si>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</si>
  <si>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</si>
  <si>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</si>
  <si>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</si>
  <si>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</si>
  <si>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</si>
  <si>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</si>
  <si>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</si>
  <si>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</si>
  <si>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</si>
  <si>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1.4.26.250</t>
  </si>
  <si>
    <t>1.4.26.251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</si>
  <si>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</si>
  <si>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</si>
  <si>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</si>
  <si>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</si>
  <si>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</si>
  <si>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</si>
  <si>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</si>
  <si>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</si>
  <si>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</si>
  <si>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</si>
  <si>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</si>
  <si>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</si>
  <si>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1.4.26.264</t>
  </si>
  <si>
    <t>1.4.26.266</t>
  </si>
  <si>
    <t>1.4.26.267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</si>
  <si>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</si>
  <si>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</si>
  <si>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</si>
  <si>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</si>
  <si>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</si>
  <si>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</si>
  <si>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</si>
  <si>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</si>
  <si>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</si>
  <si>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</si>
  <si>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</si>
  <si>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</si>
  <si>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</si>
  <si>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</si>
  <si>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</si>
  <si>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</si>
  <si>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</si>
  <si>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</si>
  <si>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</si>
  <si>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</si>
  <si>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</si>
  <si>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</si>
  <si>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</si>
  <si>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</si>
  <si>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</si>
  <si>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</si>
  <si>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</si>
  <si>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</si>
  <si>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</si>
  <si>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</si>
  <si>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</si>
  <si>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</si>
  <si>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</si>
  <si>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</si>
  <si>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</si>
  <si>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</si>
  <si>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</si>
  <si>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</si>
  <si>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</si>
  <si>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</si>
  <si>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</si>
  <si>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</si>
  <si>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</si>
  <si>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</si>
  <si>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</si>
  <si>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</si>
  <si>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</si>
  <si>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</si>
  <si>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</si>
  <si>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</si>
  <si>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</si>
  <si>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</si>
  <si>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</si>
  <si>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</si>
  <si>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</si>
  <si>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</si>
  <si>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</si>
  <si>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</si>
  <si>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</si>
  <si>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</si>
  <si>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</si>
  <si>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</si>
  <si>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</si>
  <si>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</si>
  <si>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</si>
  <si>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</si>
  <si>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</si>
  <si>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</si>
  <si>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</si>
  <si>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</si>
  <si>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</si>
  <si>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</si>
  <si>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</si>
  <si>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</si>
  <si>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</si>
  <si>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</si>
  <si>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</si>
  <si>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</si>
  <si>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</si>
  <si>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</si>
  <si>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</si>
  <si>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1.4.26.351</t>
  </si>
  <si>
    <t>1.4.26.352</t>
  </si>
  <si>
    <t>1.4.26.353</t>
  </si>
  <si>
    <t>1.4.26.357</t>
  </si>
  <si>
    <t>1.4.26.358</t>
  </si>
  <si>
    <t>1.4.26.359</t>
  </si>
  <si>
    <t>1.4.26.360</t>
  </si>
  <si>
    <t>1.4.26.361</t>
  </si>
  <si>
    <t>1.4.26.363</t>
  </si>
  <si>
    <t>1.4.26.364</t>
  </si>
  <si>
    <t>1.4.26.365</t>
  </si>
  <si>
    <t>1.4.26.366</t>
  </si>
  <si>
    <t>1.4.26.367</t>
  </si>
  <si>
    <t>1.4.26.370</t>
  </si>
  <si>
    <t>1.4.26.371</t>
  </si>
  <si>
    <t>1.4.26.372</t>
  </si>
  <si>
    <t>1.4.26.373</t>
  </si>
  <si>
    <t>1.4.26.374</t>
  </si>
  <si>
    <t>1.4.26.376</t>
  </si>
  <si>
    <t>1.4.26.377</t>
  </si>
  <si>
    <t>1.4.26.379</t>
  </si>
  <si>
    <t>1.4.26.380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</si>
  <si>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</si>
  <si>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</si>
  <si>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</si>
  <si>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</si>
  <si>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</si>
  <si>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</si>
  <si>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</si>
  <si>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</si>
  <si>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</si>
  <si>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</si>
  <si>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</si>
  <si>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42:12:0102015:517</t>
  </si>
  <si>
    <t>42:12:0102015:518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</si>
  <si>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</si>
  <si>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</si>
  <si>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</si>
  <si>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</si>
  <si>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</si>
  <si>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</si>
  <si>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</si>
  <si>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</si>
  <si>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</si>
  <si>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</si>
  <si>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</si>
  <si>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</si>
  <si>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42:12:0102015:507</t>
  </si>
  <si>
    <t>42:12:0102015:541</t>
  </si>
  <si>
    <t>42:12:0102015:542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</si>
  <si>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</si>
  <si>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</si>
  <si>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</si>
  <si>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</si>
  <si>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</si>
  <si>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</si>
  <si>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</si>
  <si>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</si>
  <si>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</si>
  <si>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</si>
  <si>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</si>
  <si>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</si>
  <si>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</si>
  <si>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</si>
  <si>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</si>
  <si>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</si>
  <si>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</si>
  <si>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</si>
  <si>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</si>
  <si>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</si>
  <si>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</si>
  <si>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</si>
  <si>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</si>
  <si>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</si>
  <si>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</si>
  <si>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</si>
  <si>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</si>
  <si>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</si>
  <si>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</si>
  <si>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</si>
  <si>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</si>
  <si>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</si>
  <si>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</si>
  <si>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</si>
  <si>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</si>
  <si>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</si>
  <si>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</si>
  <si>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</si>
  <si>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</si>
  <si>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</si>
  <si>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</si>
  <si>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</si>
  <si>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</si>
  <si>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</si>
  <si>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</si>
  <si>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</si>
  <si>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1.1.835.2</t>
  </si>
  <si>
    <t>1.1.835.3</t>
  </si>
  <si>
    <t>1.1.835.4</t>
  </si>
  <si>
    <t>1.1.835.6</t>
  </si>
  <si>
    <t>1.1.835.8</t>
  </si>
  <si>
    <t>1.1.835.9</t>
  </si>
  <si>
    <t>1.1.835.10</t>
  </si>
  <si>
    <t>1.1.835.11</t>
  </si>
  <si>
    <t>1.1.835.12</t>
  </si>
  <si>
    <t>1.1.835.14</t>
  </si>
  <si>
    <t>1.1.835.15</t>
  </si>
  <si>
    <t>1.1.835.16</t>
  </si>
  <si>
    <t>1.1.835.17</t>
  </si>
  <si>
    <t>1.1.835.18</t>
  </si>
  <si>
    <t>1.1.835.19</t>
  </si>
  <si>
    <t>1.1.835.20</t>
  </si>
  <si>
    <t>42:12:0102006:1436</t>
  </si>
  <si>
    <t xml:space="preserve">3-х этажное, монолитные </t>
  </si>
  <si>
    <t>42:12:0102006:1437</t>
  </si>
  <si>
    <t>42:12:0102006:1438</t>
  </si>
  <si>
    <t>42:12:0102006:1439</t>
  </si>
  <si>
    <t>42:12:0102006:1441</t>
  </si>
  <si>
    <t>42:12:0102006:1443</t>
  </si>
  <si>
    <t>42:12:0102006:1444</t>
  </si>
  <si>
    <t>42:12:0102006:1445</t>
  </si>
  <si>
    <t>42:12:0102006:1446</t>
  </si>
  <si>
    <t>42:12:0102006:1447</t>
  </si>
  <si>
    <t>42:12:0102006:1449</t>
  </si>
  <si>
    <t>42:12:0102006:1450</t>
  </si>
  <si>
    <t>42:12:0102006:1451</t>
  </si>
  <si>
    <t>42:12:0102006:1454</t>
  </si>
  <si>
    <t>42:12:0102006:1455</t>
  </si>
  <si>
    <t>1.1.817.16</t>
  </si>
  <si>
    <t>Ликвидация МКОУ "Основная общеобразовательная школа №80"</t>
  </si>
  <si>
    <t>В аренде Майер К.А.</t>
  </si>
  <si>
    <t>В аренде ООО "Рвсчетно-кассовый центр"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</si>
  <si>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</si>
  <si>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</si>
  <si>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</si>
  <si>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</si>
  <si>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</si>
  <si>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</si>
  <si>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</si>
  <si>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</si>
  <si>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</si>
  <si>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</si>
  <si>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1.4.26.390</t>
  </si>
  <si>
    <t>1.4.26.391</t>
  </si>
  <si>
    <t>1.4.26.392</t>
  </si>
  <si>
    <t>42:12:0102015:650</t>
  </si>
  <si>
    <t>42:12:0102015:651</t>
  </si>
  <si>
    <t>42:12:0102015:616</t>
  </si>
  <si>
    <t>42:12:0102015:652</t>
  </si>
  <si>
    <t>42:12:0102015:653</t>
  </si>
  <si>
    <t>42:12:0102015:654</t>
  </si>
  <si>
    <t>42:12:0102015:655</t>
  </si>
  <si>
    <t>42:12:0102015:656</t>
  </si>
  <si>
    <t>42:12:0102015:657</t>
  </si>
  <si>
    <t>42:12:0102015:658</t>
  </si>
  <si>
    <t>42:12:0102015:659</t>
  </si>
  <si>
    <t>42:12:0102015:618</t>
  </si>
  <si>
    <t>42:12:0102015:619</t>
  </si>
  <si>
    <t>42:12:0102015:620</t>
  </si>
  <si>
    <t>42:12:0102015:621</t>
  </si>
  <si>
    <t>42:12:0102015:622</t>
  </si>
  <si>
    <t>42:12:0102015:624</t>
  </si>
  <si>
    <t>42:12:0102015:625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</si>
  <si>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</si>
  <si>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</si>
  <si>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</si>
  <si>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</si>
  <si>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</si>
  <si>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</si>
  <si>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</si>
  <si>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</si>
  <si>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</si>
  <si>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</si>
  <si>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</si>
  <si>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</si>
  <si>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</si>
  <si>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</si>
  <si>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</si>
  <si>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</si>
  <si>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</si>
  <si>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</si>
  <si>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</si>
  <si>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</si>
  <si>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</si>
  <si>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</si>
  <si>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</si>
  <si>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</si>
  <si>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</si>
  <si>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</si>
  <si>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</si>
  <si>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</si>
  <si>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</si>
  <si>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</si>
  <si>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</si>
  <si>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</si>
  <si>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</si>
  <si>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</si>
  <si>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</si>
  <si>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</si>
  <si>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</si>
  <si>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1.4.26.342</t>
  </si>
  <si>
    <t>1.4.26.343</t>
  </si>
  <si>
    <t>1.4.26.344</t>
  </si>
  <si>
    <t>1.4.26.345</t>
  </si>
  <si>
    <t>1.4.26.347</t>
  </si>
  <si>
    <t>1.4.26.348</t>
  </si>
  <si>
    <t>1.4.26.349</t>
  </si>
  <si>
    <t>1.4.26.350</t>
  </si>
  <si>
    <t>42:12:0102015:764</t>
  </si>
  <si>
    <t>42:12:0102015:765</t>
  </si>
  <si>
    <t>42:12:0102015:780</t>
  </si>
  <si>
    <t>42:12:0102015:810</t>
  </si>
  <si>
    <t>42:12:0102015:814</t>
  </si>
  <si>
    <t>42:12:0102015:817</t>
  </si>
  <si>
    <t>42:12:0102015:818</t>
  </si>
  <si>
    <t>42:12:0102015:822</t>
  </si>
  <si>
    <t>42:12:0102015:749</t>
  </si>
  <si>
    <t>42:12:0102015:751</t>
  </si>
  <si>
    <t>42:12:0102015:752</t>
  </si>
  <si>
    <t>42:12:0102015:754</t>
  </si>
  <si>
    <t>42:12:0102015:755</t>
  </si>
  <si>
    <t>42:12:0102015:481</t>
  </si>
  <si>
    <t>42:12:0102015:756</t>
  </si>
  <si>
    <t>42:12:0102015:757</t>
  </si>
  <si>
    <t>42:12:0102015:745</t>
  </si>
  <si>
    <t>42:12:0102015:746</t>
  </si>
  <si>
    <t>42:12:0102015:747</t>
  </si>
  <si>
    <t>42:12:0102015:748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</si>
  <si>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</si>
  <si>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</si>
  <si>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</si>
  <si>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</si>
  <si>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</si>
  <si>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</si>
  <si>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</si>
  <si>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</si>
  <si>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</si>
  <si>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</si>
  <si>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</si>
  <si>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</si>
  <si>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</si>
  <si>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</si>
  <si>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</si>
  <si>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</si>
  <si>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</si>
  <si>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</si>
  <si>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</si>
  <si>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</si>
  <si>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</si>
  <si>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</si>
  <si>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</si>
  <si>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</si>
  <si>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1-но этажное, кирпичное (1 этаж)</t>
  </si>
  <si>
    <t>1.2.25.9</t>
  </si>
  <si>
    <t>1.4.26.406</t>
  </si>
  <si>
    <t>1.4.26.407</t>
  </si>
  <si>
    <t>1.4.26.408</t>
  </si>
  <si>
    <t>1.4.26.409</t>
  </si>
  <si>
    <t>1.4.26.410</t>
  </si>
  <si>
    <t>1.4.26.411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</si>
  <si>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</si>
  <si>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</si>
  <si>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</si>
  <si>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</si>
  <si>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</si>
  <si>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</si>
  <si>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</si>
  <si>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</si>
  <si>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</si>
  <si>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1.4.26.422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</si>
  <si>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</si>
  <si>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</si>
  <si>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</si>
  <si>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</si>
  <si>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</si>
  <si>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</si>
  <si>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</si>
  <si>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1.4.26.431</t>
  </si>
  <si>
    <t>1.4.26.432</t>
  </si>
  <si>
    <t>1.4.26.433</t>
  </si>
  <si>
    <t>1.4.26.434</t>
  </si>
  <si>
    <t>1.4.26.435</t>
  </si>
  <si>
    <t>1.4.26.436</t>
  </si>
  <si>
    <t>1.4.26.440</t>
  </si>
  <si>
    <t>1.4.26.441</t>
  </si>
  <si>
    <t>1.4.26.446</t>
  </si>
  <si>
    <t>1.4.26.447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</si>
  <si>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</si>
  <si>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</si>
  <si>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</si>
  <si>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</si>
  <si>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</si>
  <si>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</si>
  <si>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</si>
  <si>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1.4.26.457</t>
  </si>
  <si>
    <t>1.4.26.458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</si>
  <si>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</si>
  <si>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</si>
  <si>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</si>
  <si>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</si>
  <si>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</si>
  <si>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</si>
  <si>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</si>
  <si>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</si>
  <si>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</si>
  <si>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</si>
  <si>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</si>
  <si>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</si>
  <si>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</si>
  <si>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</si>
  <si>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</si>
  <si>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</si>
  <si>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</si>
  <si>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</si>
  <si>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42:12:0102015:693</t>
  </si>
  <si>
    <t>42:12:0102015:691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</si>
  <si>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</si>
  <si>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</si>
  <si>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</si>
  <si>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</si>
  <si>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</si>
  <si>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</si>
  <si>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</si>
  <si>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</si>
  <si>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42:12:0102015:798</t>
  </si>
  <si>
    <t>42:12:0102015:799</t>
  </si>
  <si>
    <t>42:12:0102015:800</t>
  </si>
  <si>
    <t>42:12:0102015:801</t>
  </si>
  <si>
    <t>42:12:0102015:802</t>
  </si>
  <si>
    <t>42:12:0102015:803</t>
  </si>
  <si>
    <t>42:12:0102015:711</t>
  </si>
  <si>
    <t>42:12:0102015:713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</si>
  <si>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</si>
  <si>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</si>
  <si>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</si>
  <si>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</si>
  <si>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</si>
  <si>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</si>
  <si>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</si>
  <si>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</si>
  <si>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</si>
  <si>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</si>
  <si>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</si>
  <si>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42:12:0102015:849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</si>
  <si>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</si>
  <si>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</si>
  <si>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</si>
  <si>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</si>
  <si>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</si>
  <si>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</si>
  <si>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</si>
  <si>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</si>
  <si>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</si>
  <si>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</si>
  <si>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</si>
  <si>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</si>
  <si>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</si>
  <si>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</si>
  <si>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</si>
  <si>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</si>
  <si>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</si>
  <si>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</si>
  <si>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</si>
  <si>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</si>
  <si>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</si>
  <si>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</si>
  <si>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</si>
  <si>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</si>
  <si>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1.4.26.464</t>
  </si>
  <si>
    <t>1.4.26.465</t>
  </si>
  <si>
    <t>1.4.26.466</t>
  </si>
  <si>
    <t>1.4.26.467</t>
  </si>
  <si>
    <t>1.4.26.468</t>
  </si>
  <si>
    <t>1.4.26.469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</si>
  <si>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</si>
  <si>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</si>
  <si>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</si>
  <si>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</si>
  <si>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</si>
  <si>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</si>
  <si>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</si>
  <si>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</si>
  <si>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1.4.26.480</t>
  </si>
  <si>
    <t>1.4.26.483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</si>
  <si>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</si>
  <si>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</si>
  <si>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</si>
  <si>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</si>
  <si>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</si>
  <si>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</si>
  <si>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</si>
  <si>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</si>
  <si>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</si>
  <si>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</si>
  <si>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</si>
  <si>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</si>
  <si>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1.4.26.497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</si>
  <si>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</si>
  <si>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</si>
  <si>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</si>
  <si>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</si>
  <si>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</si>
  <si>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</si>
  <si>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</si>
  <si>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</si>
  <si>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</si>
  <si>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</si>
  <si>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</si>
  <si>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</si>
  <si>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</si>
  <si>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</si>
  <si>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</si>
  <si>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</si>
  <si>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</si>
  <si>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</si>
  <si>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</si>
  <si>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</si>
  <si>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</si>
  <si>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</si>
  <si>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42:12:0102015:1001</t>
  </si>
  <si>
    <t>42:12:0102015:1002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</si>
  <si>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</si>
  <si>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</si>
  <si>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</si>
  <si>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</si>
  <si>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</si>
  <si>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</si>
  <si>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</si>
  <si>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</si>
  <si>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</si>
  <si>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</si>
  <si>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</si>
  <si>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</si>
  <si>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</si>
  <si>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42:12:0102015:886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</si>
  <si>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</si>
  <si>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</si>
  <si>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</si>
  <si>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</si>
  <si>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</si>
  <si>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</si>
  <si>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</si>
  <si>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</si>
  <si>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</si>
  <si>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</si>
  <si>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</si>
  <si>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</si>
  <si>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</si>
  <si>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</si>
  <si>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</si>
  <si>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</si>
  <si>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</si>
  <si>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</si>
  <si>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</si>
  <si>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42:12:0102015:778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</si>
  <si>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</si>
  <si>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</si>
  <si>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</si>
  <si>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</si>
  <si>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</si>
  <si>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</si>
  <si>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</si>
  <si>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</si>
  <si>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</si>
  <si>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</si>
  <si>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</si>
  <si>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</si>
  <si>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</si>
  <si>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</si>
  <si>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</si>
  <si>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</si>
  <si>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</si>
  <si>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</si>
  <si>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</si>
  <si>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</si>
  <si>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42:12:0102015:955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</si>
  <si>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</si>
  <si>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</si>
  <si>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</si>
  <si>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</si>
  <si>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</si>
  <si>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</si>
  <si>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</si>
  <si>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</si>
  <si>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</si>
  <si>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</si>
  <si>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</si>
  <si>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</si>
  <si>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</si>
  <si>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42:12:0102015:1026</t>
  </si>
  <si>
    <t>1.4.26.525</t>
  </si>
  <si>
    <t>1.4.26.526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</si>
  <si>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</si>
  <si>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</si>
  <si>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</si>
  <si>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</si>
  <si>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</si>
  <si>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</si>
  <si>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</si>
  <si>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</si>
  <si>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</si>
  <si>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</si>
  <si>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</si>
  <si>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</si>
  <si>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42:12:0102015:1027</t>
  </si>
  <si>
    <t>1.4.26.535</t>
  </si>
  <si>
    <t>1.4.26.536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</si>
  <si>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</si>
  <si>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</si>
  <si>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</si>
  <si>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</si>
  <si>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</si>
  <si>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</si>
  <si>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</si>
  <si>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</si>
  <si>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</si>
  <si>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</si>
  <si>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</si>
  <si>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</si>
  <si>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</si>
  <si>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</si>
  <si>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</si>
  <si>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</si>
  <si>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</si>
  <si>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</si>
  <si>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</si>
  <si>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</si>
  <si>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</si>
  <si>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</si>
  <si>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</si>
  <si>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</si>
  <si>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</si>
  <si>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</si>
  <si>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</si>
  <si>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</si>
  <si>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</si>
  <si>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</si>
  <si>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</si>
  <si>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</si>
  <si>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</si>
  <si>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</si>
  <si>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</si>
  <si>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</si>
  <si>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</si>
  <si>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</si>
  <si>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</si>
  <si>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</si>
  <si>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42:12:0102015:583</t>
  </si>
  <si>
    <t>42:12:0102015:584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</si>
  <si>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</si>
  <si>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</si>
  <si>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</si>
  <si>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</si>
  <si>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</si>
  <si>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</si>
  <si>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</si>
  <si>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</si>
  <si>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</si>
  <si>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</si>
  <si>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</si>
  <si>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</si>
  <si>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1.4.26.565</t>
  </si>
  <si>
    <t>1.4.26.566</t>
  </si>
  <si>
    <t>1.4.26.568</t>
  </si>
  <si>
    <t>1.4.26.569</t>
  </si>
  <si>
    <t>1.4.26.570</t>
  </si>
  <si>
    <t>1.4.26.571</t>
  </si>
  <si>
    <t>1.4.26.572</t>
  </si>
  <si>
    <t>1.4.26.573</t>
  </si>
  <si>
    <t>1.4.26.574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</si>
  <si>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</si>
  <si>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</si>
  <si>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</si>
  <si>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</si>
  <si>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</si>
  <si>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</si>
  <si>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</si>
  <si>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</si>
  <si>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1.4.26.585</t>
  </si>
  <si>
    <t>1.4.26.588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</si>
  <si>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</si>
  <si>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</si>
  <si>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</si>
  <si>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</si>
  <si>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</si>
  <si>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</si>
  <si>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</si>
  <si>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</si>
  <si>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</si>
  <si>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</si>
  <si>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</si>
  <si>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</si>
  <si>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</si>
  <si>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</si>
  <si>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</si>
  <si>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</si>
  <si>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</si>
  <si>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42:12:0102015:1095</t>
  </si>
  <si>
    <t>42:12:0102015:1097</t>
  </si>
  <si>
    <t>42:12:0102015:680</t>
  </si>
  <si>
    <t>42:12:0102015:679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</si>
  <si>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</si>
  <si>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</si>
  <si>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</si>
  <si>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</si>
  <si>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</si>
  <si>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</si>
  <si>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</si>
  <si>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</si>
  <si>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</si>
  <si>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</si>
  <si>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</si>
  <si>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</si>
  <si>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1.4.26.604</t>
  </si>
  <si>
    <t>1.4.26.605</t>
  </si>
  <si>
    <t>1.4.26.606</t>
  </si>
  <si>
    <t>1.4.26.607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</si>
  <si>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</si>
  <si>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</si>
  <si>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</si>
  <si>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</si>
  <si>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</si>
  <si>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</si>
  <si>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</si>
  <si>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</si>
  <si>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</si>
  <si>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</si>
  <si>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</si>
  <si>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42:12:0102015:1120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</si>
  <si>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</si>
  <si>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</si>
  <si>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</si>
  <si>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</si>
  <si>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</si>
  <si>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</si>
  <si>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</si>
  <si>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</si>
  <si>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</si>
  <si>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</si>
  <si>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</si>
  <si>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</si>
  <si>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</si>
  <si>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</si>
  <si>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42:12:0102015:556</t>
  </si>
  <si>
    <t>42:12:0102015:557</t>
  </si>
  <si>
    <t>42:12:0102015:575</t>
  </si>
  <si>
    <t>42:12:0102015:558</t>
  </si>
  <si>
    <t>42:12:0102015:559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</si>
  <si>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</si>
  <si>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</si>
  <si>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</si>
  <si>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</si>
  <si>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</si>
  <si>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</si>
  <si>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</si>
  <si>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</si>
  <si>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</si>
  <si>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1.4.26.620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</si>
  <si>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</si>
  <si>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</si>
  <si>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</si>
  <si>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</si>
  <si>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</si>
  <si>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</si>
  <si>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</si>
  <si>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</si>
  <si>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</si>
  <si>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</si>
  <si>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</si>
  <si>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</si>
  <si>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</si>
  <si>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</si>
  <si>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</si>
  <si>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</si>
  <si>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</si>
  <si>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</si>
  <si>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42:12:0102015:642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</si>
  <si>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</si>
  <si>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</si>
  <si>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</si>
  <si>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</si>
  <si>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</si>
  <si>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</si>
  <si>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</si>
  <si>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</si>
  <si>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</si>
  <si>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</si>
  <si>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</si>
  <si>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</si>
  <si>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</si>
  <si>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</si>
  <si>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</si>
  <si>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</si>
  <si>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</si>
  <si>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</si>
  <si>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</si>
  <si>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</si>
  <si>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</si>
  <si>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</si>
  <si>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</si>
  <si>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</si>
  <si>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</si>
  <si>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</si>
  <si>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</si>
  <si>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</si>
  <si>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</si>
  <si>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</si>
  <si>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</si>
  <si>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</si>
  <si>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</si>
  <si>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</si>
  <si>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</si>
  <si>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</si>
  <si>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</si>
  <si>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</si>
  <si>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</si>
  <si>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1.4.26.652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</si>
  <si>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</si>
  <si>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</si>
  <si>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</si>
  <si>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</si>
  <si>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</si>
  <si>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</si>
  <si>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</si>
  <si>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</si>
  <si>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</si>
  <si>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</si>
  <si>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</si>
  <si>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</si>
  <si>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</si>
  <si>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</si>
  <si>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1.4.26.654</t>
  </si>
  <si>
    <t>1.4.26.655</t>
  </si>
  <si>
    <t>1.4.26.656</t>
  </si>
  <si>
    <t>1.4.26.657</t>
  </si>
  <si>
    <t>1.4.26.658</t>
  </si>
  <si>
    <t>1.4.26.659</t>
  </si>
  <si>
    <t>1.4.26.660</t>
  </si>
  <si>
    <t>1.4.26.661</t>
  </si>
  <si>
    <t>42:12:0102015:1024</t>
  </si>
  <si>
    <t>42:12:0102015:968</t>
  </si>
  <si>
    <t>42:12:0102015:969</t>
  </si>
  <si>
    <t>42:12:0102015:970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</si>
  <si>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</si>
  <si>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</si>
  <si>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</si>
  <si>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</si>
  <si>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</si>
  <si>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</si>
  <si>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</si>
  <si>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</si>
  <si>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</si>
  <si>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</si>
  <si>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</si>
  <si>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</si>
  <si>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</si>
  <si>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</si>
  <si>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</si>
  <si>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</si>
  <si>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</si>
  <si>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</si>
  <si>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</si>
  <si>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</si>
  <si>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</si>
  <si>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</si>
  <si>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</si>
  <si>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</si>
  <si>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</si>
  <si>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</si>
  <si>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</si>
  <si>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</si>
  <si>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1.4.26.673</t>
  </si>
  <si>
    <t>1.4.26.674</t>
  </si>
  <si>
    <t>1.4.26.675</t>
  </si>
  <si>
    <t>1.4.26.676</t>
  </si>
  <si>
    <t>42:12:0102015:1017</t>
  </si>
  <si>
    <t>42:12:0102015:1151</t>
  </si>
  <si>
    <t>42:12:0102015:1152</t>
  </si>
  <si>
    <t>42:12:0102015:1153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</si>
  <si>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</si>
  <si>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</si>
  <si>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</si>
  <si>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</si>
  <si>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</si>
  <si>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</si>
  <si>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</si>
  <si>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</si>
  <si>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</si>
  <si>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42:12:0102015:951</t>
  </si>
  <si>
    <t>42:12:0102015:926</t>
  </si>
  <si>
    <t>42:12:0102015:927</t>
  </si>
  <si>
    <t>42:12:0102015:928</t>
  </si>
  <si>
    <t>42:12:0102015:929</t>
  </si>
  <si>
    <t>42:12:0102015:930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</si>
  <si>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</si>
  <si>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</si>
  <si>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</si>
  <si>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</si>
  <si>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</si>
  <si>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</si>
  <si>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</si>
  <si>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</si>
  <si>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</si>
  <si>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</si>
  <si>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42:12:0102015:1075</t>
  </si>
  <si>
    <t>42:12:0102015:1076</t>
  </si>
  <si>
    <t>42:12:0102015:943</t>
  </si>
  <si>
    <t>42:12:0102015:944</t>
  </si>
  <si>
    <t>42:12:0102015:945</t>
  </si>
  <si>
    <t>42:12:0102015:946</t>
  </si>
  <si>
    <t>42:12:0102015:947</t>
  </si>
  <si>
    <t>42:12:0102015:948</t>
  </si>
  <si>
    <t>42:12:0102015:949</t>
  </si>
  <si>
    <t>42:12:0102015:950</t>
  </si>
  <si>
    <t>42:12:0102015:1074</t>
  </si>
  <si>
    <t>42:12:0102015:1081</t>
  </si>
  <si>
    <t>42:12:0102015:1082</t>
  </si>
  <si>
    <t>42:12:0102015:1073</t>
  </si>
  <si>
    <t>42:12:0102015:1083</t>
  </si>
  <si>
    <t>42:12:0102015:1084</t>
  </si>
  <si>
    <t>1.4.26.677</t>
  </si>
  <si>
    <t>1.4.26.678</t>
  </si>
  <si>
    <t>1.4.26.679</t>
  </si>
  <si>
    <t>1.4.26.680</t>
  </si>
  <si>
    <t>1.4.26.681</t>
  </si>
  <si>
    <t>1.4.26.682</t>
  </si>
  <si>
    <t>1.4.26.683</t>
  </si>
  <si>
    <t>1.4.26.684</t>
  </si>
  <si>
    <t>1.4.26.685</t>
  </si>
  <si>
    <t>1.4.26.686</t>
  </si>
  <si>
    <t>1.4.26.687</t>
  </si>
  <si>
    <t>1.4.26.688</t>
  </si>
  <si>
    <t>1.4.26.689</t>
  </si>
  <si>
    <t>1.4.26.690</t>
  </si>
  <si>
    <t>1.4.26.692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</si>
  <si>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</si>
  <si>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</si>
  <si>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</si>
  <si>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</si>
  <si>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</si>
  <si>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</si>
  <si>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</si>
  <si>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</si>
  <si>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</si>
  <si>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</si>
  <si>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</si>
  <si>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1.4.26.706</t>
  </si>
  <si>
    <t>1.4.26.707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</si>
  <si>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</si>
  <si>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</si>
  <si>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</si>
  <si>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</si>
  <si>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</si>
  <si>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</si>
  <si>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</si>
  <si>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</si>
  <si>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</si>
  <si>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</si>
  <si>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</si>
  <si>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</si>
  <si>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</si>
  <si>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</si>
  <si>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</si>
  <si>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</si>
  <si>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</si>
  <si>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</si>
  <si>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</si>
  <si>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</si>
  <si>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</si>
  <si>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</si>
  <si>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</si>
  <si>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</si>
  <si>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</si>
  <si>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</si>
  <si>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</si>
  <si>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</si>
  <si>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</si>
  <si>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</si>
  <si>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</si>
  <si>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</si>
  <si>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</si>
  <si>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</si>
  <si>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</si>
  <si>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</si>
  <si>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</si>
  <si>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</si>
  <si>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</si>
  <si>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</si>
  <si>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</si>
  <si>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</si>
  <si>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</si>
  <si>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</si>
  <si>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1.4.26.750</t>
  </si>
  <si>
    <t>1.4.26.751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</si>
  <si>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</si>
  <si>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</si>
  <si>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</si>
  <si>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</si>
  <si>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</si>
  <si>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</si>
  <si>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</si>
  <si>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</si>
  <si>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42:12:0102015:1058</t>
  </si>
  <si>
    <t>42:12:0102015:1042</t>
  </si>
  <si>
    <t>42:12:0102015:1043</t>
  </si>
  <si>
    <t>42:12:0102015:1056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</si>
  <si>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</si>
  <si>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</si>
  <si>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</si>
  <si>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</si>
  <si>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</si>
  <si>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</si>
  <si>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</si>
  <si>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</si>
  <si>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</si>
  <si>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</si>
  <si>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</si>
  <si>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</si>
  <si>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</si>
  <si>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</si>
  <si>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1.4.26.760</t>
  </si>
  <si>
    <t>42:12:0102015:1046</t>
  </si>
  <si>
    <t>42:12:0102015:1047</t>
  </si>
  <si>
    <t>42:12:0102015:1048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</si>
  <si>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</si>
  <si>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</si>
  <si>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</si>
  <si>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</si>
  <si>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</si>
  <si>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</si>
  <si>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</si>
  <si>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</si>
  <si>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</si>
  <si>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</si>
  <si>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</si>
  <si>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</si>
  <si>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</si>
  <si>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</si>
  <si>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</si>
  <si>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</si>
  <si>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</si>
  <si>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</si>
  <si>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</si>
  <si>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</si>
  <si>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</si>
  <si>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</si>
  <si>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</si>
  <si>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</si>
  <si>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</si>
  <si>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</si>
  <si>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</si>
  <si>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</si>
  <si>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</si>
  <si>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</si>
  <si>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</si>
  <si>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</si>
  <si>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</si>
  <si>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</si>
  <si>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</si>
  <si>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</si>
  <si>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</si>
  <si>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</si>
  <si>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</si>
  <si>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42:12:0102015:1211</t>
  </si>
  <si>
    <t>42:12:0102015:872</t>
  </si>
  <si>
    <t>42:12:0102015:873</t>
  </si>
  <si>
    <t>42:12:0102015:866</t>
  </si>
  <si>
    <t>42:12:0102015:867</t>
  </si>
  <si>
    <t>42:12:0102015:908</t>
  </si>
  <si>
    <t>42:12:0102015:909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</si>
  <si>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</si>
  <si>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</si>
  <si>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</si>
  <si>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</si>
  <si>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</si>
  <si>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</si>
  <si>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</si>
  <si>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</si>
  <si>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</si>
  <si>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</si>
  <si>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</si>
  <si>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</si>
  <si>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</si>
  <si>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42:12:0102015:917</t>
  </si>
  <si>
    <t>42:12:0102015:894</t>
  </si>
  <si>
    <t>42:12:0102015:895</t>
  </si>
  <si>
    <t>42:12:0102015:896</t>
  </si>
  <si>
    <t>42:12:0102015:897</t>
  </si>
  <si>
    <t>42:12:0102015:1220</t>
  </si>
  <si>
    <t>42:12:0102015:1079</t>
  </si>
  <si>
    <t>42:12:0102015:1216</t>
  </si>
  <si>
    <t>42:12:0102015:875</t>
  </si>
  <si>
    <t>42:12:0102015:1127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</si>
  <si>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</si>
  <si>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</si>
  <si>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</si>
  <si>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</si>
  <si>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</si>
  <si>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</si>
  <si>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</si>
  <si>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</si>
  <si>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</si>
  <si>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</si>
  <si>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</si>
  <si>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</si>
  <si>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</si>
  <si>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</si>
  <si>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</si>
  <si>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1.4.26.775</t>
  </si>
  <si>
    <t>1.4.26.776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</si>
  <si>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</si>
  <si>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</si>
  <si>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</si>
  <si>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</si>
  <si>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</si>
  <si>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</si>
  <si>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</si>
  <si>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</si>
  <si>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</si>
  <si>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</si>
  <si>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</si>
  <si>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</si>
  <si>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</si>
  <si>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</si>
  <si>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1.4.26.792</t>
  </si>
  <si>
    <t>1.4.26.793</t>
  </si>
  <si>
    <t>1.4.26.795</t>
  </si>
  <si>
    <t>1.4.26.796</t>
  </si>
  <si>
    <t>1.4.26.797</t>
  </si>
  <si>
    <t>1.4.26.798</t>
  </si>
  <si>
    <t>1.4.26.799</t>
  </si>
  <si>
    <t>1.4.26.802</t>
  </si>
  <si>
    <t>1.4.26.803</t>
  </si>
  <si>
    <t>1.4.26.804</t>
  </si>
  <si>
    <t>1.4.26.805</t>
  </si>
  <si>
    <t>1.4.26.806</t>
  </si>
  <si>
    <t>1.4.26.807</t>
  </si>
  <si>
    <t>1.4.26.808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</si>
  <si>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</si>
  <si>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</si>
  <si>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</si>
  <si>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</si>
  <si>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</si>
  <si>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</si>
  <si>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</si>
  <si>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</si>
  <si>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</si>
  <si>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</si>
  <si>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</si>
  <si>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</si>
  <si>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</si>
  <si>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</si>
  <si>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</si>
  <si>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</si>
  <si>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</si>
  <si>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</si>
  <si>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</si>
  <si>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</si>
  <si>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</si>
  <si>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</si>
  <si>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</si>
  <si>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</si>
  <si>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</si>
  <si>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</si>
  <si>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</si>
  <si>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</si>
  <si>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</si>
  <si>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</si>
  <si>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</si>
  <si>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</si>
  <si>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</si>
  <si>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</si>
  <si>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</si>
  <si>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</si>
  <si>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</si>
  <si>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</si>
  <si>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</si>
  <si>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</si>
  <si>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</si>
  <si>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</si>
  <si>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</si>
  <si>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</si>
  <si>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</si>
  <si>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</si>
  <si>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</si>
  <si>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</si>
  <si>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</si>
  <si>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</si>
  <si>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</si>
  <si>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</si>
  <si>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</si>
  <si>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</si>
  <si>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</si>
  <si>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</si>
  <si>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</si>
  <si>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</si>
  <si>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</si>
  <si>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</si>
  <si>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</si>
  <si>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</si>
  <si>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</si>
  <si>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</si>
  <si>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</si>
  <si>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</si>
  <si>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</si>
  <si>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1.4.26.843</t>
  </si>
  <si>
    <t>1.4.26.844</t>
  </si>
  <si>
    <t>1.4.26.845</t>
  </si>
  <si>
    <t>1.4.26.846</t>
  </si>
  <si>
    <t>1.4.26.848</t>
  </si>
  <si>
    <t>1.4.26.849</t>
  </si>
  <si>
    <t>1.4.26.850</t>
  </si>
  <si>
    <t>1.4.26.851</t>
  </si>
  <si>
    <t>1.4.26.852</t>
  </si>
  <si>
    <t>1.4.26.853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</si>
  <si>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</si>
  <si>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</si>
  <si>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</si>
  <si>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</si>
  <si>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</si>
  <si>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</si>
  <si>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</si>
  <si>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</si>
  <si>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</si>
  <si>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</si>
  <si>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</si>
  <si>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</si>
  <si>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</si>
  <si>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</si>
  <si>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42:12:0102015:1263</t>
  </si>
  <si>
    <t>42:12:0102015:1264</t>
  </si>
  <si>
    <t>1.4.26.856</t>
  </si>
  <si>
    <t>1.4.26.857</t>
  </si>
  <si>
    <t>42:12:0102015:1268</t>
  </si>
  <si>
    <t>42:12:0102015:1269</t>
  </si>
  <si>
    <t>42:12:0102015:1271</t>
  </si>
  <si>
    <t>42:12:0102015:1272</t>
  </si>
  <si>
    <t>42:12:0102015:1273</t>
  </si>
  <si>
    <t>42:12:0102015:1274</t>
  </si>
  <si>
    <t>42:12:0102015:1275</t>
  </si>
  <si>
    <t>42:12:0102015:1276</t>
  </si>
  <si>
    <t>1.1.838</t>
  </si>
  <si>
    <t>1.1.839</t>
  </si>
  <si>
    <t>1.1.839.2</t>
  </si>
  <si>
    <t>1.1.839.3</t>
  </si>
  <si>
    <t>протяж. 4282м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</si>
  <si>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</si>
  <si>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</si>
  <si>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</si>
  <si>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</si>
  <si>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</si>
  <si>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</si>
  <si>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</si>
  <si>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</si>
  <si>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</si>
  <si>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</si>
  <si>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</si>
  <si>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</si>
  <si>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</si>
  <si>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</si>
  <si>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</si>
  <si>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1.4.26.761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</si>
  <si>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</si>
  <si>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</si>
  <si>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</si>
  <si>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</si>
  <si>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</si>
  <si>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</si>
  <si>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</si>
  <si>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</si>
  <si>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</si>
  <si>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</si>
  <si>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</si>
  <si>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</si>
  <si>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</si>
  <si>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</si>
  <si>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</si>
  <si>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</si>
  <si>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</si>
  <si>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</si>
  <si>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</si>
  <si>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</si>
  <si>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</si>
  <si>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</si>
  <si>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</si>
  <si>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</si>
  <si>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</si>
  <si>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</si>
  <si>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</si>
  <si>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</si>
  <si>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</si>
  <si>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</si>
  <si>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</si>
  <si>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</si>
  <si>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</si>
  <si>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</si>
  <si>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</si>
  <si>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</si>
  <si>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</si>
  <si>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</si>
  <si>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</si>
  <si>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</si>
  <si>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</si>
  <si>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</si>
  <si>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</si>
  <si>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</si>
  <si>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</si>
  <si>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</si>
  <si>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</si>
  <si>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</si>
  <si>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</si>
  <si>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</si>
  <si>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</si>
  <si>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</si>
  <si>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</si>
  <si>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</si>
  <si>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</si>
  <si>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</si>
  <si>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</si>
  <si>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</si>
  <si>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</si>
  <si>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</si>
  <si>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</si>
  <si>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</si>
  <si>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</si>
  <si>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</si>
  <si>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</si>
  <si>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</si>
  <si>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</si>
  <si>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</si>
  <si>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</si>
  <si>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</si>
  <si>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</si>
  <si>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</si>
  <si>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</si>
  <si>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</si>
  <si>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</si>
  <si>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</si>
  <si>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</si>
  <si>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</si>
  <si>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</si>
  <si>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</si>
  <si>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</si>
  <si>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</si>
  <si>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</si>
  <si>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</si>
  <si>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</si>
  <si>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</si>
  <si>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</si>
  <si>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</si>
  <si>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</si>
  <si>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</si>
  <si>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</si>
  <si>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</si>
  <si>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</si>
  <si>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>42:12:0102015:1165</t>
  </si>
  <si>
    <t>1.4.26.902</t>
  </si>
  <si>
    <t>1.4.26.903</t>
  </si>
  <si>
    <t>1.4.26.905</t>
  </si>
  <si>
    <t>42:12:0102015:1154</t>
  </si>
  <si>
    <t>42:12:0102015:837</t>
  </si>
  <si>
    <t>42:12:0102015:1003</t>
  </si>
  <si>
    <t>1.1.838.12</t>
  </si>
  <si>
    <t>1.1.838.16</t>
  </si>
  <si>
    <t>1.1.840</t>
  </si>
  <si>
    <t>1.1.840.1</t>
  </si>
  <si>
    <t>1.1.840.2</t>
  </si>
  <si>
    <t>1.1.840.3</t>
  </si>
  <si>
    <t>42:12:0106002:4293</t>
  </si>
  <si>
    <t>42:12:0106002:4305</t>
  </si>
  <si>
    <t>42:12:0106002:4309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</si>
  <si>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</si>
  <si>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</si>
  <si>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</si>
  <si>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</si>
  <si>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</si>
  <si>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</si>
  <si>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</si>
  <si>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</si>
  <si>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</si>
  <si>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</si>
  <si>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</si>
  <si>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</si>
  <si>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</si>
  <si>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</si>
  <si>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</si>
  <si>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</si>
  <si>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</si>
  <si>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</si>
  <si>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</si>
  <si>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</si>
  <si>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</si>
  <si>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</si>
  <si>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</si>
  <si>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</si>
  <si>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</si>
  <si>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</si>
  <si>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</si>
  <si>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</si>
  <si>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</si>
  <si>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</si>
  <si>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</si>
  <si>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</si>
  <si>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</si>
  <si>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</si>
  <si>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</si>
  <si>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</si>
  <si>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</si>
  <si>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</si>
  <si>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</si>
  <si>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</si>
  <si>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</si>
  <si>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</si>
  <si>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</si>
  <si>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</si>
  <si>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</si>
  <si>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</si>
  <si>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</si>
  <si>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</si>
  <si>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</si>
  <si>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</si>
  <si>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</si>
  <si>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</si>
  <si>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</si>
  <si>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</si>
  <si>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</si>
  <si>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</si>
  <si>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</si>
  <si>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</si>
  <si>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</si>
  <si>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</si>
  <si>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</si>
  <si>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</si>
  <si>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</si>
  <si>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</si>
  <si>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</si>
  <si>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</si>
  <si>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</si>
  <si>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</si>
  <si>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</si>
  <si>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</si>
  <si>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</si>
  <si>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</si>
  <si>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</si>
  <si>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</si>
  <si>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</si>
  <si>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</si>
  <si>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</si>
  <si>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</si>
  <si>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</si>
  <si>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</si>
  <si>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</si>
  <si>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</si>
  <si>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</si>
  <si>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</si>
  <si>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</si>
  <si>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</si>
  <si>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</si>
  <si>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</si>
  <si>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</si>
  <si>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</si>
  <si>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</si>
  <si>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</si>
  <si>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</si>
  <si>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</si>
  <si>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</si>
  <si>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</si>
  <si>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</si>
  <si>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</si>
  <si>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</si>
  <si>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</si>
  <si>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</si>
  <si>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</si>
  <si>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</si>
  <si>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42:12:0102015:1217</t>
  </si>
  <si>
    <t>1.4.26.934</t>
  </si>
  <si>
    <t>1.4.26.935</t>
  </si>
  <si>
    <t>1.4.26.936</t>
  </si>
  <si>
    <t>42:12:0102015:1237</t>
  </si>
  <si>
    <t>1.4.26.937</t>
  </si>
  <si>
    <t>1.4.26.938</t>
  </si>
  <si>
    <t>1.4.26.939</t>
  </si>
  <si>
    <t>1.4.26.940</t>
  </si>
  <si>
    <t>1.4.26.941</t>
  </si>
  <si>
    <t>1.4.26.942</t>
  </si>
  <si>
    <t>42:12:0102015:1238</t>
  </si>
  <si>
    <t>42:12:0102015:1239</t>
  </si>
  <si>
    <t>42:12:0102015:1240</t>
  </si>
  <si>
    <t>42:12:0102015:1242</t>
  </si>
  <si>
    <t>42:12:0102015:1250</t>
  </si>
  <si>
    <t>1.4.26.924</t>
  </si>
  <si>
    <t>1.4.26.943</t>
  </si>
  <si>
    <t>1.4.26.944</t>
  </si>
  <si>
    <t>1.4.26.945</t>
  </si>
  <si>
    <t>42:12:0102015:1341</t>
  </si>
  <si>
    <t>42:12:0102015:1304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</si>
  <si>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</si>
  <si>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</si>
  <si>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</si>
  <si>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</si>
  <si>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</si>
  <si>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</si>
  <si>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</si>
  <si>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</si>
  <si>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</si>
  <si>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</si>
  <si>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</si>
  <si>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</si>
  <si>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</si>
  <si>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</si>
  <si>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</si>
  <si>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</si>
  <si>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</si>
  <si>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</si>
  <si>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</si>
  <si>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</si>
  <si>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</si>
  <si>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</si>
  <si>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</si>
  <si>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</si>
  <si>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</si>
  <si>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</si>
  <si>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</si>
  <si>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</si>
  <si>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</si>
  <si>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</si>
  <si>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</si>
  <si>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</si>
  <si>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</si>
  <si>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</si>
  <si>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</si>
  <si>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</si>
  <si>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</si>
  <si>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</si>
  <si>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</si>
  <si>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</si>
  <si>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</si>
  <si>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</si>
  <si>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</si>
  <si>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</si>
  <si>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</si>
  <si>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</si>
  <si>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</si>
  <si>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</si>
  <si>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</si>
  <si>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</si>
  <si>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</si>
  <si>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</si>
  <si>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</si>
  <si>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</si>
  <si>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</si>
  <si>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</si>
  <si>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</si>
  <si>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</si>
  <si>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</si>
  <si>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</si>
  <si>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</si>
  <si>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42:12:0106002:4349</t>
  </si>
  <si>
    <t>1.4.26.946</t>
  </si>
  <si>
    <t>1.4.26.947</t>
  </si>
  <si>
    <t>1.4.26.948</t>
  </si>
  <si>
    <t>1.4.26.949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</si>
  <si>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</si>
  <si>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</si>
  <si>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</si>
  <si>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</si>
  <si>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</si>
  <si>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</si>
  <si>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</si>
  <si>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</si>
  <si>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</si>
  <si>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</si>
  <si>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</si>
  <si>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</si>
  <si>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</si>
  <si>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</si>
  <si>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</si>
  <si>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</si>
  <si>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</si>
  <si>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</si>
  <si>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</si>
  <si>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</si>
  <si>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</si>
  <si>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</si>
  <si>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</si>
  <si>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</si>
  <si>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</si>
  <si>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42:12:0102015:1032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</si>
  <si>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</si>
  <si>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</si>
  <si>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</si>
  <si>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</si>
  <si>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</si>
  <si>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</si>
  <si>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</si>
  <si>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</si>
  <si>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</si>
  <si>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</si>
  <si>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</si>
  <si>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</si>
  <si>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</si>
  <si>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</si>
  <si>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</si>
  <si>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</si>
  <si>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</si>
  <si>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</si>
  <si>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</si>
  <si>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</si>
  <si>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</si>
  <si>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70/409</t>
  </si>
  <si>
    <t>89/402</t>
  </si>
  <si>
    <t>72/411</t>
  </si>
  <si>
    <t>73/413</t>
  </si>
  <si>
    <t>74/415</t>
  </si>
  <si>
    <t>79/418</t>
  </si>
  <si>
    <t>84/410</t>
  </si>
  <si>
    <t>69/405</t>
  </si>
  <si>
    <t>68/403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</si>
  <si>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</si>
  <si>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</si>
  <si>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</si>
  <si>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</si>
  <si>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</si>
  <si>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</si>
  <si>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</si>
  <si>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</si>
  <si>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</si>
  <si>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</si>
  <si>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</si>
  <si>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</si>
  <si>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</si>
  <si>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</si>
  <si>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</si>
  <si>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</si>
  <si>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</si>
  <si>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</si>
  <si>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</si>
  <si>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</si>
  <si>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</si>
  <si>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</si>
  <si>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</si>
  <si>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</si>
  <si>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</si>
  <si>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</si>
  <si>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</si>
  <si>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</si>
  <si>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</si>
  <si>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</si>
  <si>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</si>
  <si>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10а</t>
  </si>
  <si>
    <t>42:34:0114008:162</t>
  </si>
  <si>
    <t>42:34:0114008:165</t>
  </si>
  <si>
    <t>42:34:0114008:166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</si>
  <si>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</si>
  <si>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</si>
  <si>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</si>
  <si>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</si>
  <si>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</si>
  <si>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</si>
  <si>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</si>
  <si>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</si>
  <si>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</si>
  <si>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</si>
  <si>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</si>
  <si>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</si>
  <si>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</si>
  <si>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</si>
  <si>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</si>
  <si>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</si>
  <si>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</si>
  <si>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</si>
  <si>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</si>
  <si>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</si>
  <si>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</si>
  <si>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</si>
  <si>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</si>
  <si>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</si>
  <si>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</si>
  <si>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</si>
  <si>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</si>
  <si>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</si>
  <si>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</si>
  <si>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</si>
  <si>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</si>
  <si>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</si>
  <si>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</si>
  <si>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</si>
  <si>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</si>
  <si>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</si>
  <si>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</si>
  <si>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</si>
  <si>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</si>
  <si>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</si>
  <si>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</si>
  <si>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</si>
  <si>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</si>
  <si>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</si>
  <si>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</si>
  <si>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</si>
  <si>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</si>
  <si>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</si>
  <si>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42:12:0102015:1354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</si>
  <si>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</si>
  <si>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</si>
  <si>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</si>
  <si>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</si>
  <si>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</si>
  <si>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</si>
  <si>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</si>
  <si>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</si>
  <si>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</si>
  <si>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</si>
  <si>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</si>
  <si>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</si>
  <si>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</si>
  <si>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</si>
  <si>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</si>
  <si>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</si>
  <si>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</si>
  <si>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</si>
  <si>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</si>
  <si>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</si>
  <si>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</si>
  <si>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</si>
  <si>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</si>
  <si>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</si>
  <si>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</si>
  <si>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1.4.26.973</t>
  </si>
  <si>
    <t>1.4.26.975</t>
  </si>
  <si>
    <t>1.4.26.976</t>
  </si>
  <si>
    <t>1.4.26.977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</si>
  <si>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</si>
  <si>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</si>
  <si>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</si>
  <si>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</si>
  <si>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</si>
  <si>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</si>
  <si>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</si>
  <si>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</si>
  <si>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</si>
  <si>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</si>
  <si>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</si>
  <si>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</si>
  <si>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</si>
  <si>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</si>
  <si>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</si>
  <si>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</si>
  <si>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</si>
  <si>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1.1.539.4</t>
  </si>
  <si>
    <t>42:12:0105002:2005</t>
  </si>
  <si>
    <t>1.1.294.2</t>
  </si>
  <si>
    <t>42:12:0102006:846</t>
  </si>
  <si>
    <t>1.2.459</t>
  </si>
  <si>
    <t>1.2.460</t>
  </si>
  <si>
    <t>1.2.461</t>
  </si>
  <si>
    <t>1.4.92</t>
  </si>
  <si>
    <t>1.4.93</t>
  </si>
  <si>
    <t>1.4.94</t>
  </si>
  <si>
    <t>1.4.95</t>
  </si>
  <si>
    <t>1.4.96</t>
  </si>
  <si>
    <t>1.4.97</t>
  </si>
  <si>
    <t>1.4.98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</si>
  <si>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</si>
  <si>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</si>
  <si>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</si>
  <si>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</si>
  <si>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</si>
  <si>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</si>
  <si>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</si>
  <si>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</si>
  <si>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</si>
  <si>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</si>
  <si>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</si>
  <si>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</si>
  <si>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</si>
  <si>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</si>
  <si>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</si>
  <si>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</si>
  <si>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</si>
  <si>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</si>
  <si>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</si>
  <si>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</si>
  <si>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</si>
  <si>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</si>
  <si>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</si>
  <si>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</si>
  <si>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</si>
  <si>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</si>
  <si>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</si>
  <si>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</si>
  <si>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</si>
  <si>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</si>
  <si>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</si>
  <si>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</si>
  <si>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</si>
  <si>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</si>
  <si>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</si>
  <si>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</si>
  <si>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</si>
  <si>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</si>
  <si>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</si>
  <si>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</si>
  <si>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</si>
  <si>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</si>
  <si>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</si>
  <si>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</si>
  <si>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</si>
  <si>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</si>
  <si>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</si>
  <si>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</si>
  <si>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</si>
  <si>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</si>
  <si>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</si>
  <si>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</si>
  <si>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</si>
  <si>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</si>
  <si>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</si>
  <si>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</si>
  <si>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</si>
  <si>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</si>
  <si>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</si>
  <si>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</si>
  <si>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</si>
  <si>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</si>
  <si>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</si>
  <si>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</si>
  <si>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</si>
  <si>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</si>
  <si>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</si>
  <si>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</si>
  <si>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</si>
  <si>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</si>
  <si>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</si>
  <si>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</si>
  <si>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</si>
  <si>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</si>
  <si>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</si>
  <si>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</si>
  <si>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</si>
  <si>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</si>
  <si>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</si>
  <si>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2-х этажное, кирпичное  (V=11218 куб.м)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</si>
  <si>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</si>
  <si>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</si>
  <si>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</si>
  <si>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</si>
  <si>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</si>
  <si>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</si>
  <si>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</si>
  <si>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</si>
  <si>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</si>
  <si>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</si>
  <si>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</si>
  <si>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</si>
  <si>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</si>
  <si>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</si>
  <si>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</si>
  <si>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</si>
  <si>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</si>
  <si>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</si>
  <si>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</si>
  <si>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</si>
  <si>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</si>
  <si>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</si>
  <si>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</si>
  <si>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</si>
  <si>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</si>
  <si>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</si>
  <si>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</si>
  <si>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</si>
  <si>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</si>
  <si>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</si>
  <si>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</si>
  <si>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</si>
  <si>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</si>
  <si>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</si>
  <si>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</si>
  <si>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</si>
  <si>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</si>
  <si>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</si>
  <si>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</si>
  <si>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</si>
  <si>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</si>
  <si>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</si>
  <si>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</si>
  <si>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</si>
  <si>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</si>
  <si>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</si>
  <si>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</si>
  <si>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</si>
  <si>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</si>
  <si>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</si>
  <si>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</si>
  <si>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</si>
  <si>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</si>
  <si>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</si>
  <si>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</si>
  <si>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</si>
  <si>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</si>
  <si>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</si>
  <si>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</si>
  <si>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</si>
  <si>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</si>
  <si>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</si>
  <si>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</si>
  <si>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</si>
  <si>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</si>
  <si>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</si>
  <si>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</si>
  <si>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</si>
  <si>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</si>
  <si>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</si>
  <si>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</si>
  <si>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</si>
  <si>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</si>
  <si>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</si>
  <si>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</si>
  <si>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</si>
  <si>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</si>
  <si>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</si>
  <si>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</si>
  <si>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</si>
  <si>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</si>
  <si>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</si>
  <si>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</si>
  <si>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</si>
  <si>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</si>
  <si>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</si>
  <si>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</si>
  <si>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</si>
  <si>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</si>
  <si>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</si>
  <si>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</si>
  <si>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</si>
  <si>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</si>
  <si>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</si>
  <si>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</si>
  <si>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</si>
  <si>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</si>
  <si>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</si>
  <si>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</si>
  <si>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</si>
  <si>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</si>
  <si>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</si>
  <si>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</si>
  <si>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</si>
  <si>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</si>
  <si>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</si>
  <si>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</si>
  <si>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</si>
  <si>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</si>
  <si>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</si>
  <si>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</si>
  <si>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</si>
  <si>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</si>
  <si>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</si>
  <si>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</si>
  <si>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</si>
  <si>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</si>
  <si>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</si>
  <si>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</si>
  <si>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</si>
  <si>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</si>
  <si>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</si>
  <si>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</si>
  <si>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</si>
  <si>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</si>
  <si>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</si>
  <si>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</si>
  <si>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</si>
  <si>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</si>
  <si>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</si>
  <si>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1.4.26.1037</t>
  </si>
  <si>
    <t>1.4.26.1038</t>
  </si>
  <si>
    <t>1.4.26.1039</t>
  </si>
  <si>
    <t>1.4.26.1040</t>
  </si>
  <si>
    <t>1.4.26.1041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</si>
  <si>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</si>
  <si>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</si>
  <si>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</si>
  <si>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</si>
  <si>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</si>
  <si>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</si>
  <si>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</si>
  <si>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</si>
  <si>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</si>
  <si>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</si>
  <si>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</si>
  <si>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</si>
  <si>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</si>
  <si>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42:12:0102015:900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</si>
  <si>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</si>
  <si>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</si>
  <si>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</si>
  <si>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</si>
  <si>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</si>
  <si>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</si>
  <si>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</si>
  <si>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</si>
  <si>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</si>
  <si>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</si>
  <si>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</si>
  <si>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</si>
  <si>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</si>
  <si>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</si>
  <si>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 xml:space="preserve">42:12:0102015:1365 </t>
  </si>
  <si>
    <t>42:12:0102015:1366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</si>
  <si>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</si>
  <si>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</si>
  <si>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</si>
  <si>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</si>
  <si>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</si>
  <si>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</si>
  <si>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</si>
  <si>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</si>
  <si>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</si>
  <si>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</si>
  <si>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</si>
  <si>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</si>
  <si>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</si>
  <si>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</si>
  <si>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</si>
  <si>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</si>
  <si>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</si>
  <si>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</si>
  <si>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</si>
  <si>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</si>
  <si>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</si>
  <si>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</si>
  <si>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</si>
  <si>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</si>
  <si>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</si>
  <si>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</si>
  <si>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</si>
  <si>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</si>
  <si>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</si>
  <si>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</si>
  <si>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</si>
  <si>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</si>
  <si>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</si>
  <si>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</si>
  <si>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</si>
  <si>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</si>
  <si>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</si>
  <si>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</si>
  <si>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</si>
  <si>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</si>
  <si>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</si>
  <si>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</si>
  <si>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</si>
  <si>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</si>
  <si>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</si>
  <si>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</si>
  <si>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</si>
  <si>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</si>
  <si>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</si>
  <si>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</si>
  <si>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</si>
  <si>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</si>
  <si>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</si>
  <si>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</si>
  <si>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</si>
  <si>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</si>
  <si>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</si>
  <si>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</si>
  <si>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1.4.26.1058</t>
  </si>
  <si>
    <t>42:12:0102015:1402</t>
  </si>
  <si>
    <t>1.4.26.1059</t>
  </si>
  <si>
    <t>42:12:0102015:1399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</si>
  <si>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</si>
  <si>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</si>
  <si>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</si>
  <si>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</si>
  <si>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</si>
  <si>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</si>
  <si>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1.4.26.1064</t>
  </si>
  <si>
    <t>42:12:0102015:1390</t>
  </si>
  <si>
    <t>1.4.26.1065</t>
  </si>
  <si>
    <t>42:12:0102015:1392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</si>
  <si>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</si>
  <si>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</si>
  <si>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</si>
  <si>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</si>
  <si>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</si>
  <si>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</si>
  <si>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</si>
  <si>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</si>
  <si>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</si>
  <si>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</si>
  <si>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</si>
  <si>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</si>
  <si>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</si>
  <si>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</si>
  <si>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</si>
  <si>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</si>
  <si>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</si>
  <si>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</si>
  <si>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</si>
  <si>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</si>
  <si>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</si>
  <si>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</si>
  <si>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</si>
  <si>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</si>
  <si>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</si>
  <si>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</si>
  <si>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</si>
  <si>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</si>
  <si>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</si>
  <si>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</si>
  <si>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</si>
  <si>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</si>
  <si>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</si>
  <si>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</si>
  <si>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</si>
  <si>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</si>
  <si>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</si>
  <si>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</si>
  <si>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</si>
  <si>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</si>
  <si>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</si>
  <si>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1.4.26.1094</t>
  </si>
  <si>
    <t>1.4.26.1095</t>
  </si>
  <si>
    <t>1.4.26.1096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</si>
  <si>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</si>
  <si>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</si>
  <si>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</si>
  <si>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</si>
  <si>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</si>
  <si>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</si>
  <si>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</si>
  <si>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</si>
  <si>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</si>
  <si>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</si>
  <si>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</si>
  <si>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</si>
  <si>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</si>
  <si>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</si>
  <si>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В арендном пользовании ООО «Клаксон»</t>
  </si>
  <si>
    <t xml:space="preserve">В арендном пользовании Некоммерческой организации "Коллегия адвокатов г.Таштагола № 58" 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</si>
  <si>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</si>
  <si>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</si>
  <si>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</si>
  <si>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</si>
  <si>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</si>
  <si>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</si>
  <si>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</si>
  <si>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</si>
  <si>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</si>
  <si>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</si>
  <si>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</si>
  <si>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</si>
  <si>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</si>
  <si>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</si>
  <si>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</si>
  <si>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</si>
  <si>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</si>
  <si>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</si>
  <si>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</si>
  <si>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</si>
  <si>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</si>
  <si>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</si>
  <si>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</si>
  <si>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</si>
  <si>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</si>
  <si>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</si>
  <si>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</si>
  <si>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</si>
  <si>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</si>
  <si>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</si>
  <si>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</si>
  <si>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</si>
  <si>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</si>
  <si>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</si>
  <si>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</si>
  <si>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</si>
  <si>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</si>
  <si>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</si>
  <si>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</si>
  <si>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</si>
  <si>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</si>
  <si>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</si>
  <si>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</si>
  <si>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</si>
  <si>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</si>
  <si>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</si>
  <si>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</si>
  <si>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</si>
  <si>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</si>
  <si>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</si>
  <si>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</si>
  <si>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</si>
  <si>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</si>
  <si>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</si>
  <si>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</si>
  <si>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</si>
  <si>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</si>
  <si>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</si>
  <si>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</si>
  <si>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</si>
  <si>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</si>
  <si>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</si>
  <si>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</si>
  <si>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</si>
  <si>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</si>
  <si>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</si>
  <si>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</si>
  <si>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</si>
  <si>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</si>
  <si>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</si>
  <si>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</si>
  <si>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</si>
  <si>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</si>
  <si>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</si>
  <si>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</si>
  <si>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</si>
  <si>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</si>
  <si>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</si>
  <si>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</si>
  <si>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</si>
  <si>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</si>
  <si>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</si>
  <si>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</si>
  <si>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</si>
  <si>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</si>
  <si>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</si>
  <si>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</si>
  <si>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</si>
  <si>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</si>
  <si>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</si>
  <si>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</si>
  <si>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</si>
  <si>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</si>
  <si>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</si>
  <si>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</si>
  <si>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</si>
  <si>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</si>
  <si>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</si>
  <si>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</si>
  <si>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</si>
  <si>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</si>
  <si>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</si>
  <si>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</si>
  <si>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</si>
  <si>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</si>
  <si>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</si>
  <si>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</si>
  <si>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</si>
  <si>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</si>
  <si>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</si>
  <si>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</si>
  <si>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</si>
  <si>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</si>
  <si>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</si>
  <si>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</si>
  <si>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</si>
  <si>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</si>
  <si>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</si>
  <si>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</si>
  <si>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</si>
  <si>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</si>
  <si>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</si>
  <si>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</si>
  <si>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</si>
  <si>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</si>
  <si>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</si>
  <si>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</si>
  <si>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</si>
  <si>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</si>
  <si>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</si>
  <si>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</si>
  <si>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</si>
  <si>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</si>
  <si>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</si>
  <si>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</si>
  <si>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</si>
  <si>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</si>
  <si>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</si>
  <si>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</si>
  <si>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</si>
  <si>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</si>
  <si>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Строителей,100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</si>
  <si>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</si>
  <si>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</si>
  <si>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</si>
  <si>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</si>
  <si>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</si>
  <si>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</si>
  <si>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</si>
  <si>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</si>
  <si>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</si>
  <si>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</si>
  <si>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</si>
  <si>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</si>
  <si>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</si>
  <si>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</si>
  <si>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</si>
  <si>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Строителей,19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</si>
  <si>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</si>
  <si>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</si>
  <si>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</si>
  <si>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</si>
  <si>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</si>
  <si>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</si>
  <si>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</si>
  <si>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</si>
  <si>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</si>
  <si>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</si>
  <si>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</si>
  <si>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</si>
  <si>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</si>
  <si>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</si>
  <si>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</si>
  <si>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Строителей,46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</si>
  <si>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</si>
  <si>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Строителей,44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</si>
  <si>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</si>
  <si>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</si>
  <si>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</si>
  <si>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</si>
  <si>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</si>
  <si>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</si>
  <si>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</si>
  <si>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</si>
  <si>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</si>
  <si>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</si>
  <si>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</si>
  <si>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</si>
  <si>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</si>
  <si>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</si>
  <si>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</si>
  <si>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</si>
  <si>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</si>
  <si>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</si>
  <si>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</si>
  <si>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</si>
  <si>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</si>
  <si>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</si>
  <si>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</si>
  <si>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Шахтеров,147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</si>
  <si>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</si>
  <si>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</si>
  <si>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</si>
  <si>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ул.Строителей,37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</si>
  <si>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</si>
  <si>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</si>
  <si>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</si>
  <si>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</si>
  <si>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</si>
  <si>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</si>
  <si>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</si>
  <si>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</si>
  <si>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</si>
  <si>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</si>
  <si>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</si>
  <si>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</si>
  <si>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</si>
  <si>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</si>
  <si>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</si>
  <si>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</si>
  <si>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</si>
  <si>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</si>
  <si>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</si>
  <si>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</si>
  <si>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</si>
  <si>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</si>
  <si>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</si>
  <si>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</si>
  <si>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</si>
  <si>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</si>
  <si>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</si>
  <si>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</si>
  <si>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Шахтеров,23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</si>
  <si>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</si>
  <si>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</si>
  <si>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</si>
  <si>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</si>
  <si>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</si>
  <si>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</si>
  <si>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</si>
  <si>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</si>
  <si>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</si>
  <si>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</si>
  <si>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</si>
  <si>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</si>
  <si>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Шахтеров,62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</si>
  <si>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</si>
  <si>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</si>
  <si>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</si>
  <si>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</si>
  <si>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</si>
  <si>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</si>
  <si>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</si>
  <si>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</si>
  <si>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</si>
  <si>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</si>
  <si>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</si>
  <si>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ул.Строителей,74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</si>
  <si>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</si>
  <si>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</si>
  <si>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</si>
  <si>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</si>
  <si>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ул.Строителей,105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</si>
  <si>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</si>
  <si>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</si>
  <si>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</si>
  <si>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</si>
  <si>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</si>
  <si>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Шахтеров,41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</si>
  <si>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</si>
  <si>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</si>
  <si>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 Шерегеш, ул.Строителей,27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</si>
  <si>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</si>
  <si>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</si>
  <si>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</si>
  <si>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</si>
  <si>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</si>
  <si>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</si>
  <si>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</si>
  <si>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</si>
  <si>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</si>
  <si>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</si>
  <si>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</si>
  <si>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</si>
  <si>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</si>
  <si>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</si>
  <si>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</si>
  <si>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</si>
  <si>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</si>
  <si>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</si>
  <si>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</si>
  <si>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</si>
  <si>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</si>
  <si>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</si>
  <si>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</si>
  <si>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</si>
  <si>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</si>
  <si>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</si>
  <si>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</si>
  <si>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</si>
  <si>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</si>
  <si>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</si>
  <si>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</si>
  <si>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</si>
  <si>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</si>
  <si>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</si>
  <si>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</si>
  <si>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</si>
  <si>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</si>
  <si>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</si>
  <si>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</si>
  <si>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</si>
  <si>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</si>
  <si>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</si>
  <si>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</si>
  <si>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</si>
  <si>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Ледовая,13</t>
  </si>
  <si>
    <t>Россия, Кемеровская область,  Таштагольский район, пгт. Шерегеш, ул. Ледовая,15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</si>
  <si>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</si>
  <si>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</si>
  <si>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</si>
  <si>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</si>
  <si>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</si>
  <si>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</si>
  <si>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</si>
  <si>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</si>
  <si>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</si>
  <si>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</si>
  <si>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</si>
  <si>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</si>
  <si>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Ледовая,40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</si>
  <si>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</si>
  <si>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</si>
  <si>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</si>
  <si>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</si>
  <si>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</si>
  <si>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</si>
  <si>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</si>
  <si>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</si>
  <si>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</si>
  <si>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</si>
  <si>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</si>
  <si>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</si>
  <si>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</si>
  <si>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</si>
  <si>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</si>
  <si>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</si>
  <si>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</si>
  <si>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</si>
  <si>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</si>
  <si>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</si>
  <si>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</si>
  <si>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</si>
  <si>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</si>
  <si>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</si>
  <si>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</si>
  <si>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</si>
  <si>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</si>
  <si>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</si>
  <si>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</si>
  <si>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</si>
  <si>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</si>
  <si>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</si>
  <si>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</si>
  <si>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</si>
  <si>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</si>
  <si>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</si>
  <si>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</si>
  <si>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</si>
  <si>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</si>
  <si>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</si>
  <si>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</si>
  <si>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</si>
  <si>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</si>
  <si>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</si>
  <si>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</si>
  <si>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</si>
  <si>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</si>
  <si>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</si>
  <si>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</si>
  <si>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</si>
  <si>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</si>
  <si>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</si>
  <si>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</si>
  <si>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</si>
  <si>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</si>
  <si>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</si>
  <si>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</si>
  <si>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</si>
  <si>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</si>
  <si>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</si>
  <si>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</si>
  <si>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</si>
  <si>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</si>
  <si>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</si>
  <si>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</si>
  <si>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</si>
  <si>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</si>
  <si>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</si>
  <si>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</si>
  <si>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</si>
  <si>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</si>
  <si>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Лунная,22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</si>
  <si>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</si>
  <si>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</si>
  <si>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</si>
  <si>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</si>
  <si>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</si>
  <si>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</si>
  <si>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</si>
  <si>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Грозовая,13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</si>
  <si>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</si>
  <si>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Грозовая,17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</si>
  <si>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</si>
  <si>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</si>
  <si>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</si>
  <si>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</si>
  <si>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</si>
  <si>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</si>
  <si>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Звездная,26</t>
  </si>
  <si>
    <t>Россия, Кемеровская область,  Таштагольский район, пгт. Шерегеш, ул. Звездная,28</t>
  </si>
  <si>
    <t xml:space="preserve">Россия, Кемеровская область,  Таштагольский район, пгт. Шерегеш, ул. Рябиновая,15  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</si>
  <si>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</si>
  <si>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</si>
  <si>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</si>
  <si>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</si>
  <si>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</si>
  <si>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</si>
  <si>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</si>
  <si>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</si>
  <si>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</si>
  <si>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</si>
  <si>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</si>
  <si>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</si>
  <si>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</si>
  <si>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</si>
  <si>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</si>
  <si>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</si>
  <si>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</si>
  <si>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ул.Строителей,144</t>
  </si>
  <si>
    <t>Россия, Кемеровская область,  Таштагольский район, пгт. Шерегеш, ул.Строителей,146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</si>
  <si>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</si>
  <si>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</si>
  <si>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</si>
  <si>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</si>
  <si>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</si>
  <si>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</si>
  <si>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</si>
  <si>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</si>
  <si>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</si>
  <si>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</si>
  <si>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</si>
  <si>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</si>
  <si>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</si>
  <si>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</si>
  <si>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</si>
  <si>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</si>
  <si>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</si>
  <si>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Рябиновая,34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</si>
  <si>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</si>
  <si>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</si>
  <si>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</si>
  <si>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</si>
  <si>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</si>
  <si>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</si>
  <si>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</si>
  <si>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</si>
  <si>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</si>
  <si>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Цветочная,2/3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</si>
  <si>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</si>
  <si>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</si>
  <si>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</si>
  <si>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</si>
  <si>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</si>
  <si>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</si>
  <si>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</si>
  <si>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</si>
  <si>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</si>
  <si>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</si>
  <si>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</si>
  <si>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</si>
  <si>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</si>
  <si>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</si>
  <si>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</si>
  <si>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</si>
  <si>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</si>
  <si>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</si>
  <si>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</si>
  <si>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</si>
  <si>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</si>
  <si>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</si>
  <si>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</si>
  <si>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</si>
  <si>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Арктическая,18</t>
  </si>
  <si>
    <t>Россия, Кемеровская область,  Таштагольский район, пгт. Шерегеш, ул. Арктическая,20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</si>
  <si>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</si>
  <si>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</si>
  <si>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</si>
  <si>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</si>
  <si>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</si>
  <si>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Ягодная,24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</si>
  <si>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</si>
  <si>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</si>
  <si>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</si>
  <si>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</si>
  <si>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</si>
  <si>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</si>
  <si>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</si>
  <si>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</si>
  <si>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</si>
  <si>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</si>
  <si>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</si>
  <si>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</si>
  <si>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</si>
  <si>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</si>
  <si>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</si>
  <si>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</si>
  <si>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</si>
  <si>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</si>
  <si>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</si>
  <si>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</si>
  <si>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</si>
  <si>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</si>
  <si>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</si>
  <si>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</si>
  <si>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</si>
  <si>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</si>
  <si>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</si>
  <si>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Славянская,13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</si>
  <si>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</si>
  <si>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</si>
  <si>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</si>
  <si>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</si>
  <si>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</si>
  <si>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</si>
  <si>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</si>
  <si>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</si>
  <si>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</si>
  <si>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</si>
  <si>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</si>
  <si>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</si>
  <si>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</si>
  <si>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</si>
  <si>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</si>
  <si>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</si>
  <si>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</si>
  <si>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</si>
  <si>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</si>
  <si>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</si>
  <si>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</si>
  <si>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</si>
  <si>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</si>
  <si>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</si>
  <si>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</si>
  <si>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</si>
  <si>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</si>
  <si>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</si>
  <si>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</si>
  <si>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</si>
  <si>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</si>
  <si>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</si>
  <si>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</si>
  <si>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</si>
  <si>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</si>
  <si>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</si>
  <si>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</si>
  <si>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Ледовая,59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</si>
  <si>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</si>
  <si>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</si>
  <si>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</si>
  <si>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</si>
  <si>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</si>
  <si>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</si>
  <si>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</si>
  <si>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</si>
  <si>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</si>
  <si>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</si>
  <si>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</si>
  <si>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</si>
  <si>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</si>
  <si>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</si>
  <si>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</si>
  <si>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</si>
  <si>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</si>
  <si>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</si>
  <si>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</si>
  <si>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</si>
  <si>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</si>
  <si>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</si>
  <si>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</si>
  <si>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</si>
  <si>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</si>
  <si>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</si>
  <si>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</si>
  <si>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</si>
  <si>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</si>
  <si>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</si>
  <si>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</si>
  <si>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</si>
  <si>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</si>
  <si>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</si>
  <si>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</si>
  <si>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</si>
  <si>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</si>
  <si>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</si>
  <si>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</si>
  <si>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</si>
  <si>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Свободная,54а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</si>
  <si>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</si>
  <si>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</si>
  <si>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</si>
  <si>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</si>
  <si>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</si>
  <si>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</si>
  <si>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</si>
  <si>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</si>
  <si>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</si>
  <si>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</si>
  <si>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</si>
  <si>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</si>
  <si>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</si>
  <si>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</si>
  <si>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Цветочная,1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</si>
  <si>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</si>
  <si>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</si>
  <si>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</si>
  <si>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</si>
  <si>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</si>
  <si>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</si>
  <si>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</si>
  <si>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</si>
  <si>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</si>
  <si>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</si>
  <si>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</si>
  <si>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</si>
  <si>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</si>
  <si>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</si>
  <si>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</si>
  <si>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</si>
  <si>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</si>
  <si>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</si>
  <si>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</si>
  <si>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</si>
  <si>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</si>
  <si>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</si>
  <si>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</si>
  <si>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</si>
  <si>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</si>
  <si>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</si>
  <si>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</si>
  <si>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</si>
  <si>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</si>
  <si>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</si>
  <si>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</si>
  <si>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</si>
  <si>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</si>
  <si>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</si>
  <si>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</si>
  <si>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</si>
  <si>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</si>
  <si>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</si>
  <si>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</si>
  <si>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</si>
  <si>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</si>
  <si>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</si>
  <si>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</si>
  <si>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</si>
  <si>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</si>
  <si>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</si>
  <si>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</si>
  <si>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</si>
  <si>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</si>
  <si>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</si>
  <si>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</si>
  <si>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</si>
  <si>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</si>
  <si>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</si>
  <si>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</si>
  <si>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Ореховая,94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</si>
  <si>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</si>
  <si>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</si>
  <si>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</si>
  <si>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</si>
  <si>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</si>
  <si>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</si>
  <si>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</si>
  <si>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</si>
  <si>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</si>
  <si>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</si>
  <si>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</si>
  <si>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</si>
  <si>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</si>
  <si>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</si>
  <si>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</si>
  <si>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</si>
  <si>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</si>
  <si>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</si>
  <si>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</si>
  <si>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</si>
  <si>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</si>
  <si>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</si>
  <si>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</si>
  <si>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</si>
  <si>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Ледовая,73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</si>
  <si>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</si>
  <si>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</si>
  <si>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</si>
  <si>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</si>
  <si>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</si>
  <si>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Крайняя,1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</si>
  <si>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</si>
  <si>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</si>
  <si>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</si>
  <si>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</si>
  <si>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</si>
  <si>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</si>
  <si>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Ледовая,146</t>
  </si>
  <si>
    <t>Россия, Кемеровская область,  Таштагольский район, пгт. Шерегеш, ул. Ледовая,145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</si>
  <si>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</si>
  <si>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</si>
  <si>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</si>
  <si>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</si>
  <si>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</si>
  <si>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</si>
  <si>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</si>
  <si>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</si>
  <si>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</si>
  <si>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</si>
  <si>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</si>
  <si>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</si>
  <si>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</si>
  <si>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</si>
  <si>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</si>
  <si>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</si>
  <si>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</si>
  <si>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</si>
  <si>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</si>
  <si>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</si>
  <si>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</si>
  <si>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</si>
  <si>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</si>
  <si>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</si>
  <si>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</si>
  <si>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</si>
  <si>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</si>
  <si>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</si>
  <si>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</si>
  <si>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</si>
  <si>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</si>
  <si>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</si>
  <si>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</si>
  <si>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</si>
  <si>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</si>
  <si>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</si>
  <si>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</si>
  <si>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</si>
  <si>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</si>
  <si>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</si>
  <si>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</si>
  <si>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</si>
  <si>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</si>
  <si>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</si>
  <si>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</si>
  <si>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</si>
  <si>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</si>
  <si>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</si>
  <si>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</si>
  <si>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</si>
  <si>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</si>
  <si>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</si>
  <si>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</si>
  <si>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</si>
  <si>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</si>
  <si>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</si>
  <si>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</si>
  <si>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</si>
  <si>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</si>
  <si>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</si>
  <si>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</si>
  <si>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</si>
  <si>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</si>
  <si>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</si>
  <si>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</si>
  <si>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</si>
  <si>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</si>
  <si>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</si>
  <si>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</si>
  <si>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</si>
  <si>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</si>
  <si>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</si>
  <si>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</si>
  <si>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</si>
  <si>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</si>
  <si>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</si>
  <si>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</si>
  <si>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</si>
  <si>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Грозовая,10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</si>
  <si>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</si>
  <si>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</si>
  <si>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</si>
  <si>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</si>
  <si>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</si>
  <si>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</si>
  <si>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</si>
  <si>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Ледовая,4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</si>
  <si>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</si>
  <si>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</si>
  <si>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</si>
  <si>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</si>
  <si>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</si>
  <si>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</si>
  <si>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</si>
  <si>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Грозовая,1/2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</si>
  <si>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</si>
  <si>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</si>
  <si>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</si>
  <si>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</si>
  <si>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</si>
  <si>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</si>
  <si>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</si>
  <si>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</si>
  <si>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</si>
  <si>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</si>
  <si>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</si>
  <si>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</si>
  <si>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</si>
  <si>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</si>
  <si>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</si>
  <si>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Хвойная,14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</si>
  <si>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</si>
  <si>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</si>
  <si>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Хвойная,20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</si>
  <si>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</si>
  <si>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</si>
  <si>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</si>
  <si>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</si>
  <si>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</si>
  <si>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</si>
  <si>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</si>
  <si>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</si>
  <si>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</si>
  <si>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</si>
  <si>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</si>
  <si>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</si>
  <si>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Звездная,5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</si>
  <si>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</si>
  <si>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</si>
  <si>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</si>
  <si>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</si>
  <si>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</si>
  <si>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</si>
  <si>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</si>
  <si>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</si>
  <si>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</si>
  <si>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</si>
  <si>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</si>
  <si>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</si>
  <si>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</si>
  <si>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</si>
  <si>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</si>
  <si>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</si>
  <si>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</si>
  <si>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</si>
  <si>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</si>
  <si>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</si>
  <si>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</si>
  <si>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</si>
  <si>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</si>
  <si>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</si>
  <si>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</si>
  <si>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</si>
  <si>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</si>
  <si>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</si>
  <si>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</si>
  <si>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Лунная,28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</si>
  <si>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</si>
  <si>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Лунная,30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</si>
  <si>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</si>
  <si>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</si>
  <si>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Лунная,33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</si>
  <si>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</si>
  <si>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</si>
  <si>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</si>
  <si>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</si>
  <si>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</si>
  <si>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</si>
  <si>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</si>
  <si>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</si>
  <si>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</si>
  <si>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</si>
  <si>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</si>
  <si>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</si>
  <si>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</si>
  <si>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</si>
  <si>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</si>
  <si>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Тихая,1/4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</si>
  <si>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</si>
  <si>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</si>
  <si>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</si>
  <si>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</si>
  <si>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</si>
  <si>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</si>
  <si>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Звездная,32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</si>
  <si>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</si>
  <si>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Шерегеш, ул. Звездная,34</t>
  </si>
  <si>
    <t>Россия, Кемеровская область,  Таштагольский район, пгт. Шерегеш, ул. Звездная,35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</si>
  <si>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</si>
  <si>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Звездная,37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</si>
  <si>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</si>
  <si>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</si>
  <si>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</si>
  <si>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</si>
  <si>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Ягодная,2/6</t>
  </si>
  <si>
    <t>Россия, Кемеровская область,  Таштагольский район, пгт. Шерегеш, ул. Ягодная,4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</si>
  <si>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</si>
  <si>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</si>
  <si>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</si>
  <si>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</si>
  <si>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</si>
  <si>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</si>
  <si>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</si>
  <si>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</si>
  <si>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</si>
  <si>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</si>
  <si>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</si>
  <si>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</si>
  <si>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Арктическая,1/4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</si>
  <si>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</si>
  <si>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</si>
  <si>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</si>
  <si>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</si>
  <si>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</si>
  <si>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</si>
  <si>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</si>
  <si>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</si>
  <si>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</si>
  <si>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</si>
  <si>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</si>
  <si>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</si>
  <si>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</si>
  <si>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</si>
  <si>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</si>
  <si>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</si>
  <si>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</si>
  <si>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</si>
  <si>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</si>
  <si>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</si>
  <si>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</si>
  <si>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</si>
  <si>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</si>
  <si>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</si>
  <si>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</si>
  <si>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</si>
  <si>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</si>
  <si>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</si>
  <si>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</si>
  <si>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</si>
  <si>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</si>
  <si>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</si>
  <si>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</si>
  <si>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</si>
  <si>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</si>
  <si>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</si>
  <si>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</si>
  <si>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</si>
  <si>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</si>
  <si>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</si>
  <si>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</si>
  <si>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</si>
  <si>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Славянская,66</t>
  </si>
  <si>
    <t>Россия, Кемеровская область,  Таштагольский район, пгт. Шерегеш, ул. Славянская,68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</si>
  <si>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</si>
  <si>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</si>
  <si>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</si>
  <si>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</si>
  <si>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</si>
  <si>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</si>
  <si>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</si>
  <si>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</si>
  <si>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</t>
  </si>
  <si>
    <t>Россия, Кемеровская область,  Таштагольский район, пгт. Шерегеш, ул. Строителей,2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</si>
  <si>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</si>
  <si>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</si>
  <si>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</si>
  <si>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</si>
  <si>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</si>
  <si>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</si>
  <si>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</si>
  <si>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</si>
  <si>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</si>
  <si>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Строителей,130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</si>
  <si>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</si>
  <si>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</si>
  <si>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</si>
  <si>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</si>
  <si>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</si>
  <si>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</si>
  <si>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</si>
  <si>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</si>
  <si>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</si>
  <si>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</si>
  <si>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</si>
  <si>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</si>
  <si>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</si>
  <si>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</si>
  <si>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</si>
  <si>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Хвойная,25</t>
  </si>
  <si>
    <t>Россия, Кемеровская область,  Таштагольский район, пгт. Шерегеш, ул. Хвойная,27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</si>
  <si>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</si>
  <si>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</si>
  <si>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</si>
  <si>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</si>
  <si>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</si>
  <si>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</si>
  <si>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</si>
  <si>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</si>
  <si>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Звездная,24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</si>
  <si>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</si>
  <si>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</si>
  <si>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</si>
  <si>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</si>
  <si>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</si>
  <si>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</si>
  <si>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</si>
  <si>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</si>
  <si>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</si>
  <si>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</si>
  <si>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</si>
  <si>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</si>
  <si>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</si>
  <si>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</si>
  <si>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</si>
  <si>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</si>
  <si>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</si>
  <si>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</si>
  <si>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</si>
  <si>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</si>
  <si>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</si>
  <si>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</si>
  <si>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</si>
  <si>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</si>
  <si>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</si>
  <si>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</si>
  <si>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</si>
  <si>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</si>
  <si>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</si>
  <si>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</si>
  <si>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</si>
  <si>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</si>
  <si>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</si>
  <si>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</si>
  <si>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</si>
  <si>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</si>
  <si>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Арктическая,38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</si>
  <si>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</si>
  <si>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</si>
  <si>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</si>
  <si>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</si>
  <si>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Цветочная,36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</si>
  <si>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</si>
  <si>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Цветочная,40</t>
  </si>
  <si>
    <t>Россия, Кемеровская область,  Таштагольский район,  пгт. Шерегеш, ул. Цветочная,42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</si>
  <si>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</si>
  <si>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</si>
  <si>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</si>
  <si>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</si>
  <si>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</si>
  <si>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</si>
  <si>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</si>
  <si>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</si>
  <si>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</si>
  <si>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</si>
  <si>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</si>
  <si>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</si>
  <si>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</si>
  <si>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</si>
  <si>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</si>
  <si>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</si>
  <si>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</si>
  <si>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</si>
  <si>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</si>
  <si>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</si>
  <si>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</si>
  <si>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</si>
  <si>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</si>
  <si>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</si>
  <si>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</si>
  <si>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</si>
  <si>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</si>
  <si>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</si>
  <si>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</si>
  <si>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</si>
  <si>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</si>
  <si>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</si>
  <si>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</si>
  <si>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</si>
  <si>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</si>
  <si>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</si>
  <si>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</si>
  <si>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</si>
  <si>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</si>
  <si>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</si>
  <si>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</si>
  <si>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</si>
  <si>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</si>
  <si>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</si>
  <si>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</si>
  <si>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</si>
  <si>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</si>
  <si>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</si>
  <si>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</si>
  <si>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</si>
  <si>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</si>
  <si>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</si>
  <si>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</si>
  <si>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</si>
  <si>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</si>
  <si>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</si>
  <si>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</si>
  <si>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</si>
  <si>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</si>
  <si>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</si>
  <si>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Россия, Кемеровская область,  Таштагольский район, пгт. Шерегеш, ул. Свободная,46</t>
  </si>
  <si>
    <t>42:12:0102015:1432</t>
  </si>
  <si>
    <t>42:12:0102015:1433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</si>
  <si>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</si>
  <si>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</si>
  <si>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</si>
  <si>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</si>
  <si>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</si>
  <si>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</si>
  <si>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</si>
  <si>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</si>
  <si>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</si>
  <si>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</si>
  <si>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</si>
  <si>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</si>
  <si>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</si>
  <si>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</si>
  <si>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</si>
  <si>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</si>
  <si>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</si>
  <si>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</si>
  <si>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</si>
  <si>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</si>
  <si>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</si>
  <si>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</si>
  <si>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</si>
  <si>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</si>
  <si>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</si>
  <si>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</si>
  <si>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</si>
  <si>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</si>
  <si>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</si>
  <si>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</si>
  <si>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</si>
  <si>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</si>
  <si>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</si>
  <si>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</si>
  <si>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</si>
  <si>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</si>
  <si>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</si>
  <si>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</si>
  <si>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</si>
  <si>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</si>
  <si>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</si>
  <si>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</si>
  <si>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</si>
  <si>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</si>
  <si>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</si>
  <si>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</si>
  <si>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</si>
  <si>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</si>
  <si>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</si>
  <si>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</si>
  <si>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</si>
  <si>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</si>
  <si>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</si>
  <si>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</si>
  <si>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</si>
  <si>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</si>
  <si>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</si>
  <si>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</si>
  <si>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</si>
  <si>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</si>
  <si>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</si>
  <si>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</si>
  <si>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</si>
  <si>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</si>
  <si>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</si>
  <si>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</si>
  <si>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</si>
  <si>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</si>
  <si>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</si>
  <si>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</si>
  <si>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</si>
  <si>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</si>
  <si>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</si>
  <si>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1-но этаж., бревенчатые</t>
  </si>
  <si>
    <t>1.1.619.1</t>
  </si>
  <si>
    <t>1.1.619.2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</si>
  <si>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</si>
  <si>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</si>
  <si>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</si>
  <si>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</si>
  <si>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</si>
  <si>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</si>
  <si>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</si>
  <si>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</si>
  <si>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</si>
  <si>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</si>
  <si>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</si>
  <si>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</si>
  <si>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</si>
  <si>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</si>
  <si>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</si>
  <si>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</si>
  <si>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</si>
  <si>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</si>
  <si>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</si>
  <si>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</si>
  <si>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</si>
  <si>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</si>
  <si>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</si>
  <si>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</si>
  <si>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</si>
  <si>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</si>
  <si>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</si>
  <si>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</si>
  <si>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</si>
  <si>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</si>
  <si>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</si>
  <si>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</si>
  <si>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</si>
  <si>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</si>
  <si>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</si>
  <si>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</si>
  <si>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</si>
  <si>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</si>
  <si>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</si>
  <si>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</si>
  <si>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</si>
  <si>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</si>
  <si>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</si>
  <si>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</si>
  <si>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</si>
  <si>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</si>
  <si>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</si>
  <si>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</si>
  <si>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</si>
  <si>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</si>
  <si>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</si>
  <si>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</si>
  <si>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</si>
  <si>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</si>
  <si>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</si>
  <si>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</si>
  <si>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</si>
  <si>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</si>
  <si>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</si>
  <si>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</si>
  <si>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</si>
  <si>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</si>
  <si>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</si>
  <si>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</si>
  <si>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</si>
  <si>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</si>
  <si>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</si>
  <si>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42:12:0105002:3412</t>
  </si>
  <si>
    <t>1.1.846.1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</si>
  <si>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</si>
  <si>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</si>
  <si>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</si>
  <si>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</si>
  <si>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</si>
  <si>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</si>
  <si>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</si>
  <si>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1.1.847.7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</si>
  <si>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</si>
  <si>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</si>
  <si>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</si>
  <si>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</si>
  <si>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</si>
  <si>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</si>
  <si>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</si>
  <si>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</si>
  <si>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</si>
  <si>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</si>
  <si>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</si>
  <si>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</si>
  <si>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42:12:0105002:3373</t>
  </si>
  <si>
    <t>42:12:0105002:3374</t>
  </si>
  <si>
    <t xml:space="preserve">42:12:0105002:3377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</si>
  <si>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</si>
  <si>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</si>
  <si>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</si>
  <si>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</si>
  <si>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</si>
  <si>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</si>
  <si>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</si>
  <si>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</si>
  <si>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</si>
  <si>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</si>
  <si>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</si>
  <si>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</si>
  <si>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</si>
  <si>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</si>
  <si>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</si>
  <si>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</si>
  <si>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</si>
  <si>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</si>
  <si>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</si>
  <si>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</si>
  <si>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</si>
  <si>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</si>
  <si>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</si>
  <si>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</si>
  <si>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</si>
  <si>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</si>
  <si>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</si>
  <si>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</si>
  <si>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</si>
  <si>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</si>
  <si>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</si>
  <si>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</si>
  <si>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</si>
  <si>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</si>
  <si>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</si>
  <si>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</si>
  <si>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</si>
  <si>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</si>
  <si>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</si>
  <si>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</si>
  <si>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</si>
  <si>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</si>
  <si>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</si>
  <si>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</si>
  <si>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</si>
  <si>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</si>
  <si>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</si>
  <si>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</si>
  <si>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</si>
  <si>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</si>
  <si>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</si>
  <si>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</si>
  <si>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</si>
  <si>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</si>
  <si>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</si>
  <si>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</si>
  <si>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</si>
  <si>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</si>
  <si>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</si>
  <si>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</si>
  <si>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</si>
  <si>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</si>
  <si>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</si>
  <si>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</si>
  <si>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</si>
  <si>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</si>
  <si>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</si>
  <si>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</si>
  <si>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</si>
  <si>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</si>
  <si>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</si>
  <si>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</si>
  <si>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</si>
  <si>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</si>
  <si>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</si>
  <si>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</si>
  <si>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</si>
  <si>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</si>
  <si>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</si>
  <si>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</si>
  <si>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</si>
  <si>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</si>
  <si>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</si>
  <si>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</si>
  <si>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</si>
  <si>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</si>
  <si>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</si>
  <si>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</si>
  <si>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</si>
  <si>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</si>
  <si>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</si>
  <si>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</si>
  <si>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</si>
  <si>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</si>
  <si>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</si>
  <si>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</si>
  <si>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</si>
  <si>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</si>
  <si>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1.1.848.6</t>
  </si>
  <si>
    <t>1.1.848.7</t>
  </si>
  <si>
    <t xml:space="preserve">42:34:0103010:51 </t>
  </si>
  <si>
    <t>30в</t>
  </si>
  <si>
    <t xml:space="preserve">42:34:0103010:61 </t>
  </si>
  <si>
    <t xml:space="preserve">42:34:0103010:62 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</si>
  <si>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</si>
  <si>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</si>
  <si>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</si>
  <si>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</si>
  <si>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</si>
  <si>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</si>
  <si>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</si>
  <si>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</si>
  <si>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</si>
  <si>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</si>
  <si>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</si>
  <si>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</si>
  <si>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</si>
  <si>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</si>
  <si>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</si>
  <si>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</si>
  <si>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</si>
  <si>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</si>
  <si>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</si>
  <si>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</si>
  <si>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</si>
  <si>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</si>
  <si>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</si>
  <si>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</si>
  <si>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</si>
  <si>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</si>
  <si>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</si>
  <si>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</si>
  <si>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</si>
  <si>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</si>
  <si>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</si>
  <si>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</si>
  <si>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</si>
  <si>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</si>
  <si>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</si>
  <si>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</si>
  <si>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</si>
  <si>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</si>
  <si>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</si>
  <si>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</si>
  <si>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</si>
  <si>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</si>
  <si>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</si>
  <si>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</si>
  <si>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</si>
  <si>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</si>
  <si>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</si>
  <si>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</si>
  <si>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</si>
  <si>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</si>
  <si>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</si>
  <si>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</si>
  <si>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</si>
  <si>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</si>
  <si>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</si>
  <si>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</si>
  <si>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</si>
  <si>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</si>
  <si>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</si>
  <si>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</si>
  <si>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</si>
  <si>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</si>
  <si>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</si>
  <si>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</si>
  <si>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</si>
  <si>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</si>
  <si>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</si>
  <si>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</si>
  <si>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</si>
  <si>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</si>
  <si>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</si>
  <si>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</si>
  <si>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1.4.26.1150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</si>
  <si>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</si>
  <si>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</si>
  <si>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</si>
  <si>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</si>
  <si>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</si>
  <si>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</si>
  <si>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</si>
  <si>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</si>
  <si>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</si>
  <si>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</si>
  <si>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</si>
  <si>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</si>
  <si>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</si>
  <si>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</si>
  <si>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</si>
  <si>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</si>
  <si>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</si>
  <si>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</si>
  <si>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</si>
  <si>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</si>
  <si>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</si>
  <si>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</si>
  <si>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</si>
  <si>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</si>
  <si>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</si>
  <si>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</si>
  <si>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</si>
  <si>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</si>
  <si>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</si>
  <si>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</si>
  <si>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</si>
  <si>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</si>
  <si>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</si>
  <si>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</si>
  <si>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</si>
  <si>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</si>
  <si>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>Россия, Кемеровская область,  Таштагольский район, пгт. Шерегеш, ул. Березовая,6</t>
  </si>
  <si>
    <t xml:space="preserve"> 42:12:0102015:1495  </t>
  </si>
  <si>
    <t>Земельный участок  для использования : для иных видов жилой застройки</t>
  </si>
  <si>
    <t>42:12:0102015:1496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</si>
  <si>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</si>
  <si>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</si>
  <si>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</si>
  <si>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</si>
  <si>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</si>
  <si>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</si>
  <si>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</si>
  <si>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</si>
  <si>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</si>
  <si>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</si>
  <si>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</si>
  <si>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</si>
  <si>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</si>
  <si>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</si>
  <si>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</si>
  <si>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</si>
  <si>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</si>
  <si>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</si>
  <si>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</si>
  <si>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</si>
  <si>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</si>
  <si>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</si>
  <si>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</si>
  <si>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</si>
  <si>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</si>
  <si>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</si>
  <si>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</si>
  <si>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</si>
  <si>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</si>
  <si>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</si>
  <si>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</si>
  <si>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</si>
  <si>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</si>
  <si>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</si>
  <si>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</si>
  <si>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</si>
  <si>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</si>
  <si>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</si>
  <si>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</si>
  <si>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</si>
  <si>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</si>
  <si>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</si>
  <si>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</si>
  <si>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</si>
  <si>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</si>
  <si>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</si>
  <si>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</si>
  <si>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</si>
  <si>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</si>
  <si>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</si>
  <si>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</si>
  <si>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</si>
  <si>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</si>
  <si>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</si>
  <si>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</si>
  <si>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</si>
  <si>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</si>
  <si>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</si>
  <si>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</si>
  <si>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</si>
  <si>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</si>
  <si>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</si>
  <si>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</si>
  <si>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</si>
  <si>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</si>
  <si>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</si>
  <si>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</si>
  <si>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1.1.850.11</t>
  </si>
  <si>
    <t>1.1.850.14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</si>
  <si>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</si>
  <si>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</si>
  <si>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</si>
  <si>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</si>
  <si>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</si>
  <si>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</si>
  <si>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</si>
  <si>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1.1.850.29</t>
  </si>
  <si>
    <t>1.1.850.30</t>
  </si>
  <si>
    <t>1.1.850.31</t>
  </si>
  <si>
    <t>1.1.850.32</t>
  </si>
  <si>
    <t>1.1.850.34</t>
  </si>
  <si>
    <t>1.1.850.36</t>
  </si>
  <si>
    <t>1.1.850.40</t>
  </si>
  <si>
    <t>1.1.850.45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</si>
  <si>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</si>
  <si>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</si>
  <si>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</si>
  <si>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</si>
  <si>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</si>
  <si>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</si>
  <si>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</si>
  <si>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</si>
  <si>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1.1.852.3</t>
  </si>
  <si>
    <t>1.1.852.5</t>
  </si>
  <si>
    <t>1.1.852.9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</si>
  <si>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</si>
  <si>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</si>
  <si>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</si>
  <si>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</si>
  <si>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</si>
  <si>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</si>
  <si>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</si>
  <si>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</si>
  <si>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</si>
  <si>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</si>
  <si>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</si>
  <si>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</si>
  <si>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</si>
  <si>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</si>
  <si>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</si>
  <si>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</si>
  <si>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</si>
  <si>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</si>
  <si>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</si>
  <si>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</si>
  <si>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</si>
  <si>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</si>
  <si>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</si>
  <si>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</si>
  <si>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</si>
  <si>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</si>
  <si>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</si>
  <si>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</si>
  <si>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</si>
  <si>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42:12:0106002:4434</t>
  </si>
  <si>
    <t xml:space="preserve">  42:12:0106002:4437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</si>
  <si>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</si>
  <si>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</si>
  <si>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</si>
  <si>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</si>
  <si>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</si>
  <si>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</si>
  <si>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</si>
  <si>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42:12:0106002:4454</t>
  </si>
  <si>
    <t xml:space="preserve">  42:12:0106002:4455</t>
  </si>
  <si>
    <t xml:space="preserve">  42:12:0106002:4456</t>
  </si>
  <si>
    <t xml:space="preserve">  42:12:0106002:4457</t>
  </si>
  <si>
    <t xml:space="preserve">  42:12:0106002:4459</t>
  </si>
  <si>
    <t xml:space="preserve">  42:12:0106002:4461</t>
  </si>
  <si>
    <t xml:space="preserve">  42:12:0106002:4465</t>
  </si>
  <si>
    <t xml:space="preserve">5-ти этажное, монолитное </t>
  </si>
  <si>
    <t>42:34:0000000:337</t>
  </si>
  <si>
    <t>42:34:0101044:401</t>
  </si>
  <si>
    <t>42:12:0109001:209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</si>
  <si>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</si>
  <si>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</si>
  <si>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</si>
  <si>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</si>
  <si>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</si>
  <si>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</si>
  <si>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</si>
  <si>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</si>
  <si>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</si>
  <si>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</si>
  <si>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</si>
  <si>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</si>
  <si>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</si>
  <si>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</si>
  <si>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</si>
  <si>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</si>
  <si>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</si>
  <si>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</si>
  <si>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</si>
  <si>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</si>
  <si>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</si>
  <si>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</si>
  <si>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</si>
  <si>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</si>
  <si>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</si>
  <si>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</si>
  <si>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</si>
  <si>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</si>
  <si>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</si>
  <si>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</si>
  <si>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</si>
  <si>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</si>
  <si>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</si>
  <si>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</si>
  <si>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</si>
  <si>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</si>
  <si>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</si>
  <si>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</si>
  <si>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</si>
  <si>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</si>
  <si>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</si>
  <si>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</si>
  <si>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</si>
  <si>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</si>
  <si>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</si>
  <si>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</si>
  <si>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</si>
  <si>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</si>
  <si>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</si>
  <si>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</si>
  <si>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</si>
  <si>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</si>
  <si>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</si>
  <si>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</si>
  <si>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</si>
  <si>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</si>
  <si>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</si>
  <si>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</si>
  <si>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</si>
  <si>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</si>
  <si>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</si>
  <si>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</si>
  <si>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</si>
  <si>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</si>
  <si>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</si>
  <si>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</si>
  <si>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</si>
  <si>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</si>
  <si>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</si>
  <si>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</si>
  <si>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</si>
  <si>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</si>
  <si>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</si>
  <si>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</si>
  <si>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</si>
  <si>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</si>
  <si>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 xml:space="preserve">Отдельно стоящее нежилое здание гаража школы 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</si>
  <si>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</si>
  <si>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</si>
  <si>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</si>
  <si>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</si>
  <si>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</si>
  <si>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</si>
  <si>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</si>
  <si>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</si>
  <si>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</si>
  <si>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</si>
  <si>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</si>
  <si>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</si>
  <si>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</si>
  <si>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</si>
  <si>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</si>
  <si>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</si>
  <si>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</si>
  <si>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</si>
  <si>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</si>
  <si>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</si>
  <si>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</si>
  <si>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</si>
  <si>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</si>
  <si>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</si>
  <si>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</si>
  <si>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</si>
  <si>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</si>
  <si>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</si>
  <si>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</si>
  <si>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</si>
  <si>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</si>
  <si>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</si>
  <si>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</si>
  <si>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</si>
  <si>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</si>
  <si>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</si>
  <si>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</si>
  <si>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</si>
  <si>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</si>
  <si>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</si>
  <si>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</si>
  <si>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</si>
  <si>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</si>
  <si>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</si>
  <si>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</si>
  <si>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</si>
  <si>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</si>
  <si>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</si>
  <si>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</si>
  <si>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</si>
  <si>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</si>
  <si>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</si>
  <si>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</si>
  <si>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</si>
  <si>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</si>
  <si>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</si>
  <si>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</si>
  <si>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</si>
  <si>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</si>
  <si>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</si>
  <si>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</si>
  <si>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</si>
  <si>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</si>
  <si>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</si>
  <si>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</si>
  <si>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</si>
  <si>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</si>
  <si>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</si>
  <si>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</si>
  <si>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</si>
  <si>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</si>
  <si>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</si>
  <si>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</si>
  <si>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</si>
  <si>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</si>
  <si>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</si>
  <si>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</si>
  <si>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</si>
  <si>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</si>
  <si>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</si>
  <si>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</si>
  <si>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</si>
  <si>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</si>
  <si>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</si>
  <si>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</si>
  <si>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</si>
  <si>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</si>
  <si>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</si>
  <si>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</si>
  <si>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</si>
  <si>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</si>
  <si>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</si>
  <si>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арендном пользовании ООО «Град»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</si>
  <si>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</si>
  <si>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</si>
  <si>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</si>
  <si>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</si>
  <si>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</si>
  <si>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</si>
  <si>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</si>
  <si>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</si>
  <si>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</si>
  <si>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</si>
  <si>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</si>
  <si>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</si>
  <si>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</si>
  <si>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</si>
  <si>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</si>
  <si>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42:34:0000000:167  (ранее:42:34:000000:0000:6932/1:1000/А)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</si>
  <si>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</si>
  <si>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</si>
  <si>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</si>
  <si>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</si>
  <si>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</si>
  <si>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</si>
  <si>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</si>
  <si>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</si>
  <si>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</si>
  <si>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</si>
  <si>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</si>
  <si>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</si>
  <si>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</si>
  <si>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</si>
  <si>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</si>
  <si>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</si>
  <si>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</si>
  <si>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</si>
  <si>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</si>
  <si>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</si>
  <si>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</si>
  <si>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</si>
  <si>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</si>
  <si>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</si>
  <si>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</si>
  <si>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</si>
  <si>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</si>
  <si>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</si>
  <si>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</si>
  <si>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</si>
  <si>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</si>
  <si>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</si>
  <si>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</si>
  <si>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</si>
  <si>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</si>
  <si>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</si>
  <si>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</si>
  <si>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</si>
  <si>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</si>
  <si>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</si>
  <si>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</si>
  <si>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</si>
  <si>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</si>
  <si>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</si>
  <si>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</si>
  <si>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</si>
  <si>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</si>
  <si>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</si>
  <si>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</si>
  <si>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</si>
  <si>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</si>
  <si>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</si>
  <si>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</si>
  <si>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</si>
  <si>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</si>
  <si>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</si>
  <si>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</si>
  <si>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</si>
  <si>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</si>
  <si>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</si>
  <si>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</si>
  <si>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</si>
  <si>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</si>
  <si>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</si>
  <si>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</si>
  <si>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</si>
  <si>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</si>
  <si>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</si>
  <si>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</si>
  <si>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</si>
  <si>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</si>
  <si>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</si>
  <si>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</si>
  <si>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</si>
  <si>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</si>
  <si>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</si>
  <si>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</si>
  <si>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</si>
  <si>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</si>
  <si>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</si>
  <si>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</si>
  <si>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</si>
  <si>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</si>
  <si>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</si>
  <si>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</si>
  <si>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</si>
  <si>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</si>
  <si>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</si>
  <si>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</si>
  <si>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</si>
  <si>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</si>
  <si>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</si>
  <si>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</si>
  <si>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</si>
  <si>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</si>
  <si>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</si>
  <si>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</si>
  <si>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</si>
  <si>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</si>
  <si>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</si>
  <si>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</si>
  <si>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</si>
  <si>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</si>
  <si>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</si>
  <si>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</si>
  <si>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</si>
  <si>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</si>
  <si>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</si>
  <si>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</si>
  <si>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</si>
  <si>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</si>
  <si>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</si>
  <si>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</si>
  <si>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</si>
  <si>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</si>
  <si>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</si>
  <si>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</si>
  <si>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</si>
  <si>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</si>
  <si>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</si>
  <si>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</si>
  <si>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</si>
  <si>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</si>
  <si>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</si>
  <si>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</si>
  <si>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</si>
  <si>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</si>
  <si>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</si>
  <si>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</si>
  <si>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</si>
  <si>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</si>
  <si>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</si>
  <si>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</si>
  <si>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</si>
  <si>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</si>
  <si>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</si>
  <si>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</si>
  <si>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</si>
  <si>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</si>
  <si>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</si>
  <si>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</si>
  <si>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</si>
  <si>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</si>
  <si>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</si>
  <si>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</si>
  <si>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</si>
  <si>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</si>
  <si>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</si>
  <si>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</si>
  <si>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</si>
  <si>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</si>
  <si>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</si>
  <si>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</si>
  <si>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</si>
  <si>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</si>
  <si>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</si>
  <si>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</si>
  <si>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</si>
  <si>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</si>
  <si>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</si>
  <si>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</si>
  <si>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</si>
  <si>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</si>
  <si>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</si>
  <si>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</si>
  <si>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</si>
  <si>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</si>
  <si>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</si>
  <si>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</si>
  <si>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</si>
  <si>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</si>
  <si>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</si>
  <si>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</si>
  <si>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</si>
  <si>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</si>
  <si>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</si>
  <si>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</si>
  <si>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</si>
  <si>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</si>
  <si>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</si>
  <si>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</si>
  <si>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</si>
  <si>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</si>
  <si>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</si>
  <si>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</si>
  <si>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</si>
  <si>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</si>
  <si>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</si>
  <si>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</si>
  <si>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</si>
  <si>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</si>
  <si>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</si>
  <si>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</si>
  <si>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</si>
  <si>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</si>
  <si>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</si>
  <si>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</si>
  <si>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</si>
  <si>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</si>
  <si>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</si>
  <si>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</si>
  <si>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</si>
  <si>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</si>
  <si>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</si>
  <si>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</si>
  <si>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</si>
  <si>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</si>
  <si>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</si>
  <si>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</si>
  <si>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</si>
  <si>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</si>
  <si>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</si>
  <si>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</si>
  <si>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</si>
  <si>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</si>
  <si>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</si>
  <si>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</si>
  <si>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</si>
  <si>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</si>
  <si>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</si>
  <si>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</si>
  <si>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</si>
  <si>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</si>
  <si>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</si>
  <si>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</si>
  <si>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</si>
  <si>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</si>
  <si>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>водохранилище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</si>
  <si>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</si>
  <si>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</si>
  <si>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</si>
  <si>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</si>
  <si>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</si>
  <si>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</si>
  <si>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</si>
  <si>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</si>
  <si>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</si>
  <si>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</si>
  <si>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</si>
  <si>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</si>
  <si>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</si>
  <si>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</si>
  <si>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</si>
  <si>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</si>
  <si>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</si>
  <si>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</si>
  <si>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</si>
  <si>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</si>
  <si>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</si>
  <si>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</si>
  <si>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</si>
  <si>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</si>
  <si>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</si>
  <si>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</si>
  <si>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</si>
  <si>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</si>
  <si>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</si>
  <si>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</si>
  <si>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</si>
  <si>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</si>
  <si>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</si>
  <si>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</si>
  <si>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</si>
  <si>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</si>
  <si>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</si>
  <si>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</si>
  <si>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</si>
  <si>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</si>
  <si>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</si>
  <si>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</si>
  <si>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</si>
  <si>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</si>
  <si>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</si>
  <si>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</si>
  <si>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</si>
  <si>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</si>
  <si>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</si>
  <si>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</si>
  <si>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</si>
  <si>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</si>
  <si>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</si>
  <si>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</si>
  <si>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</si>
  <si>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</si>
  <si>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</si>
  <si>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</si>
  <si>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</si>
  <si>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</si>
  <si>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</si>
  <si>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</si>
  <si>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</si>
  <si>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</si>
  <si>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</si>
  <si>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</si>
  <si>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</si>
  <si>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</si>
  <si>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</si>
  <si>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</si>
  <si>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</si>
  <si>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</si>
  <si>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</si>
  <si>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</si>
  <si>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</si>
  <si>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</si>
  <si>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</si>
  <si>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</si>
  <si>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</si>
  <si>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</si>
  <si>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</si>
  <si>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</si>
  <si>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</si>
  <si>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</si>
  <si>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</si>
  <si>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</si>
  <si>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</si>
  <si>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</si>
  <si>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</si>
  <si>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</si>
  <si>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</si>
  <si>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</si>
  <si>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</si>
  <si>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</si>
  <si>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</si>
  <si>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</si>
  <si>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</si>
  <si>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</si>
  <si>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</si>
  <si>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</si>
  <si>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</si>
  <si>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</si>
  <si>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</si>
  <si>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</si>
  <si>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</si>
  <si>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</si>
  <si>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</si>
  <si>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</si>
  <si>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</si>
  <si>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</si>
  <si>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</si>
  <si>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</si>
  <si>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</si>
  <si>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</si>
  <si>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</si>
  <si>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</si>
  <si>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</si>
  <si>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</si>
  <si>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</si>
  <si>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</si>
  <si>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</si>
  <si>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</si>
  <si>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</si>
  <si>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</si>
  <si>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</si>
  <si>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</si>
  <si>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</si>
  <si>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</si>
  <si>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</si>
  <si>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</si>
  <si>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</si>
  <si>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</si>
  <si>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</si>
  <si>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</si>
  <si>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</si>
  <si>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</si>
  <si>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</si>
  <si>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</si>
  <si>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</si>
  <si>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</si>
  <si>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</si>
  <si>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</si>
  <si>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</si>
  <si>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</si>
  <si>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</si>
  <si>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</si>
  <si>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</si>
  <si>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</si>
  <si>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</si>
  <si>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42:34:0106002:1238           </t>
  </si>
  <si>
    <t xml:space="preserve">4 этаж  </t>
  </si>
  <si>
    <t xml:space="preserve">42:34:0106003:187 </t>
  </si>
  <si>
    <t xml:space="preserve">42:34:0106003:319   </t>
  </si>
  <si>
    <t xml:space="preserve">42:34:0106002:774          </t>
  </si>
  <si>
    <t xml:space="preserve">42:34:0106001:729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</si>
  <si>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</si>
  <si>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</si>
  <si>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</si>
  <si>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</si>
  <si>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</si>
  <si>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42:34:0101043:365</t>
  </si>
  <si>
    <t>жилой дом (1 кв.)</t>
  </si>
  <si>
    <t xml:space="preserve">42:34:0102028:182           </t>
  </si>
  <si>
    <t xml:space="preserve">42:34:0102063:42 </t>
  </si>
  <si>
    <t xml:space="preserve">42:34:0102063:263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</si>
  <si>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</si>
  <si>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</si>
  <si>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</si>
  <si>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</si>
  <si>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</si>
  <si>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</si>
  <si>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</si>
  <si>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</si>
  <si>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</si>
  <si>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</si>
  <si>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</si>
  <si>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</si>
  <si>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</si>
  <si>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</si>
  <si>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</si>
  <si>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</si>
  <si>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</si>
  <si>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</si>
  <si>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</si>
  <si>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</si>
  <si>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</si>
  <si>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</si>
  <si>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</si>
  <si>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</si>
  <si>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</si>
  <si>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</si>
  <si>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</si>
  <si>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</si>
  <si>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</si>
  <si>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</si>
  <si>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</si>
  <si>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</si>
  <si>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</si>
  <si>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</si>
  <si>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</si>
  <si>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</si>
  <si>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</si>
  <si>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</si>
  <si>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</si>
  <si>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</si>
  <si>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42:34:0102013:60</t>
  </si>
  <si>
    <t xml:space="preserve">42:12:0102002:1754 </t>
  </si>
  <si>
    <t>44-1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</si>
  <si>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</si>
  <si>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</si>
  <si>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</si>
  <si>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</si>
  <si>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</si>
  <si>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</si>
  <si>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</si>
  <si>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</si>
  <si>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</si>
  <si>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</si>
  <si>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</si>
  <si>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</si>
  <si>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</si>
  <si>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</si>
  <si>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</si>
  <si>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</si>
  <si>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</si>
  <si>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</si>
  <si>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</si>
  <si>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</si>
  <si>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</si>
  <si>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</si>
  <si>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42:12:0106003:808                             площадь 71,3 кв.м кв. 5                                                                </t>
  </si>
  <si>
    <t xml:space="preserve">42:12:0106002:3677 </t>
  </si>
  <si>
    <t xml:space="preserve">42:12:0105004:154 </t>
  </si>
  <si>
    <t xml:space="preserve">42:12:0114002:1018 </t>
  </si>
  <si>
    <t>42:12:0105002:2548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</si>
  <si>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</si>
  <si>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</si>
  <si>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</si>
  <si>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</si>
  <si>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</si>
  <si>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</si>
  <si>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</si>
  <si>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</si>
  <si>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</si>
  <si>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</si>
  <si>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</si>
  <si>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</si>
  <si>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</si>
  <si>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</si>
  <si>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</si>
  <si>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</si>
  <si>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</si>
  <si>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</si>
  <si>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</si>
  <si>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</si>
  <si>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</si>
  <si>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</si>
  <si>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</si>
  <si>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42:12:0106002:4194</t>
  </si>
  <si>
    <t xml:space="preserve">1 этаж          </t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</si>
  <si>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</si>
  <si>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</si>
  <si>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</si>
  <si>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</si>
  <si>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</si>
  <si>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</si>
  <si>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</si>
  <si>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</si>
  <si>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</si>
  <si>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</si>
  <si>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</si>
  <si>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</si>
  <si>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</si>
  <si>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</si>
  <si>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</si>
  <si>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</si>
  <si>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</si>
  <si>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</si>
  <si>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</si>
  <si>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</si>
  <si>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</si>
  <si>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</si>
  <si>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</si>
  <si>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</si>
  <si>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</si>
  <si>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</si>
  <si>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</si>
  <si>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</si>
  <si>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42:12:0106002:4482</t>
  </si>
  <si>
    <t xml:space="preserve">  42:12:0106002:4439</t>
  </si>
  <si>
    <t xml:space="preserve">  42:12:0106002:4471</t>
  </si>
  <si>
    <t xml:space="preserve">  42:12:0106002:4443</t>
  </si>
  <si>
    <t>42:12:0102004:956</t>
  </si>
  <si>
    <t>42:12:0102004:958</t>
  </si>
  <si>
    <t>42:12:0102004:966</t>
  </si>
  <si>
    <t>42:12:0102004:970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</si>
  <si>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</si>
  <si>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</si>
  <si>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</si>
  <si>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</si>
  <si>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</si>
  <si>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</si>
  <si>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</si>
  <si>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</si>
  <si>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</si>
  <si>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</si>
  <si>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</si>
  <si>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</si>
  <si>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</si>
  <si>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</si>
  <si>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</si>
  <si>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</si>
  <si>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</si>
  <si>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</si>
  <si>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</si>
  <si>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</si>
  <si>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</si>
  <si>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</si>
  <si>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</si>
  <si>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</si>
  <si>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>Наименование  имущества</t>
  </si>
  <si>
    <t xml:space="preserve"> Кадастровый номер имущества</t>
  </si>
  <si>
    <t xml:space="preserve">                            Адрес (местоположение)  имущества</t>
  </si>
  <si>
    <t>42:34:0106003:518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</si>
  <si>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</si>
  <si>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</si>
  <si>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</si>
  <si>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</si>
  <si>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</si>
  <si>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</si>
  <si>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</si>
  <si>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</si>
  <si>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</si>
  <si>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</si>
  <si>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</si>
  <si>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</si>
  <si>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</si>
  <si>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</si>
  <si>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</si>
  <si>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</si>
  <si>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</si>
  <si>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</si>
  <si>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</si>
  <si>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</si>
  <si>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</si>
  <si>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</si>
  <si>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</si>
  <si>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</si>
  <si>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</si>
  <si>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</si>
  <si>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</si>
  <si>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</si>
  <si>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</si>
  <si>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</si>
  <si>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</si>
  <si>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</si>
  <si>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</si>
  <si>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</si>
  <si>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</si>
  <si>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</si>
  <si>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</si>
  <si>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</si>
  <si>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</si>
  <si>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</si>
  <si>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</si>
  <si>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</si>
  <si>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</si>
  <si>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</si>
  <si>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</si>
  <si>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</si>
  <si>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</si>
  <si>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</si>
  <si>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</si>
  <si>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</si>
  <si>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</si>
  <si>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</si>
  <si>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</si>
  <si>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</si>
  <si>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</si>
  <si>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</si>
  <si>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</si>
  <si>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</si>
  <si>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</si>
  <si>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</si>
  <si>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</si>
  <si>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</si>
  <si>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</si>
  <si>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</si>
  <si>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</si>
  <si>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</si>
  <si>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</si>
  <si>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</si>
  <si>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</si>
  <si>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</si>
  <si>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</si>
  <si>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</si>
  <si>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</si>
  <si>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</si>
  <si>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</si>
  <si>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</si>
  <si>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</si>
  <si>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</si>
  <si>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</si>
  <si>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</si>
  <si>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</si>
  <si>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</si>
  <si>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</si>
  <si>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</si>
  <si>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</si>
  <si>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</si>
  <si>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</si>
  <si>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</si>
  <si>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</si>
  <si>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</si>
  <si>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</si>
  <si>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</si>
  <si>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</si>
  <si>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</si>
  <si>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</si>
  <si>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</si>
  <si>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</si>
  <si>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</si>
  <si>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</si>
  <si>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</si>
  <si>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</si>
  <si>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</si>
  <si>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</si>
  <si>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</si>
  <si>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</si>
  <si>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</si>
  <si>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</si>
  <si>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</si>
  <si>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</si>
  <si>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</si>
  <si>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</si>
  <si>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</si>
  <si>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</si>
  <si>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</si>
  <si>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</si>
  <si>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</si>
  <si>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</si>
  <si>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</si>
  <si>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</si>
  <si>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просвещения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</si>
  <si>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</si>
  <si>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</si>
  <si>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</si>
  <si>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</si>
  <si>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</si>
  <si>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</si>
  <si>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</si>
  <si>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</si>
  <si>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</si>
  <si>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</si>
  <si>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</si>
  <si>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</si>
  <si>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</si>
  <si>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</si>
  <si>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В аренде ООО "ЮКЭК"</t>
  </si>
  <si>
    <t xml:space="preserve">№ 42:34:0114008:196-42/012/2018-2  от 19.01.2018  (Аренда) 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</si>
  <si>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</si>
  <si>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</si>
  <si>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Кемеровская область, Таштагольский район  (пгт.Каз)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</si>
  <si>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</si>
  <si>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</si>
  <si>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</si>
  <si>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</si>
  <si>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</si>
  <si>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</si>
  <si>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</si>
  <si>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</si>
  <si>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</si>
  <si>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</si>
  <si>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</si>
  <si>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</si>
  <si>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</si>
  <si>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</si>
  <si>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</si>
  <si>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</si>
  <si>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 xml:space="preserve">Кемеровская область, Таштагольский район, пгт. Шерегеш, промплощадка, стр. 17/1 </t>
  </si>
  <si>
    <t>42:12:0102001:1608</t>
  </si>
  <si>
    <t xml:space="preserve">№ 42-42/012-42/212/006/2016-63/2  от 24.02.2016  (Аренда) </t>
  </si>
  <si>
    <t>1.4.166</t>
  </si>
  <si>
    <t>Земельный участок, разрешенное использование: Под жилую застройку Среднеэтажную</t>
  </si>
  <si>
    <t xml:space="preserve">42:34:0101044:82 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</si>
  <si>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</si>
  <si>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</si>
  <si>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</si>
  <si>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</si>
  <si>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</si>
  <si>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</si>
  <si>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</si>
  <si>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</si>
  <si>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Кемеровская область, Таштагольский район, г. Таштагол, ул. 8 Марта, д.5</t>
  </si>
  <si>
    <t>42:34:0106001:21</t>
  </si>
  <si>
    <t>МБДОУ детский сад № 14 «Аленушка»</t>
  </si>
  <si>
    <t xml:space="preserve">№ 42:34:0106001:21-42/012/2018-1  от 14.03.2018  (Постоянное (бессрочное) пользование) 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</si>
  <si>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</si>
  <si>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</si>
  <si>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</si>
  <si>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</si>
  <si>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1.1.9.24</t>
  </si>
  <si>
    <t>42:34:0106003:87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</si>
  <si>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</si>
  <si>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</si>
  <si>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</si>
  <si>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</si>
  <si>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</si>
  <si>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</si>
  <si>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</si>
  <si>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</si>
  <si>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</si>
  <si>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</si>
  <si>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</si>
  <si>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</si>
  <si>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</si>
  <si>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</si>
  <si>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</si>
  <si>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</si>
  <si>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</si>
  <si>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</si>
  <si>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</si>
  <si>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</si>
  <si>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</si>
  <si>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</si>
  <si>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</si>
  <si>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</si>
  <si>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</si>
  <si>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</si>
  <si>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</si>
  <si>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</si>
  <si>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</si>
  <si>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</si>
  <si>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</si>
  <si>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</si>
  <si>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</si>
  <si>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</si>
  <si>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</si>
  <si>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</si>
  <si>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</si>
  <si>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</si>
  <si>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</si>
  <si>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</si>
  <si>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</si>
  <si>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</si>
  <si>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</si>
  <si>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</si>
  <si>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</si>
  <si>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</si>
  <si>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</si>
  <si>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</si>
  <si>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</si>
  <si>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</si>
  <si>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</si>
  <si>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</si>
  <si>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</si>
  <si>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</si>
  <si>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</si>
  <si>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</si>
  <si>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</si>
  <si>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</si>
  <si>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</si>
  <si>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</si>
  <si>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42:12:0103001:245</t>
  </si>
  <si>
    <t>42:12:0103001:246</t>
  </si>
  <si>
    <t>42:12:0103001:247</t>
  </si>
  <si>
    <t>42:12:0103001:248</t>
  </si>
  <si>
    <t xml:space="preserve">  42:12:0114002:1999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</si>
  <si>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</si>
  <si>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</si>
  <si>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</si>
  <si>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</si>
  <si>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</si>
  <si>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</si>
  <si>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</si>
  <si>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</si>
  <si>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</si>
  <si>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</si>
  <si>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</si>
  <si>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</si>
  <si>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</si>
  <si>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</si>
  <si>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</si>
  <si>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</si>
  <si>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</si>
  <si>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</si>
  <si>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</si>
  <si>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</si>
  <si>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</si>
  <si>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</si>
  <si>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</si>
  <si>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</si>
  <si>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</si>
  <si>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</si>
  <si>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</si>
  <si>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</si>
  <si>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</si>
  <si>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</si>
  <si>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</si>
  <si>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</si>
  <si>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</si>
  <si>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</si>
  <si>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</si>
  <si>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</si>
  <si>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</si>
  <si>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</si>
  <si>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</si>
  <si>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</si>
  <si>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</si>
  <si>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</si>
  <si>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</si>
  <si>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</si>
  <si>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</si>
  <si>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</si>
  <si>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</si>
  <si>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</si>
  <si>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</si>
  <si>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</si>
  <si>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</si>
  <si>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</si>
  <si>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</si>
  <si>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</si>
  <si>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</si>
  <si>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</si>
  <si>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</si>
  <si>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</si>
  <si>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</si>
  <si>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</si>
  <si>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</si>
  <si>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</si>
  <si>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</si>
  <si>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</si>
  <si>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1.4.26.1175</t>
  </si>
  <si>
    <t>Россия, Кемеровская область,  Таштагольский район, пгт. Шерегеш, ул. Рябиновая,65</t>
  </si>
  <si>
    <t>42:12:0102015:1188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</si>
  <si>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</si>
  <si>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</si>
  <si>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</si>
  <si>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</si>
  <si>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</si>
  <si>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</si>
  <si>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</si>
  <si>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</si>
  <si>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</si>
  <si>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</si>
  <si>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</si>
  <si>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</si>
  <si>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</si>
  <si>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</si>
  <si>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</si>
  <si>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</si>
  <si>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</si>
  <si>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</si>
  <si>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</si>
  <si>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</si>
  <si>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</si>
  <si>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</si>
  <si>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</si>
  <si>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</si>
  <si>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</si>
  <si>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</si>
  <si>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</si>
  <si>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</si>
  <si>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</si>
  <si>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</si>
  <si>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</si>
  <si>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</si>
  <si>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</si>
  <si>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</si>
  <si>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</si>
  <si>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</si>
  <si>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</si>
  <si>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</si>
  <si>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</si>
  <si>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</si>
  <si>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</si>
  <si>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</si>
  <si>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</si>
  <si>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</si>
  <si>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</si>
  <si>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</si>
  <si>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</si>
  <si>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</si>
  <si>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1.4.26.1192</t>
  </si>
  <si>
    <t>Россия, Кемеровская область,  Таштагольский район, пгт. Шерегеш, ул. Рябиновая,105</t>
  </si>
  <si>
    <t xml:space="preserve">  42:12:0102015:1530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</si>
  <si>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</si>
  <si>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</si>
  <si>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</si>
  <si>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</si>
  <si>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</si>
  <si>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</si>
  <si>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</si>
  <si>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</si>
  <si>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</si>
  <si>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</si>
  <si>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</si>
  <si>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</si>
  <si>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</si>
  <si>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</si>
  <si>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</si>
  <si>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</si>
  <si>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</si>
  <si>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</si>
  <si>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</si>
  <si>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</si>
  <si>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</si>
  <si>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</si>
  <si>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</si>
  <si>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</si>
  <si>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</si>
  <si>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</si>
  <si>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</si>
  <si>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</si>
  <si>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</si>
  <si>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</si>
  <si>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</si>
  <si>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</si>
  <si>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</si>
  <si>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</si>
  <si>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</si>
  <si>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</si>
  <si>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1.4.26.1205</t>
  </si>
  <si>
    <t>Россия, Кемеровская область,  Таштагольский район,  пгт. Шерегеш, ул. Хвойная,3</t>
  </si>
  <si>
    <t xml:space="preserve"> 42:12:0102015:864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</si>
  <si>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</si>
  <si>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</si>
  <si>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</si>
  <si>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</si>
  <si>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</si>
  <si>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</si>
  <si>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</si>
  <si>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</si>
  <si>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</si>
  <si>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</si>
  <si>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</si>
  <si>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</si>
  <si>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</si>
  <si>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</si>
  <si>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</si>
  <si>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</si>
  <si>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</si>
  <si>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</si>
  <si>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</si>
  <si>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</si>
  <si>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</si>
  <si>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</si>
  <si>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</si>
  <si>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</si>
  <si>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</si>
  <si>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</si>
  <si>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</si>
  <si>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</si>
  <si>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</si>
  <si>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</si>
  <si>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</si>
  <si>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</si>
  <si>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</si>
  <si>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</si>
  <si>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</si>
  <si>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</si>
  <si>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</si>
  <si>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</si>
  <si>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</si>
  <si>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</si>
  <si>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</si>
  <si>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</si>
  <si>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</si>
  <si>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</si>
  <si>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</si>
  <si>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</si>
  <si>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</si>
  <si>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</si>
  <si>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</si>
  <si>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</si>
  <si>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</si>
  <si>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</si>
  <si>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</si>
  <si>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</si>
  <si>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</si>
  <si>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</si>
  <si>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</si>
  <si>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</si>
  <si>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</si>
  <si>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</si>
  <si>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</si>
  <si>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 xml:space="preserve">№ 42:12:0102001:1767-42/007/2017-2  от 23.11.2017  (Аренда) </t>
  </si>
  <si>
    <t xml:space="preserve">№ 42:12:0102001:1771-42/007/2017-2  от 24.11.2017  (Аренда) </t>
  </si>
  <si>
    <t>1.4.122.1</t>
  </si>
  <si>
    <t xml:space="preserve">Кемеровская область, Таштагольский район, пгт. Шерегеш </t>
  </si>
  <si>
    <t>42:12:0102015:2640</t>
  </si>
  <si>
    <t>В  арендном пользовании  ИП Вязниковой А.П.</t>
  </si>
  <si>
    <t>В арендном пользовании Быстревской О.Ю. (договор аренды от 06.07.2018 г. №101)</t>
  </si>
  <si>
    <t>В арендном пользовании ИП Павлюченковой Е.Е.</t>
  </si>
  <si>
    <t>В арендном пользовании ИП Улагашевой В.Ю.</t>
  </si>
  <si>
    <t>1.3.73.3</t>
  </si>
  <si>
    <t>В безвозм. польз.  МБУК ЦКС Таштагольского муниципального района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</si>
  <si>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</si>
  <si>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</si>
  <si>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</si>
  <si>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</si>
  <si>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</si>
  <si>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</si>
  <si>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</si>
  <si>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</si>
  <si>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</si>
  <si>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>ПАО "Сбербанк"</t>
  </si>
  <si>
    <t>ПАО "Ростелеком"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</si>
  <si>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</si>
  <si>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</si>
  <si>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</si>
  <si>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</si>
  <si>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</si>
  <si>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</si>
  <si>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</si>
  <si>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</si>
  <si>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</si>
  <si>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</si>
  <si>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</si>
  <si>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Хоз. ведение МП"Темиртауское"</t>
  </si>
  <si>
    <t>3-х этажное, кирпичное (1-2-3 этажи)</t>
  </si>
  <si>
    <t>Свободное</t>
  </si>
  <si>
    <t>42:12:0104001:4100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</si>
  <si>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</si>
  <si>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</si>
  <si>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</si>
  <si>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</si>
  <si>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</si>
  <si>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</si>
  <si>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</si>
  <si>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</si>
  <si>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</si>
  <si>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</si>
  <si>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</si>
  <si>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</si>
  <si>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</si>
  <si>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</si>
  <si>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</si>
  <si>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</si>
  <si>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</si>
  <si>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</si>
  <si>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</si>
  <si>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</si>
  <si>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</si>
  <si>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</si>
  <si>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</si>
  <si>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</si>
  <si>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</si>
  <si>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</si>
  <si>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</si>
  <si>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</si>
  <si>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</si>
  <si>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</si>
  <si>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</si>
  <si>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</si>
  <si>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</si>
  <si>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</si>
  <si>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</si>
  <si>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</si>
  <si>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</si>
  <si>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 xml:space="preserve">В  аренде территориальному органу федеральной службы государственной статистики по Кемеровской области </t>
  </si>
  <si>
    <t>1.2.40.4.15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</si>
  <si>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</si>
  <si>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</si>
  <si>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</si>
  <si>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</si>
  <si>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</si>
  <si>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Договор безвозмезд. польз. от 07.05.2015 г. №2, распр. Админстр. Таштагол. муницип. района от 03.04.2013 №221-р, от 28.02.2013 г. №133-р</t>
  </si>
  <si>
    <t>Договор безвозмезд. польз. от 14.11.2013 г. №25, распр. Админстр. Таштагол. муницип. района от 14.11.2013 №159-р</t>
  </si>
  <si>
    <t>Договор безвмез. польз. от 14.11.2013 г. №24, распр. Админстр. Таштагол.муниц. района  от 14.11.2013 №167-р</t>
  </si>
  <si>
    <t>Распр. Админстр. Таштагол.муниц. района  от 27.11.2013 №200-р; договор безвмез. польз. от 27.04.2018 №8</t>
  </si>
  <si>
    <t xml:space="preserve">Распр. Админстр. Таштагол.муниц. района  от 11.02.2014 г.  №50-р; договор безвмез. польз. от 11.02.2014 г. №11 </t>
  </si>
  <si>
    <t xml:space="preserve">Распр. Админстр. Таштагол.муниц. района  от 25.04.2018 г.  №287-р; договор безвмез. польз. </t>
  </si>
  <si>
    <t xml:space="preserve">Распр. Админстр. Таштагол.муниц. района  от 20.12.2018 г.  №725-р; договор безвмез. польз. </t>
  </si>
  <si>
    <t>1.4.171</t>
  </si>
  <si>
    <t xml:space="preserve">Земельный участок, разрешенное использование: Другие организации и учреждения народного образования (Центр Образования №2)
</t>
  </si>
  <si>
    <t>Кемеровская область, Таштагольский район, пгт. Каз, ул. Ленина,3</t>
  </si>
  <si>
    <t>42:12:104001:737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</si>
  <si>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</si>
  <si>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</si>
  <si>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</si>
  <si>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</si>
  <si>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</si>
  <si>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</si>
  <si>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</si>
  <si>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</si>
  <si>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</si>
  <si>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</si>
  <si>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</si>
  <si>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</si>
  <si>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</si>
  <si>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</si>
  <si>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 xml:space="preserve">№ 42-42-12/007/2013-279  от 19.03.2013  (Постоянное (бессрочное) пользование) 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</si>
  <si>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</si>
  <si>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</si>
  <si>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</si>
  <si>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</si>
  <si>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</si>
  <si>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</si>
  <si>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 xml:space="preserve">№ 42-42-12/101/2013-049  от 28.03.2013  (Постоянное (бессрочное) пользование) 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</si>
  <si>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</si>
  <si>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</si>
  <si>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</si>
  <si>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 xml:space="preserve">  42:34:0112005:21</t>
  </si>
  <si>
    <t xml:space="preserve">№ 42:34:0112005:21-42/012/2018-1  от 26.03.2018  (Постоянное (бессрочное) пользование) </t>
  </si>
  <si>
    <t>1.4.178</t>
  </si>
  <si>
    <t xml:space="preserve">Кемеровская область, Таштагольский район, пгт.Темиртау, ул.Центральная,16а </t>
  </si>
  <si>
    <t xml:space="preserve">  42:12:0105002:73</t>
  </si>
  <si>
    <t xml:space="preserve">№ 42:12:0105002:73-42/012/2018-2  от 04.05.2018  (Постоянное (бессрочное) пользование)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</si>
  <si>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</si>
  <si>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</si>
  <si>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</si>
  <si>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</si>
  <si>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№ 42:12:0104001:62-42/012/2018-2  от 04.05.2018  (Постоянное (бессрочное) пользование)</t>
  </si>
  <si>
    <t>1.4.180</t>
  </si>
  <si>
    <t>42:12:0106002:57</t>
  </si>
  <si>
    <t xml:space="preserve">№ 42:12:0106002:57-42/012/2018-2  от 04.05.2018  (Постоянное (бессрочное) пользование) 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</si>
  <si>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</si>
  <si>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</si>
  <si>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</si>
  <si>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</si>
  <si>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 xml:space="preserve">№ 42:12:0114002:2118-42/012/2018-2  от 12.07.2018  (Постоянное (бессрочное) пользование) 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</si>
  <si>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</si>
  <si>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</si>
  <si>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</si>
  <si>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</si>
  <si>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 xml:space="preserve">№ 42:12:0102003:1305-42/012/2018-1  от 26.03.2018  (Постоянное (бессрочное) пользование) </t>
  </si>
  <si>
    <t>1.4.183</t>
  </si>
  <si>
    <t>42:12:0102006:1562</t>
  </si>
  <si>
    <t xml:space="preserve">№ 42:12:0102006:1562-42/012/2018-1  от 26.03.2018  (Постоянное (бессрочное) пользование) 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</si>
  <si>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</si>
  <si>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</si>
  <si>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</si>
  <si>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</si>
  <si>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</si>
  <si>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</si>
  <si>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</si>
  <si>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</si>
  <si>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</si>
  <si>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</si>
  <si>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</si>
  <si>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</si>
  <si>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</si>
  <si>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 xml:space="preserve">№ 42-42-12/001/2013-015  от 18.01.2013  (Постоянное (бессрочное) пользование) </t>
  </si>
  <si>
    <t>1.4.187</t>
  </si>
  <si>
    <t>1.4.188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</si>
  <si>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</si>
  <si>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</si>
  <si>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 xml:space="preserve">  42:12:0103004:5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</si>
  <si>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</si>
  <si>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</si>
  <si>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</si>
  <si>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</si>
  <si>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</si>
  <si>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</si>
  <si>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</si>
  <si>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</si>
  <si>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</si>
  <si>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</si>
  <si>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</si>
  <si>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</si>
  <si>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</si>
  <si>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</si>
  <si>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</si>
  <si>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</si>
  <si>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</si>
  <si>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</si>
  <si>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</si>
  <si>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</si>
  <si>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</si>
  <si>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</si>
  <si>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</si>
  <si>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</si>
  <si>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</si>
  <si>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</si>
  <si>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</si>
  <si>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</si>
  <si>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</si>
  <si>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Земельный участок, использование: под отдельно стоящее нежилое здание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</si>
  <si>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</si>
  <si>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</si>
  <si>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</si>
  <si>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</si>
  <si>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</si>
  <si>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</si>
  <si>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</si>
  <si>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</si>
  <si>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</si>
  <si>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</si>
  <si>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</si>
  <si>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</si>
  <si>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 xml:space="preserve">42:34:0106003:537  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</si>
  <si>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</si>
  <si>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</si>
  <si>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</si>
  <si>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</si>
  <si>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</si>
  <si>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</si>
  <si>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</si>
  <si>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</si>
  <si>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</si>
  <si>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</si>
  <si>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</si>
  <si>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1.1.791.27</t>
  </si>
  <si>
    <t>42:12:0102004:412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</si>
  <si>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</si>
  <si>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</si>
  <si>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</si>
  <si>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</si>
  <si>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</si>
  <si>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</si>
  <si>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</si>
  <si>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</si>
  <si>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</si>
  <si>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</si>
  <si>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</si>
  <si>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</si>
  <si>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1.2.115.3</t>
  </si>
  <si>
    <t>1.2.115.4</t>
  </si>
  <si>
    <t>1.2.115.5</t>
  </si>
  <si>
    <t>Кемеровская область, Таштагольское городское поселение, г.Таштагол, ул.Геологическая,62</t>
  </si>
  <si>
    <t>42:34:0104006:70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</si>
  <si>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</si>
  <si>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</si>
  <si>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</si>
  <si>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</si>
  <si>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</si>
  <si>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</si>
  <si>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</si>
  <si>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</si>
  <si>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</si>
  <si>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</si>
  <si>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</si>
  <si>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</si>
  <si>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</si>
  <si>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>Лесничество</t>
  </si>
  <si>
    <t xml:space="preserve">Здание котельной </t>
  </si>
  <si>
    <t>1.2.263</t>
  </si>
  <si>
    <t>42:12:0106003:1032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</si>
  <si>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</si>
  <si>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</si>
  <si>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</si>
  <si>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</si>
  <si>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</si>
  <si>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</si>
  <si>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</si>
  <si>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</si>
  <si>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</si>
  <si>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</si>
  <si>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</si>
  <si>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</si>
  <si>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</si>
  <si>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42:12:0105002:3055 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</si>
  <si>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</si>
  <si>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</si>
  <si>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</si>
  <si>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</si>
  <si>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</si>
  <si>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</si>
  <si>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</si>
  <si>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</si>
  <si>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</si>
  <si>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</si>
  <si>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</si>
  <si>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</si>
  <si>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</si>
  <si>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</si>
  <si>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</si>
  <si>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</si>
  <si>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</si>
  <si>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</si>
  <si>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</si>
  <si>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</si>
  <si>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</si>
  <si>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</si>
  <si>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</si>
  <si>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</si>
  <si>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</si>
  <si>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</si>
  <si>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</si>
  <si>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</si>
  <si>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</si>
  <si>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</si>
  <si>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</si>
  <si>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ИП Стеблянской О.В.</t>
  </si>
  <si>
    <t>В арендном пользовании Яковлева С.А.</t>
  </si>
  <si>
    <t>В арендном пользовании Стариковой Н.И.</t>
  </si>
  <si>
    <t>1.4.26.1226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</si>
  <si>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Строителей,59</t>
  </si>
  <si>
    <t xml:space="preserve"> 42:12:0102015:1874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</si>
  <si>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</si>
  <si>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</si>
  <si>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</si>
  <si>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</si>
  <si>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</si>
  <si>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</si>
  <si>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</si>
  <si>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</si>
  <si>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</si>
  <si>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</si>
  <si>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</si>
  <si>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</si>
  <si>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</si>
  <si>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</si>
  <si>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</si>
  <si>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</si>
  <si>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1 </t>
  </si>
  <si>
    <t>42:12:0104001:4147</t>
  </si>
  <si>
    <t>В аренде Ермаковой Ю.Р.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</si>
  <si>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</si>
  <si>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</si>
  <si>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</si>
  <si>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</si>
  <si>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</si>
  <si>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</si>
  <si>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</si>
  <si>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</si>
  <si>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</si>
  <si>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</si>
  <si>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</si>
  <si>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</si>
  <si>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</si>
  <si>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</si>
  <si>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</si>
  <si>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</si>
  <si>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</si>
  <si>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</si>
  <si>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</si>
  <si>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</si>
  <si>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</si>
  <si>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</si>
  <si>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</si>
  <si>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</si>
  <si>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</si>
  <si>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</si>
  <si>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</si>
  <si>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</si>
  <si>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</si>
  <si>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</si>
  <si>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</si>
  <si>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</si>
  <si>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</si>
  <si>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</si>
  <si>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</si>
  <si>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</si>
  <si>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</si>
  <si>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</si>
  <si>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</si>
  <si>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</si>
  <si>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</si>
  <si>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</si>
  <si>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</si>
  <si>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</si>
  <si>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</si>
  <si>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 xml:space="preserve">Российская Федерация, Кемеровская область, Таштагольский муниципальный район, Таштагольское городское поселение г. Таштагол, ул. Геологическая, 62 </t>
  </si>
  <si>
    <t>42:34:0104006:87</t>
  </si>
  <si>
    <t xml:space="preserve">№ 42-42-12/008/2013-108  от 12.04.2013  (Постоянное (бессрочное) пользование) 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</si>
  <si>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</si>
  <si>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</si>
  <si>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</si>
  <si>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</si>
  <si>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</si>
  <si>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</si>
  <si>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 xml:space="preserve">№ 42:34:0000000:453-42/012/2019-1  от 19.09.2019  (Постоянное (бессрочное) пользование) 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</si>
  <si>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</si>
  <si>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</si>
  <si>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</si>
  <si>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</si>
  <si>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</si>
  <si>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</si>
  <si>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</si>
  <si>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</si>
  <si>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</si>
  <si>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</si>
  <si>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</si>
  <si>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</si>
  <si>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</si>
  <si>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</si>
  <si>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42:120106002:4631</t>
  </si>
  <si>
    <t>1.4.196</t>
  </si>
  <si>
    <t>Российская Федерация, Кемеровская область, Таштагольский муниципальный район, пгт. Мундыбаш, ул. Школьная,7</t>
  </si>
  <si>
    <t>42:120106003:1284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</si>
  <si>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</si>
  <si>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</si>
  <si>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</si>
  <si>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</si>
  <si>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</si>
  <si>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</si>
  <si>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</si>
  <si>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</si>
  <si>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№72 от 03.08.2015 г. (на 30 дней);распр. Администр. Таштагол. муниц. района от 30.07.2015 г. №454-р</t>
  </si>
  <si>
    <t>Распр. Администр. Таштагол. муниц. района от 21.12.2016 г. №1792-р</t>
  </si>
  <si>
    <t>Договор №152 от 13.11.2018 г. (13.11.2018-11.11.2019)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</si>
  <si>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</si>
  <si>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</si>
  <si>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</si>
  <si>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</si>
  <si>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</si>
  <si>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</si>
  <si>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безвоз. польз. от 21.09.2016 г. №22</t>
  </si>
  <si>
    <t>Договор аренды от 21.07.2017 г.  №94 (21.07.2017-19.07.2018)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</si>
  <si>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</si>
  <si>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</si>
  <si>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</si>
  <si>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</si>
  <si>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>Договор аренды от 06.07.2018 г. №101 (06.07.2018-04.07.2019)</t>
  </si>
  <si>
    <t xml:space="preserve"> Договор безвозмездного пользования от 16.09.2013 г. №19; </t>
  </si>
  <si>
    <t>Договор аренды от 13.12.2018 г. №156 (13.12.2018-11.12.2019)</t>
  </si>
  <si>
    <t xml:space="preserve">Договор аренды от  31.12.2013 г. №156 (по 29.12.2018 г.); 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</si>
  <si>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</si>
  <si>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</si>
  <si>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</si>
  <si>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Договор безвозмезд. польз.  от 09.12.2013 г. №2</t>
  </si>
  <si>
    <t>В оперативном управлении ;№ 42-42-12/002/2010-231  от 16.02.2010  (Оперативное управление)</t>
  </si>
  <si>
    <t>Договор безвоз. польз. от 29.06.2018 №11</t>
  </si>
  <si>
    <t>Договор аренды от 14.12.2018 г №158 (14.12.2018-12.12.2019)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</si>
  <si>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</si>
  <si>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</si>
  <si>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</si>
  <si>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</si>
  <si>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</si>
  <si>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</si>
  <si>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</si>
  <si>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аренды от 04.03.2019 г. №26 (04.03.2019-02.03.2020)</t>
  </si>
  <si>
    <t>Договор субаренды</t>
  </si>
  <si>
    <t>Договор аренды от 09.06.2018 г. №92 (09.06.2018-07.06.2019)</t>
  </si>
  <si>
    <t>Договор безвозмездного пользования  от 13.11.2014 г. №20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</si>
  <si>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</si>
  <si>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</si>
  <si>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</si>
  <si>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</si>
  <si>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</si>
  <si>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>Договор хозяйственного ведения от 10.05.2011 г.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</si>
  <si>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</si>
  <si>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</si>
  <si>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</si>
  <si>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</si>
  <si>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аренды от 01.05.2018 г. №79 (01.05.2018- 30.05.2018) </t>
  </si>
  <si>
    <t>Договор аренды от 20.10.2018 г. №143 (20.10.2018-18.10.2019)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</si>
  <si>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</si>
  <si>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</si>
  <si>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</si>
  <si>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</si>
  <si>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</si>
  <si>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</si>
  <si>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</si>
  <si>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 xml:space="preserve">Договор безвозм. пользования площ. </t>
  </si>
  <si>
    <t>В безвозмездном пользовании ,  площадь173,4</t>
  </si>
  <si>
    <t>Договор аренды №83 от 01.01.2012 г. (по 30.12.2012 г.)</t>
  </si>
  <si>
    <t>Договор безвозмезд. польз. от 05.06.2014 г. №15</t>
  </si>
  <si>
    <t>Договор аренды от 20.10.2018 г. №139 (20.10.2018-18.10.2019)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</si>
  <si>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</si>
  <si>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</si>
  <si>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безвозмез. польз.  от 30.01.2017 г. №2</t>
  </si>
  <si>
    <t>Договор аренды от 22.09.2018 г. №124 (22.09.2018-20.09.2019)</t>
  </si>
  <si>
    <t>Договор аренды от 22.09.2018 г. №125 (22.09.2018-20.09.2019)</t>
  </si>
  <si>
    <t>Договор аренды от 22.09.2018 г. №126 (22.09.2018-20.09.2019)</t>
  </si>
  <si>
    <t>Расторжение договора безвозмезд. польз. от 09.12.2013 г. №2</t>
  </si>
  <si>
    <t>Договор безвоз. польз. №85 от 26.10.2015 г.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</si>
  <si>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</si>
  <si>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</si>
  <si>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</si>
  <si>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</si>
  <si>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</si>
  <si>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</si>
  <si>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</si>
  <si>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</si>
  <si>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</si>
  <si>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</si>
  <si>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</si>
  <si>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</si>
  <si>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</si>
  <si>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1.1.334.1</t>
  </si>
  <si>
    <t>42:12:0102007:160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</si>
  <si>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</si>
  <si>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</si>
  <si>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</si>
  <si>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</si>
  <si>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</si>
  <si>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</si>
  <si>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</si>
  <si>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</si>
  <si>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</si>
  <si>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</si>
  <si>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</si>
  <si>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1.1.751.14</t>
  </si>
  <si>
    <t>42:12:0106002:3854</t>
  </si>
  <si>
    <t>1.1.795.25</t>
  </si>
  <si>
    <t>42:12:0104001:1177</t>
  </si>
  <si>
    <t>1.1.753.12</t>
  </si>
  <si>
    <t>42:12:0106002:2985</t>
  </si>
  <si>
    <t>1.1.786.20</t>
  </si>
  <si>
    <t>42:34:0114009:42</t>
  </si>
  <si>
    <t>1.1.810.21</t>
  </si>
  <si>
    <t xml:space="preserve">42:34:0114012:99    </t>
  </si>
  <si>
    <t>1.1.817.21</t>
  </si>
  <si>
    <t>42:34:0102050:205</t>
  </si>
  <si>
    <t>1.1.817.22</t>
  </si>
  <si>
    <t>42:34:0102050:204</t>
  </si>
  <si>
    <t>1.1.817.23</t>
  </si>
  <si>
    <t>42:34:0102050:200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</si>
  <si>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</si>
  <si>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</si>
  <si>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</si>
  <si>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</si>
  <si>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</si>
  <si>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</si>
  <si>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</si>
  <si>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</si>
  <si>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</si>
  <si>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</si>
  <si>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</si>
  <si>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</si>
  <si>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1.1.833.24</t>
  </si>
  <si>
    <t>42:12:0106002:4267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</si>
  <si>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</si>
  <si>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</si>
  <si>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</si>
  <si>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</si>
  <si>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</si>
  <si>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</si>
  <si>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</si>
  <si>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</si>
  <si>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1.4.198</t>
  </si>
  <si>
    <t>Земельный участок, использование: Для индивидуальной жилой застройки</t>
  </si>
  <si>
    <t>Кемеровская область, Таштагольский р-н, пгт Шерегеш, ул Первомайская, д 3-1</t>
  </si>
  <si>
    <t>42:12:0102006:87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</si>
  <si>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</si>
  <si>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</si>
  <si>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</si>
  <si>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</si>
  <si>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</si>
  <si>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</si>
  <si>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</si>
  <si>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</si>
  <si>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</si>
  <si>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</si>
  <si>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</si>
  <si>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</si>
  <si>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</si>
  <si>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</si>
  <si>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</si>
  <si>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</si>
  <si>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</si>
  <si>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</si>
  <si>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</si>
  <si>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</si>
  <si>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1.1.7.41</t>
  </si>
  <si>
    <t xml:space="preserve">42:34:0106003:503 </t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</si>
  <si>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</si>
  <si>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</si>
  <si>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</si>
  <si>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</si>
  <si>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1.1.10.44</t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</si>
  <si>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</si>
  <si>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</si>
  <si>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</si>
  <si>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</si>
  <si>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</si>
  <si>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</si>
  <si>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</si>
  <si>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</si>
  <si>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</si>
  <si>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</si>
  <si>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</si>
  <si>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</si>
  <si>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</si>
  <si>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</si>
  <si>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</si>
  <si>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</si>
  <si>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</si>
  <si>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</si>
  <si>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</si>
  <si>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</si>
  <si>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</si>
  <si>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</si>
  <si>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</si>
  <si>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</si>
  <si>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</si>
  <si>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</si>
  <si>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</si>
  <si>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t>1.1.58.1</t>
  </si>
  <si>
    <t>42:34:0101043:232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</si>
  <si>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</si>
  <si>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</si>
  <si>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</si>
  <si>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</si>
  <si>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</si>
  <si>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</si>
  <si>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</si>
  <si>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</si>
  <si>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</si>
  <si>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</si>
  <si>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</si>
  <si>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</si>
  <si>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</si>
  <si>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</si>
  <si>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</si>
  <si>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</si>
  <si>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</si>
  <si>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</si>
  <si>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</si>
  <si>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</si>
  <si>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</si>
  <si>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</si>
  <si>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</si>
  <si>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</si>
  <si>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</si>
  <si>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</si>
  <si>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</si>
  <si>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</si>
  <si>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</si>
  <si>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</si>
  <si>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</si>
  <si>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</si>
  <si>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</si>
  <si>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</si>
  <si>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</si>
  <si>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</si>
  <si>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</si>
  <si>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</si>
  <si>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</si>
  <si>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</si>
  <si>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</si>
  <si>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</si>
  <si>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</si>
  <si>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</si>
  <si>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</si>
  <si>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</si>
  <si>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</si>
  <si>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</si>
  <si>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</si>
  <si>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</si>
  <si>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</si>
  <si>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</si>
  <si>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</si>
  <si>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</si>
  <si>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</si>
  <si>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</si>
  <si>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</si>
  <si>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</si>
  <si>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</si>
  <si>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</si>
  <si>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</si>
  <si>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</si>
  <si>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</si>
  <si>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</si>
  <si>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</si>
  <si>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</si>
  <si>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</si>
  <si>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</si>
  <si>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</si>
  <si>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</si>
  <si>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</si>
  <si>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</si>
  <si>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</si>
  <si>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</si>
  <si>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</si>
  <si>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</si>
  <si>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</si>
  <si>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</si>
  <si>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</si>
  <si>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</si>
  <si>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</si>
  <si>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</si>
  <si>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</si>
  <si>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</si>
  <si>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</si>
  <si>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</si>
  <si>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</si>
  <si>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</si>
  <si>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</si>
  <si>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</si>
  <si>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</si>
  <si>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</si>
  <si>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</si>
  <si>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</si>
  <si>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</si>
  <si>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</si>
  <si>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</si>
  <si>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</si>
  <si>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</si>
  <si>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</si>
  <si>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</si>
  <si>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</si>
  <si>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</si>
  <si>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</si>
  <si>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</si>
  <si>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</si>
  <si>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</si>
  <si>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</si>
  <si>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</si>
  <si>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</si>
  <si>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</si>
  <si>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</si>
  <si>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</si>
  <si>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</si>
  <si>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</si>
  <si>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</si>
  <si>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</si>
  <si>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</si>
  <si>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</si>
  <si>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</si>
  <si>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</si>
  <si>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</si>
  <si>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</si>
  <si>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</si>
  <si>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</si>
  <si>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</si>
  <si>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</si>
  <si>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</si>
  <si>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</si>
  <si>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</si>
  <si>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</si>
  <si>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</si>
  <si>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</si>
  <si>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</si>
  <si>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</si>
  <si>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</si>
  <si>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</si>
  <si>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</si>
  <si>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</si>
  <si>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</si>
  <si>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</si>
  <si>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</si>
  <si>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</si>
  <si>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</si>
  <si>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</si>
  <si>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</si>
  <si>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</si>
  <si>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</si>
  <si>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</si>
  <si>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</si>
  <si>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</si>
  <si>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</si>
  <si>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</si>
  <si>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</si>
  <si>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</si>
  <si>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</si>
  <si>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</si>
  <si>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</si>
  <si>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</si>
  <si>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</si>
  <si>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</si>
  <si>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</si>
  <si>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</si>
  <si>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</si>
  <si>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</si>
  <si>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</si>
  <si>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</si>
  <si>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</si>
  <si>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</si>
  <si>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</si>
  <si>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</si>
  <si>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</si>
  <si>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</si>
  <si>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</si>
  <si>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</si>
  <si>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</si>
  <si>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</si>
  <si>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</si>
  <si>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</si>
  <si>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</si>
  <si>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</si>
  <si>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</si>
  <si>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</si>
  <si>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</si>
  <si>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</si>
  <si>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</si>
  <si>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</si>
  <si>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</si>
  <si>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</si>
  <si>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</si>
  <si>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</si>
  <si>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</si>
  <si>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</si>
  <si>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</si>
  <si>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</si>
  <si>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</si>
  <si>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</si>
  <si>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</si>
  <si>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</si>
  <si>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</si>
  <si>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</si>
  <si>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</si>
  <si>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</si>
  <si>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</si>
  <si>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</si>
  <si>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</si>
  <si>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</si>
  <si>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</si>
  <si>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</si>
  <si>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</si>
  <si>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</si>
  <si>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</si>
  <si>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</si>
  <si>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</si>
  <si>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</si>
  <si>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</si>
  <si>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</si>
  <si>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</si>
  <si>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</si>
  <si>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</si>
  <si>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</si>
  <si>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</si>
  <si>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</si>
  <si>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</si>
  <si>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</si>
  <si>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</si>
  <si>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</si>
  <si>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</si>
  <si>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</si>
  <si>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</si>
  <si>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</si>
  <si>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</si>
  <si>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</si>
  <si>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</si>
  <si>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</si>
  <si>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</si>
  <si>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</si>
  <si>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</si>
  <si>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</si>
  <si>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</si>
  <si>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</si>
  <si>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</si>
  <si>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</si>
  <si>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</si>
  <si>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</si>
  <si>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</si>
  <si>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</si>
  <si>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</si>
  <si>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</si>
  <si>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</si>
  <si>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</si>
  <si>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</si>
  <si>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</si>
  <si>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</si>
  <si>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</si>
  <si>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</si>
  <si>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</si>
  <si>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</si>
  <si>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</si>
  <si>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</si>
  <si>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</si>
  <si>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</si>
  <si>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</si>
  <si>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</si>
  <si>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</si>
  <si>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</si>
  <si>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</si>
  <si>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</si>
  <si>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</si>
  <si>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</si>
  <si>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</si>
  <si>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</si>
  <si>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</si>
  <si>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</si>
  <si>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</si>
  <si>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</si>
  <si>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</si>
  <si>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</si>
  <si>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</si>
  <si>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</si>
  <si>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</si>
  <si>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</si>
  <si>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</si>
  <si>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</si>
  <si>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</si>
  <si>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</si>
  <si>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</si>
  <si>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</si>
  <si>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</si>
  <si>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</si>
  <si>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</si>
  <si>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</si>
  <si>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</si>
  <si>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</si>
  <si>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</si>
  <si>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</si>
  <si>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</si>
  <si>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</si>
  <si>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</si>
  <si>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</si>
  <si>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</si>
  <si>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</si>
  <si>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</si>
  <si>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</si>
  <si>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</si>
  <si>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</si>
  <si>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</si>
  <si>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</si>
  <si>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</si>
  <si>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</si>
  <si>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</si>
  <si>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</si>
  <si>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</si>
  <si>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</si>
  <si>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</si>
  <si>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</si>
  <si>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</si>
  <si>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</si>
  <si>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</si>
  <si>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</si>
  <si>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</si>
  <si>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</si>
  <si>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</si>
  <si>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</si>
  <si>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</si>
  <si>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</si>
  <si>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</si>
  <si>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</si>
  <si>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</si>
  <si>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</si>
  <si>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</si>
  <si>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</si>
  <si>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</si>
  <si>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</si>
  <si>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</si>
  <si>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</si>
  <si>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</si>
  <si>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</si>
  <si>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</si>
  <si>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</si>
  <si>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</si>
  <si>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</si>
  <si>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</si>
  <si>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</si>
  <si>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</si>
  <si>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</si>
  <si>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</si>
  <si>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</si>
  <si>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</si>
  <si>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</si>
  <si>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</si>
  <si>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</si>
  <si>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</si>
  <si>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</si>
  <si>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</si>
  <si>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</si>
  <si>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</si>
  <si>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</si>
  <si>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</si>
  <si>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</si>
  <si>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</si>
  <si>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</si>
  <si>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</si>
  <si>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</si>
  <si>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</si>
  <si>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</si>
  <si>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</si>
  <si>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</si>
  <si>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</si>
  <si>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</si>
  <si>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</si>
  <si>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</si>
  <si>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</si>
  <si>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</si>
  <si>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</si>
  <si>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</si>
  <si>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</si>
  <si>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</si>
  <si>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</si>
  <si>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</si>
  <si>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</si>
  <si>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</si>
  <si>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</si>
  <si>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</si>
  <si>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</si>
  <si>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</si>
  <si>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</si>
  <si>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</si>
  <si>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</si>
  <si>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</si>
  <si>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</si>
  <si>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</si>
  <si>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</si>
  <si>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</si>
  <si>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</si>
  <si>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</si>
  <si>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</si>
  <si>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</si>
  <si>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</si>
  <si>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</si>
  <si>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</si>
  <si>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</si>
  <si>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</si>
  <si>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</si>
  <si>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</si>
  <si>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 xml:space="preserve">1 этаж </t>
    </r>
    <r>
      <rPr>
        <sz val="8"/>
        <rFont val="Arial Cyr"/>
        <charset val="204"/>
      </rPr>
      <t>наниматель Тодыякова Д.О.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</si>
  <si>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</si>
  <si>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</si>
  <si>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</si>
  <si>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</si>
  <si>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</si>
  <si>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</si>
  <si>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</si>
  <si>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</si>
  <si>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</si>
  <si>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</si>
  <si>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</si>
  <si>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</si>
  <si>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</si>
  <si>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</si>
  <si>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</si>
  <si>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</si>
  <si>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</si>
  <si>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</si>
  <si>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42:12:000000:0000:1694/3:0040/А</t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</si>
  <si>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</si>
  <si>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</si>
  <si>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</si>
  <si>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</si>
  <si>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</si>
  <si>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</si>
  <si>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</si>
  <si>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</si>
  <si>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</si>
  <si>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</si>
  <si>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</si>
  <si>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</si>
  <si>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</si>
  <si>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</si>
  <si>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</si>
  <si>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</si>
  <si>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</si>
  <si>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</si>
  <si>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</si>
  <si>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</si>
  <si>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</si>
  <si>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</si>
  <si>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</si>
  <si>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</si>
  <si>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</si>
  <si>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</si>
  <si>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</si>
  <si>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 xml:space="preserve">42-42-12/014/2009-059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</si>
  <si>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</si>
  <si>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</si>
  <si>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</si>
  <si>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</si>
  <si>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</si>
  <si>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</si>
  <si>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</si>
  <si>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</si>
  <si>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</si>
  <si>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</si>
  <si>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</si>
  <si>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</si>
  <si>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</si>
  <si>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</si>
  <si>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</si>
  <si>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</si>
  <si>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</si>
  <si>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</si>
  <si>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</si>
  <si>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</si>
  <si>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</si>
  <si>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</si>
  <si>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</si>
  <si>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</si>
  <si>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</si>
  <si>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</si>
  <si>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</si>
  <si>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</si>
  <si>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</si>
  <si>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</si>
  <si>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</si>
  <si>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</si>
  <si>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</si>
  <si>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</si>
  <si>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</si>
  <si>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</si>
  <si>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</si>
  <si>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</si>
  <si>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</si>
  <si>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</si>
  <si>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</si>
  <si>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</si>
  <si>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</si>
  <si>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</si>
  <si>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</si>
  <si>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</si>
  <si>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</si>
  <si>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</si>
  <si>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</si>
  <si>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</si>
  <si>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</si>
  <si>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</si>
  <si>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</si>
  <si>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Земельный участок  для использования : Для индивидуального жилищного строительства</t>
  </si>
  <si>
    <t>1.4.26.1229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</si>
  <si>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 участок №10</t>
  </si>
  <si>
    <t>42:12:0102015:1944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</si>
  <si>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</si>
  <si>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</si>
  <si>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</si>
  <si>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</si>
  <si>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</si>
  <si>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</si>
  <si>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</si>
  <si>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</si>
  <si>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</si>
  <si>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>1.4.26.1235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</si>
  <si>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Лунная,8</t>
  </si>
  <si>
    <t>42:12:0102015:2049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</si>
  <si>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</si>
  <si>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</si>
  <si>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</si>
  <si>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</si>
  <si>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</si>
  <si>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</si>
  <si>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</si>
  <si>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</si>
  <si>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</si>
  <si>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</si>
  <si>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</si>
  <si>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</si>
  <si>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</si>
  <si>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</si>
  <si>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</si>
  <si>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</si>
  <si>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</si>
  <si>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</si>
  <si>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</si>
  <si>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</si>
  <si>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</si>
  <si>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</si>
  <si>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</si>
  <si>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</si>
  <si>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</si>
  <si>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</si>
  <si>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</si>
  <si>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</si>
  <si>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1.4.26.1245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</si>
  <si>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Шахтеров,з/у 56</t>
  </si>
  <si>
    <t>42:12:0102015:2064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</si>
  <si>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</si>
  <si>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</si>
  <si>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</si>
  <si>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1.4.26.1247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</si>
  <si>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30</t>
  </si>
  <si>
    <t>42:12:0102015:2063</t>
  </si>
  <si>
    <t>1.4.26.1248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</si>
  <si>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29</t>
  </si>
  <si>
    <t>42:12:0102015:2060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</si>
  <si>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</si>
  <si>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</si>
  <si>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</si>
  <si>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1.4.26.1250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</si>
  <si>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Шахтеров,53</t>
  </si>
  <si>
    <t>42:12:0102015:2052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</si>
  <si>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</si>
  <si>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</si>
  <si>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</si>
  <si>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</si>
  <si>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</si>
  <si>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</si>
  <si>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</si>
  <si>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</si>
  <si>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</si>
  <si>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</si>
  <si>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</si>
  <si>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</si>
  <si>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</si>
  <si>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</si>
  <si>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</si>
  <si>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1.4.26.1256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</si>
  <si>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Славянская,35</t>
  </si>
  <si>
    <t>42:12:0102015:1986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</si>
  <si>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</si>
  <si>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</si>
  <si>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</si>
  <si>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>1.4.26.1258</t>
  </si>
  <si>
    <t xml:space="preserve">Российская Федерация, Кемеровская область - Кузбасс, Таштагольский муниципальный район, Городское поселение Шерегешское, Шерегеш поселок городского типа, улица Березовая,4 </t>
  </si>
  <si>
    <t>42:12:0102015:1943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</si>
  <si>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</si>
  <si>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</si>
  <si>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</si>
  <si>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</si>
  <si>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</si>
  <si>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</si>
  <si>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1.4.26.1261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</si>
  <si>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Шахтеров,65</t>
  </si>
  <si>
    <t>42:12:0102015:2080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</si>
  <si>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</si>
  <si>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</si>
  <si>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</si>
  <si>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</si>
  <si>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</si>
  <si>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</si>
  <si>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</si>
  <si>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1.5.582</t>
  </si>
  <si>
    <t>Хоккейный корт</t>
  </si>
  <si>
    <t>Кемеровская область, г. Таштагол, ул. Поспелова,8</t>
  </si>
  <si>
    <t>1.1.855</t>
  </si>
  <si>
    <t>42:34:0101070:124</t>
  </si>
  <si>
    <t>1.3.216</t>
  </si>
  <si>
    <t>Кемеровская область, Таштагольский район,п. Калары, ул.Луначарского,48, помещение 1</t>
  </si>
  <si>
    <t>42:12:0108001:373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</si>
  <si>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 20, помещение 2 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</si>
  <si>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Поспелова,20, помещение 2 </t>
  </si>
  <si>
    <t xml:space="preserve">В безвозмездном пользованим ГАУ «УМФЦ по Кемеровской области» </t>
  </si>
  <si>
    <t>В аренде Кемеровского РФ АО "Россельхозбанк"</t>
  </si>
  <si>
    <t>В аренде Лазаревской Т.С. (на 30 календарных дней)</t>
  </si>
  <si>
    <t>1.2.115.7</t>
  </si>
  <si>
    <t>Встроенное нежилое помещение                                     ("Спортивная стрельба")</t>
  </si>
  <si>
    <t>1.2.115.8</t>
  </si>
  <si>
    <t>Встроенное нежилое помещение                                     ("Спортивный туризм")</t>
  </si>
  <si>
    <t>3-х этажное, кирпичное (1-2 этажи)</t>
  </si>
  <si>
    <t>Кемеровская область, Таштагольский район, пгт.Каз, ул.Зеленая,4а</t>
  </si>
  <si>
    <t xml:space="preserve">Кемеровская область, Таштагольский район, пгт.Каз </t>
  </si>
  <si>
    <t>1.3.13.2</t>
  </si>
  <si>
    <t>В аренде ООО "Таштагольская электрическая компания"</t>
  </si>
  <si>
    <t>В арендном пользовании ИП Кивелевой Н.А.</t>
  </si>
  <si>
    <t>Распр. КУМИ № 27-р от 14.02.2008г., договор № 05-02 от 14.02.2008г.;  распр. админст. Таштагол.муниц. района  от 06.02.2020 г. №232-р-расторжение договора</t>
  </si>
  <si>
    <t>1.3.62.1</t>
  </si>
  <si>
    <t xml:space="preserve">Распр. админстр. Таштагол.муниц. района  от 22.01.2020 №12-р; договор безвоз. польз. </t>
  </si>
  <si>
    <t>Кемеровская область, Таштагольский район, г. Таштагол, ул. Суворова,7</t>
  </si>
  <si>
    <t>1.3.73.4</t>
  </si>
  <si>
    <t>Встроенное нежилое помещение подвала</t>
  </si>
  <si>
    <t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</t>
  </si>
  <si>
    <t xml:space="preserve"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№468-р; распр. Админстр. Таштагол.муниц. района  от 14.04.2020 г. №113-р-прием 162,6 кв.м </t>
  </si>
  <si>
    <t>В оперативном управлении МАУ "Редакция газеты "Красная Шория"</t>
  </si>
  <si>
    <t>Распр. КУМИ  №403 от 05.09.2011 г.</t>
  </si>
  <si>
    <t>Распр. Админстр. Таштагол.муниц. района  от 27.11.2019 г. №468-р; договор безвозмездного пользования ;</t>
  </si>
  <si>
    <t xml:space="preserve">Распр. Админстр. Таштагол.муниц. района  от 27.11.2019 г. №468-р; договор безвозмездного пользования </t>
  </si>
  <si>
    <t>1.3.74.1</t>
  </si>
  <si>
    <t>В арендном пользовании ООО "Росток"</t>
  </si>
  <si>
    <t>В аренде ИП Костиной О.Ю.</t>
  </si>
  <si>
    <t>1.3.76.1</t>
  </si>
  <si>
    <t>В аренде ИП Остроухова А.В.</t>
  </si>
  <si>
    <t>В аренде ИП Беккер Н.А.</t>
  </si>
  <si>
    <t>В безвозмездном пользовании ГКУ "Центр занятости населения города Таштагола"</t>
  </si>
  <si>
    <t>Распр. Администр. Таштагол. муниц. района от 02.12.2019 г. №478-р; договор безвозмездного пользования</t>
  </si>
  <si>
    <t xml:space="preserve">В безвозмездном пользовании Отдела МВД России по Таштагольскому району </t>
  </si>
  <si>
    <t>Распр. Администр. Таштагол. муниц. района от 15.05.2020 г. №153-р;</t>
  </si>
  <si>
    <t>Распр. КУМИ № 27-р от 14.02.2008г., договор № 05-02 от 14.02.2008г.; ; распр. админст. Таштагол.муниц. района  от 06.02.2020 г. №232-р-расторжение договора</t>
  </si>
  <si>
    <t>1.5.205.1</t>
  </si>
  <si>
    <t>Сооружение: Канализационные сети от КНС ул.Калинина до канализационного колодца в районе дома №1 по ул.Ленина</t>
  </si>
  <si>
    <t>42:34:0000000:475</t>
  </si>
  <si>
    <t xml:space="preserve"> сталь, d=133 мм</t>
  </si>
  <si>
    <t>протяж. 990 м</t>
  </si>
  <si>
    <t xml:space="preserve">  ООО "Тепло"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</si>
  <si>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,43</t>
    </r>
    <r>
      <rPr>
        <sz val="11"/>
        <color theme="1"/>
        <rFont val="Calibri"/>
        <family val="2"/>
        <charset val="204"/>
        <scheme val="minor"/>
      </rPr>
      <t/>
    </r>
  </si>
  <si>
    <t>1.1.169.13</t>
  </si>
  <si>
    <t>1.1.169.14</t>
  </si>
  <si>
    <t>42:34:0101037:37</t>
  </si>
  <si>
    <t>42:34:0101037:74</t>
  </si>
  <si>
    <t>1.1.179.5</t>
  </si>
  <si>
    <t>1.1.179.6</t>
  </si>
  <si>
    <t>42:34:0101021:37</t>
  </si>
  <si>
    <t>42:34:0101021:40</t>
  </si>
  <si>
    <t>В аренде  ООО Частная охранная организация "Беркут"</t>
  </si>
  <si>
    <t>1.2.40.3.2.1</t>
  </si>
  <si>
    <t>1.2.40.3.2.2</t>
  </si>
  <si>
    <t>Кемеровская область, г.Таштагол, ул.Поспелова,20,помещение 218/1</t>
  </si>
  <si>
    <t>Кемеровская область, г.Таштагол, ул.Поспелова,20,помещение 218/2</t>
  </si>
  <si>
    <t>В аренде  ООО Частная охранная организация "Дружина"</t>
  </si>
  <si>
    <t>В аренде  ООО Частная охранная организация "Кузбасская Городская Безопасность"</t>
  </si>
  <si>
    <t>В арендном пользовании Акуловой А.Г.</t>
  </si>
  <si>
    <t>1.2.40.5.5</t>
  </si>
  <si>
    <t>В арендном пользовании  Зиновьевой С. В.</t>
  </si>
  <si>
    <t>1.2.175.1</t>
  </si>
  <si>
    <t>42:12:0110001:1805</t>
  </si>
  <si>
    <t>Почта</t>
  </si>
  <si>
    <t>42:12:0115001:815</t>
  </si>
  <si>
    <t>42:12:0115001:816</t>
  </si>
  <si>
    <t>Жилой дом (ранее Административное здание)</t>
  </si>
  <si>
    <t xml:space="preserve">Российская Федерация, Кемеровская область-Кузбасс, Таштагольский муниципальный  район, Усть-Кабырзинское сельское поселение, п. Чилису-Анзас, ул.Кедровая, дом 30
</t>
  </si>
  <si>
    <t>42:12:0113001:204</t>
  </si>
  <si>
    <t xml:space="preserve">  Из прочих материалов </t>
  </si>
  <si>
    <t>В арендном пользовании ООО "Чистый город"</t>
  </si>
  <si>
    <t>В безвоз. пользовании  МБУ  «Губернский центр горнолыжного спорта и сноуборда»</t>
  </si>
  <si>
    <t>В аренде Гасанова А.Б.О.</t>
  </si>
  <si>
    <t>1.3.62.2</t>
  </si>
  <si>
    <t>1.4.26.1264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</si>
  <si>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Шахтеров,33</t>
  </si>
  <si>
    <t>42:12:0102015:2096</t>
  </si>
  <si>
    <t>1.4.26.1265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</si>
  <si>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 участок 66</t>
  </si>
  <si>
    <t>42:12:0102015:2097</t>
  </si>
  <si>
    <t>1.4.26.1266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</si>
  <si>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Шахтеров,80</t>
  </si>
  <si>
    <t>42:12:0102015:2084</t>
  </si>
  <si>
    <t>1.4.26.1267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</si>
  <si>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161</t>
  </si>
  <si>
    <t>42:12:0102015:2095</t>
  </si>
  <si>
    <t>1.4.26.1268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</si>
  <si>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162</t>
  </si>
  <si>
    <t>42:12:0102015:2094</t>
  </si>
  <si>
    <t>1.4.26.1269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</si>
  <si>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163</t>
  </si>
  <si>
    <t>42:12:0102015:2093</t>
  </si>
  <si>
    <t>1.4.26.1270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</si>
  <si>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165</t>
  </si>
  <si>
    <t>42:12:0102015:2098</t>
  </si>
  <si>
    <t>1.4.200</t>
  </si>
  <si>
    <t>Земельный участок, использование: Под многоквартирный жилой дом</t>
  </si>
  <si>
    <t>Кемеровская область, г.Таштагол, ул.Коммунистическая,5</t>
  </si>
  <si>
    <t>42:34:0114014:106</t>
  </si>
  <si>
    <t>1.4.201</t>
  </si>
  <si>
    <t>Земельный участок, использование: Под жилую застройку Малоэтажную</t>
  </si>
  <si>
    <t>Кемеровская область,Таштагольский р-н, г.Таштагол, ул.Коммунистическая,9</t>
  </si>
  <si>
    <t>42:34:0114014:19</t>
  </si>
  <si>
    <t>1.4.202</t>
  </si>
  <si>
    <t>Земельный участок, использование: под многоквартирный жилой дом</t>
  </si>
  <si>
    <t>Кемеровская область, г.Таштагол, ул.Коммунистическая,21</t>
  </si>
  <si>
    <t>42:34:0114016:91</t>
  </si>
  <si>
    <t>1.4.203</t>
  </si>
  <si>
    <t>Земельный участок, использование: коммунальное обслуживание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</si>
  <si>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Садовая,51 </t>
  </si>
  <si>
    <t>42:34:0115012:75</t>
  </si>
  <si>
    <t>1.4.204</t>
  </si>
  <si>
    <t>Кемеровская область, г.Таштагол, ул.Коммунистическая,17</t>
  </si>
  <si>
    <t>42:34:0114016:89</t>
  </si>
  <si>
    <t>1.1.766.69</t>
  </si>
  <si>
    <t>42:34:0106002:1085</t>
  </si>
  <si>
    <t>1.4.26.1271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</si>
  <si>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89</t>
  </si>
  <si>
    <t>42:12:0102015:2221</t>
  </si>
  <si>
    <t>1.4.26.1272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</si>
  <si>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Шахтеров,103</t>
  </si>
  <si>
    <t>42:12:0102015:2238</t>
  </si>
  <si>
    <t>1.4.26.1273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</si>
  <si>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Шахтеров,104</t>
  </si>
  <si>
    <t>42:12:0102015:2239</t>
  </si>
  <si>
    <t>1.4.205</t>
  </si>
  <si>
    <t xml:space="preserve">42:12:0106002:978  </t>
  </si>
  <si>
    <t>Встроенные помещения в административном здании Управления</t>
  </si>
  <si>
    <t>42:12:0106002:4792</t>
  </si>
  <si>
    <t>Земельный участок, разрешенное использование: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</si>
  <si>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Российская Федерация, Кемеровская область - Кузбасс, Таштагольский Муниципальный район, Шерегешское городское поселение, поселок городского типа Шерегеш, улица Гагарина, земельный участок 2А </t>
  </si>
  <si>
    <t xml:space="preserve">Аренда  </t>
  </si>
  <si>
    <t xml:space="preserve">Аренда </t>
  </si>
  <si>
    <t>ООО "Водоканал"</t>
  </si>
  <si>
    <t>ООО "Тепло"</t>
  </si>
  <si>
    <t>1.4.26.1274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</si>
  <si>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167 </t>
  </si>
  <si>
    <t>42:12:0102015:2252</t>
  </si>
  <si>
    <t xml:space="preserve">Нежилое помещение, Пристроенное нежилое помещение склада </t>
  </si>
  <si>
    <t xml:space="preserve"> Российская Федерация, Кемеровская область - Кузбасс, Таштагольский Муниципальный район,Шерегешское городское поселение, поселок городского типа Шерегеш, улица Гагарина, здание 2А  
</t>
  </si>
  <si>
    <t>1.4.26.1275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</si>
  <si>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Шахтеров,97</t>
  </si>
  <si>
    <t>42:12:0102015:2228</t>
  </si>
  <si>
    <t>1.4.26.1276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</si>
  <si>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175</t>
  </si>
  <si>
    <t>42:12:0102015:2259</t>
  </si>
  <si>
    <t>1.4.26.1277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</si>
  <si>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177</t>
  </si>
  <si>
    <t xml:space="preserve">42:12:0102015:2257
</t>
  </si>
  <si>
    <t>1.4.26.1278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</si>
  <si>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178</t>
  </si>
  <si>
    <t>42:12:0102015:2254</t>
  </si>
  <si>
    <t>1.4.26.1279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</si>
  <si>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180</t>
  </si>
  <si>
    <t>42:12:0102015:2253</t>
  </si>
  <si>
    <t>1.4.26.1280</t>
  </si>
  <si>
    <t>42:12:0102015:2245</t>
  </si>
  <si>
    <t>1.4.26.1281</t>
  </si>
  <si>
    <t>42:12:0102015:2246</t>
  </si>
  <si>
    <t>1.4.26.1282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</si>
  <si>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Шахтеров,140 </t>
  </si>
  <si>
    <t>42:12:0102015:2249</t>
  </si>
  <si>
    <t>1.4.26.1283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</si>
  <si>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Ледовая,93</t>
  </si>
  <si>
    <t>42:12:0102015:2242</t>
  </si>
  <si>
    <t>1.4.26.1284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</si>
  <si>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Березовая, земельный участок 7 </t>
  </si>
  <si>
    <t xml:space="preserve">  42:12:0102015:2212</t>
  </si>
  <si>
    <t>1.4.26.1285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</si>
  <si>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90</t>
  </si>
  <si>
    <t>42:12:0102015:2261</t>
  </si>
  <si>
    <t>1.4.26.1286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</si>
  <si>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176</t>
  </si>
  <si>
    <t>42:12:0102015:2260</t>
  </si>
  <si>
    <t>1.4.26.1287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</si>
  <si>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169</t>
  </si>
  <si>
    <t>42:12:0102015:2262</t>
  </si>
  <si>
    <t>1.4.26.1288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</si>
  <si>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171</t>
  </si>
  <si>
    <t>42:12:0102015:2263</t>
  </si>
  <si>
    <t>1.4.26.1289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</si>
  <si>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173</t>
  </si>
  <si>
    <t>42:12:0102015:2264</t>
  </si>
  <si>
    <t>1.4.26.1290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</si>
  <si>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179. </t>
  </si>
  <si>
    <t>42:12:0102015:2269</t>
  </si>
  <si>
    <t>1.4.26.1291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</si>
  <si>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180 </t>
  </si>
  <si>
    <t>42:12:0102015:2268</t>
  </si>
  <si>
    <t>1.4.26.1292</t>
  </si>
  <si>
    <t>Земельный участок  для использования : для индивидуального жилищного строительства</t>
  </si>
  <si>
    <t>42:12:0102015:2272</t>
  </si>
  <si>
    <t>1.4.26.1293</t>
  </si>
  <si>
    <t>42:12:0102015:2274</t>
  </si>
  <si>
    <t>1.1.388.12</t>
  </si>
  <si>
    <t xml:space="preserve">42:34:0114009:157 </t>
  </si>
  <si>
    <t>1.4.26.1294</t>
  </si>
  <si>
    <t>42:12:0102015:2279</t>
  </si>
  <si>
    <t>1.4.26.1295</t>
  </si>
  <si>
    <t>42:12:0102015:2280</t>
  </si>
  <si>
    <t>1.1.814.25</t>
  </si>
  <si>
    <t xml:space="preserve">42:34:0114008:101 </t>
  </si>
  <si>
    <t>Здание (Нежилое здание, Здание)  (почта-99,9 кв.м; сбербанк-83,9 кв.м-в собственности)</t>
  </si>
  <si>
    <t xml:space="preserve">Кемеровская область - Кузбасс, Таштагольский район, пгт. Мундыбаш, ул. Ленина, д.22 </t>
  </si>
  <si>
    <t>3-х этажное, кирпичное  (с цокольным этажом)-цокол. этаж ( банкомат)</t>
  </si>
  <si>
    <t>/2911,0/</t>
  </si>
  <si>
    <t>/16007734,55/</t>
  </si>
  <si>
    <t>В аренде Шабалиной М.И.</t>
  </si>
  <si>
    <t xml:space="preserve">В аренде Абдулиной Е.А.  </t>
  </si>
  <si>
    <t>1.4.26.1296</t>
  </si>
  <si>
    <t>42:12:0102015:2270</t>
  </si>
  <si>
    <t>1.2.157.22</t>
  </si>
  <si>
    <t>Встроенное нежилое помещение (совместнос администрацией Мундыбашского городского поселения)</t>
  </si>
  <si>
    <t>В безвозмездном пользовании МАУ "Многофункциональный центр"</t>
  </si>
  <si>
    <t>В безвозмезд. польз.  МАУ "Многофункциональный центр"</t>
  </si>
  <si>
    <t>1.1.462.4</t>
  </si>
  <si>
    <t>42:12:0104005:365</t>
  </si>
  <si>
    <t>1.1.850.56</t>
  </si>
  <si>
    <t>1.1.850.57</t>
  </si>
  <si>
    <t>42:12:0106002:4466</t>
  </si>
  <si>
    <t>42:12:0106002:4467</t>
  </si>
  <si>
    <t xml:space="preserve"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116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</si>
  <si>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 земельный участок 118</t>
  </si>
  <si>
    <t>1.1.846.19</t>
  </si>
  <si>
    <t>42:12:0105002:3401</t>
  </si>
  <si>
    <t>1.1.825.27</t>
  </si>
  <si>
    <t>42:12:0104001:3623</t>
  </si>
  <si>
    <t>1.4.26.1297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</si>
  <si>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Хвойная, земельный участок 43 </t>
  </si>
  <si>
    <t>42:12:0102015:2287</t>
  </si>
  <si>
    <t>1.4.207</t>
  </si>
  <si>
    <t>Кемеровская область, г. Таштагол, ул. Ленина, д. 16</t>
  </si>
  <si>
    <t xml:space="preserve">  42:34:0101044:362</t>
  </si>
  <si>
    <t>1.4.208</t>
  </si>
  <si>
    <t xml:space="preserve">Кемеровская область, г. Таштагол, ул. Ленина, д. 20 </t>
  </si>
  <si>
    <t xml:space="preserve">  42:34:0101044:359</t>
  </si>
  <si>
    <t>1.4.209</t>
  </si>
  <si>
    <t xml:space="preserve">Кемеровская область, Таштагольский район, пгт.Темиртау, ул.Центральная,29  </t>
  </si>
  <si>
    <t>42:12:0105002:72</t>
  </si>
  <si>
    <t>Земельный участок, использование: Под кинотеатр "Горняк"</t>
  </si>
  <si>
    <t xml:space="preserve">МБУ ДО «Школа искусств №64» </t>
  </si>
  <si>
    <t xml:space="preserve">№ 42-42-12/010/2012-302  от 22.05.2012  (Постоянное (бессрочное) пользование) 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</si>
  <si>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119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</si>
  <si>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117</t>
  </si>
  <si>
    <t>1.4.26.1298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</si>
  <si>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18</t>
  </si>
  <si>
    <t>42:12:0102015:2299</t>
  </si>
  <si>
    <t>1.4.210</t>
  </si>
  <si>
    <t>Земельный участок, использование: Коммунальное обслуживание</t>
  </si>
  <si>
    <t>42:34:0114013:187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</si>
  <si>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Шахтеров, земельный участок №98</t>
  </si>
  <si>
    <t xml:space="preserve"> Российская Федерация, Кемеровская область-Кузбасс, Таштагольский муниципальный район,
Шерегешское городское поселение, пгт. Шерегеш, ул.Шахтеров, земельный участок №96</t>
  </si>
  <si>
    <t>1.4.26.1299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</si>
  <si>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ул.Рябиновая,99 </t>
  </si>
  <si>
    <t>42:12:0102015:2308</t>
  </si>
  <si>
    <t>1.4.26.1301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</si>
  <si>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Ледовая,200 </t>
  </si>
  <si>
    <t>42:12:0102015:2293</t>
  </si>
  <si>
    <t>1.4.26.1302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</si>
  <si>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56/1 </t>
  </si>
  <si>
    <t>42:12:0102015:2297</t>
  </si>
  <si>
    <t>1.1.856</t>
  </si>
  <si>
    <t>42:12:01020113:1223</t>
  </si>
  <si>
    <t>Земельный участок, использование: Религиозное использование,для размещения культовых зданий</t>
  </si>
  <si>
    <t>1.3.217</t>
  </si>
  <si>
    <t>Кемеровская область, Таштагольский район, пгт.Темиртау, ул.Центральная,24</t>
  </si>
  <si>
    <t>42:12:0105002:3694</t>
  </si>
  <si>
    <t>3-х этажное, кирпичное с цокольным этажом (цокольный этаж)</t>
  </si>
  <si>
    <t>1.1.179.8</t>
  </si>
  <si>
    <t>1.1.179.9</t>
  </si>
  <si>
    <t>1.1.179.10</t>
  </si>
  <si>
    <t>42:34:0101021:45</t>
  </si>
  <si>
    <t>42:34:0101021:41</t>
  </si>
  <si>
    <t>42:34:0101021:38</t>
  </si>
  <si>
    <t>42:34:0101021:47</t>
  </si>
  <si>
    <t>1.4.26.1303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</si>
  <si>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Шахтеров,113</t>
  </si>
  <si>
    <t>42:12:0102015:2306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</si>
  <si>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ул.Шахтеров, земельный участок 95</t>
  </si>
  <si>
    <t>1.4.26.1304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</si>
  <si>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217</t>
  </si>
  <si>
    <t>42:12:0102015:2327</t>
  </si>
  <si>
    <t>42:12:0104001:4353</t>
  </si>
  <si>
    <t>42:12:0106002:4261</t>
  </si>
  <si>
    <t>1.1.857</t>
  </si>
  <si>
    <t>1.1.857.1</t>
  </si>
  <si>
    <t>1.1.857.2</t>
  </si>
  <si>
    <t>42:12:0102006:1802</t>
  </si>
  <si>
    <t>42:12:0102006:1803</t>
  </si>
  <si>
    <t>1.4.211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</si>
  <si>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</t>
  </si>
  <si>
    <t xml:space="preserve">  42:34:0101044:517</t>
  </si>
  <si>
    <t>42:12:0106002:4804</t>
  </si>
  <si>
    <t>1.1.858</t>
  </si>
  <si>
    <t>25/4</t>
  </si>
  <si>
    <t>42:34:0000000:603</t>
  </si>
  <si>
    <t>Двухэтажное,ж/б блоки</t>
  </si>
  <si>
    <t>1.1.858.1</t>
  </si>
  <si>
    <t>42:34:0000000:608</t>
  </si>
  <si>
    <t>1.1.858.2</t>
  </si>
  <si>
    <t>42:34:0000000:609</t>
  </si>
  <si>
    <t>1.1.858.3</t>
  </si>
  <si>
    <t>42:34:0000000:610</t>
  </si>
  <si>
    <t>1.1.858.4</t>
  </si>
  <si>
    <t>42:34:0000000:611</t>
  </si>
  <si>
    <t>1.1.858.5</t>
  </si>
  <si>
    <t>42:34:0000000:613</t>
  </si>
  <si>
    <t>1.1.858.6</t>
  </si>
  <si>
    <t>42:34:0000000:614</t>
  </si>
  <si>
    <t>1.1.766.70</t>
  </si>
  <si>
    <t>42:34:0106002:1052  (ранее- 42:34:000000:0000:5828/1:0039/А)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</si>
  <si>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Рябиновая,123 </t>
  </si>
  <si>
    <t>42:12:0102015:2310</t>
  </si>
  <si>
    <t>1.4.26.1308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</si>
  <si>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Рябиновая,121</t>
  </si>
  <si>
    <t>42:12:0102015:2311</t>
  </si>
  <si>
    <t>1.4.26.1309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</si>
  <si>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ул.Ледовая,25 </t>
  </si>
  <si>
    <t>42:12:0102015:2298</t>
  </si>
  <si>
    <t xml:space="preserve">Российская Федерация, Кемеровская область - Кузбасс, Таштагольский муниципальный район, городское поселение Темиртауское, пгт. Темиртау, ул. Фрунзе, з/у 3 </t>
  </si>
  <si>
    <t>1.4.26.1307</t>
  </si>
  <si>
    <t>1.1.833.25</t>
  </si>
  <si>
    <t>1.1.833.26</t>
  </si>
  <si>
    <t>42:12:0106002:4259</t>
  </si>
  <si>
    <t>1.1.859</t>
  </si>
  <si>
    <t>25/1</t>
  </si>
  <si>
    <t>42:34:0114017:283</t>
  </si>
  <si>
    <t>1.1.859.1</t>
  </si>
  <si>
    <t>42:34:0114017:288</t>
  </si>
  <si>
    <t>1.1.859.2</t>
  </si>
  <si>
    <t>42:34:0114017:289</t>
  </si>
  <si>
    <t>1.1.859.3</t>
  </si>
  <si>
    <t>42:34:0114017:290</t>
  </si>
  <si>
    <t>1.1.859.4</t>
  </si>
  <si>
    <t>42:34:0114017:291</t>
  </si>
  <si>
    <t>1.1.859.5</t>
  </si>
  <si>
    <t>42:34:0114017:292</t>
  </si>
  <si>
    <t>1.1.859.6</t>
  </si>
  <si>
    <t>42:34:0114017:293</t>
  </si>
  <si>
    <t>1.1.859.7</t>
  </si>
  <si>
    <t>42:34:0114017:294</t>
  </si>
  <si>
    <t>1.1.859.8</t>
  </si>
  <si>
    <t>42:34:0114017:295</t>
  </si>
  <si>
    <t>1.1.859.9</t>
  </si>
  <si>
    <t>42:34:0114017:285</t>
  </si>
  <si>
    <t>1.1.860</t>
  </si>
  <si>
    <t>25/2</t>
  </si>
  <si>
    <t>42:34:0114017:257</t>
  </si>
  <si>
    <t>1.1.860.1</t>
  </si>
  <si>
    <t>42:34:0114017:262</t>
  </si>
  <si>
    <t>1.1.860.2</t>
  </si>
  <si>
    <t>42:34:0114017:263</t>
  </si>
  <si>
    <t>1.1.860.3</t>
  </si>
  <si>
    <t>42:34:0114017:264</t>
  </si>
  <si>
    <t>1.1.860.4</t>
  </si>
  <si>
    <t>42:34:0114017:265</t>
  </si>
  <si>
    <t>1.1.860.5</t>
  </si>
  <si>
    <t>42:34:0114017:266</t>
  </si>
  <si>
    <t>1.1.860.6</t>
  </si>
  <si>
    <t>42:34:0114017:267</t>
  </si>
  <si>
    <t>1.1.860.7</t>
  </si>
  <si>
    <t>42:34:0114017:268</t>
  </si>
  <si>
    <t>1.1.861</t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</si>
  <si>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,25/3</t>
    </r>
  </si>
  <si>
    <t>25/3</t>
  </si>
  <si>
    <t>42:34:0114017:270</t>
  </si>
  <si>
    <t>1.1.861.1</t>
  </si>
  <si>
    <t>42:34:0114017:275</t>
  </si>
  <si>
    <t>1.1.861.2</t>
  </si>
  <si>
    <t>42:34:0114017:276</t>
  </si>
  <si>
    <t>1.1.861.3</t>
  </si>
  <si>
    <t>42:34:0114017:277</t>
  </si>
  <si>
    <t>1.1.861.4</t>
  </si>
  <si>
    <t>42:34:0114017:278</t>
  </si>
  <si>
    <t>1.1.861.5</t>
  </si>
  <si>
    <t>42:34:0114017:279</t>
  </si>
  <si>
    <t>1.1.861.6</t>
  </si>
  <si>
    <t>42:34:0114017:280</t>
  </si>
  <si>
    <t>1.1.861.7</t>
  </si>
  <si>
    <t>42:34:0114017:281</t>
  </si>
  <si>
    <t>1.1.861.8</t>
  </si>
  <si>
    <t>42:34:0114017:282</t>
  </si>
  <si>
    <t>1.1.861.9</t>
  </si>
  <si>
    <t>42:34:0114017:259</t>
  </si>
  <si>
    <t>Договор безвозмезд. Пользования</t>
  </si>
  <si>
    <t>1.1.858.7</t>
  </si>
  <si>
    <t>42:34:0000000:612</t>
  </si>
  <si>
    <t>1.1.858.8</t>
  </si>
  <si>
    <t>42:34:0000000:615</t>
  </si>
  <si>
    <t>1.1.860.8</t>
  </si>
  <si>
    <t>42:34:0114017:271</t>
  </si>
  <si>
    <r>
      <t>Кемеровская область, Таштагольский район, пос.Амзасс (Алгаин), ул.Станционная</t>
    </r>
    <r>
      <rPr>
        <sz val="1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</si>
  <si>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</si>
  <si>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,6</t>
    </r>
  </si>
  <si>
    <r>
      <t>Кемеровская область, Таштагольский район, пгт.Каз,ул.Горноспасательная</t>
    </r>
    <r>
      <rPr>
        <sz val="1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</si>
  <si>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</si>
  <si>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 ул. Кислородная</t>
    </r>
    <r>
      <rPr>
        <sz val="10"/>
        <rFont val="Arial Cyr"/>
        <charset val="204"/>
      </rPr>
      <t>,1в</t>
    </r>
  </si>
  <si>
    <t>1.3.193.6</t>
  </si>
  <si>
    <t>В аренде ООО «Кадастровый инженер»       (Кузьмин М.В.)</t>
  </si>
  <si>
    <t>В арендном пользовании Сумочаковой М.В.</t>
  </si>
  <si>
    <t>1.4.26.1310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</si>
  <si>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Шахтеров,земельный участок 94</t>
  </si>
  <si>
    <t>42:12:0102015:2366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</si>
  <si>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Школьная, земельный участок 40 </t>
  </si>
  <si>
    <t>400,8</t>
  </si>
  <si>
    <t>Частный нотариус  Фахретдинова Е.Р.</t>
  </si>
  <si>
    <t>Распр. Админстр. Таштагол.муниц. района  от 11.02.2014г. №44-р; государственный контракт №3 от 15.02.2020 г. (01.01.2020- 30.12.2020)</t>
  </si>
  <si>
    <t>Распр. админстр. Таштагол. муниц. района от 12.02.2019 г.№58-р; договор аренды №5/2019 от 31.03.2019; доп.согл. №1 к от 28.03.2019; распр КУМИ ТМР от 30.12.2019 №17; договор аренды №5 от 30.12.2019 (01.01.2020-30.01.2020)</t>
  </si>
  <si>
    <t>Распр. Админстр. Таштагол.муниц. района от 26.06.2015 г. №364-р; договор аренды №6 от 10.12.2019  (01.01.2020-30.12.2020)</t>
  </si>
  <si>
    <t>а</t>
  </si>
  <si>
    <t xml:space="preserve"> В аренде ИП Александрова Д.А.</t>
  </si>
  <si>
    <t>Распр. КУМИ Таштагол.муниц. района от 11.12.2019 г. №15 (на 30 календарных дней); договор аренды № 31 от 05.03.2020  (16.03.2020-14.03.2021); прекращение договора аренды от 15.04.2020 (акт приема-передачи)</t>
  </si>
  <si>
    <t>Распр. КУМИ Таштагол. муниц. района №13 от 14.02.2017 г. ; договор аренды №32 от 05.03.2020 г.  (11.02.2020-09.02.2021)</t>
  </si>
  <si>
    <t>В аренде Масловой И.И.</t>
  </si>
  <si>
    <t>Распр. КУМИ Таштагол.муниц. района №9 от 27.02.2020 г.; договор аренды №33 от 27.02.2020 (16.03.2020-14.04.2020)</t>
  </si>
  <si>
    <t>В арендном пользовании ИП Болдышевой Н.Г.</t>
  </si>
  <si>
    <t>Распр. Админстр. Таштагол.муниц. района  от 06.10.2015 г. №645-р; договор аренды №36 от 12.03.2020 г.  (06.05.2020-05.04.2021)</t>
  </si>
  <si>
    <t>Россия, Кемеровская область-Кузбасс, Таштагольский муниципальный район, Таштагольское городское поселение, г. Таштагол, ул.8 Марта, 2, помещение 1</t>
  </si>
  <si>
    <t>Распр. КУМИ Таштагол.муниц. района  от 12.02.2020 г. №3 (на 30 дней); договор аренды №23 от 12.02.2020 (12.02.2020-12.03.2020); протокол открытого аукциона №2 от 13.04.2020: договор аренды №48 от 13.04.2020 (24.04.2020-23.04.2025)</t>
  </si>
  <si>
    <t>Распр. КУМИ Таштагол.муниц. района  от 25.02.2020 г. №8 (на 30 дней); договор аренды №29 от 25.02.2020 (04.03.2020-02.04.2020); распр. Админстр. Таштагол.муниц. района  от 267.11.2020 г. №407-р; договор аренды №49 от 13.04.2020 (24.04.2020-23.04.2025)</t>
  </si>
  <si>
    <t>Распр. админстр. Таштагол. муниц. района от 08.02.2017 г. №80-р; договор  аренды №50 от 20.04.2020 (23.03.2020-22.02.2021)</t>
  </si>
  <si>
    <t>Распр. КУМИ от 12.05.2020 г. №17 (на 30 дней); договор аренды №56 от 12.05.2020 (12.05.2020-10.06.2020)</t>
  </si>
  <si>
    <t>Распр. КУМИ ТМР Таштагол.муниц. района  от 27.03.2020г. №13 (на 30 дней); договор аренды № 46 от 27.03.2020 (01.04.2020-30.04.2020); протокол открытого аукциона №3 от 21.05.2020: договор аренды №58 от 21.05.2020 (01.06.2020-31.05.2025)</t>
  </si>
  <si>
    <t>Распр. КУМИ Таштагол. муниц. района  от 13.02.2020 г.  №5 (на 30 календарных дней); договор аренды №25 от 13.02.2020 (20.02.2020-20.03.2020); протокол открытого аукциона №3 от 21.05.2020: договор аренды №59 от 21.05.2020 (01.06.2020-30.05.2021)</t>
  </si>
  <si>
    <t>Ст.11.1 "Основы законадательства РФ о нотариате" от 11.02.1993 №4462-1; договор аренды №2 от 31.12.2019 (01.01.2020-30.12.2020)</t>
  </si>
  <si>
    <t>Ст. 17.1. ФЗ РФ от 26.07.2006 №135-ФЗ; договор аренды №8  от 13.01.2020 г.  (01.01.2020-30.12.2020)</t>
  </si>
  <si>
    <t>Ст. 17.1. ФЗ РФ от 26.07.2006 №135-ФЗ; договор аренды №7  от 13.01.2020 г.  (01.01.2020-30.12.2020)</t>
  </si>
  <si>
    <t>Ст. 17.1. ФЗ РФ от 26.07.2006 №135-ФЗ;  договор аренды №9 от 09.01.2020 г.  (20.01.2020-18.01.2021)</t>
  </si>
  <si>
    <t>п.7 ст. 17.1. ФЗ РФ от 26.07.2006 №135-ФЗ; договор аренды №28 от 15.01.2020 г.  (23.01.2020-21.01.2021)</t>
  </si>
  <si>
    <t>В аренде ООО «Кузбасские телефонные сети»</t>
  </si>
  <si>
    <t>п.7 ст. 17.1. ФЗ РФ от 26.07.2006 №135-ФЗ; договор аренды №20/334-2020 от 31.01.2020 г.  (01.01.2020-31.12.2020)</t>
  </si>
  <si>
    <t xml:space="preserve">п.3 ст. 17.1. ФЗ РФ от 26.07.2006 №135-ФЗ; договор аренды № 26 от 19.02.2020 (01.01.2020-30.11.2020) </t>
  </si>
  <si>
    <t>п.7 ст. 17.1. ФЗ РФ от 26.07.2006 №135-ФЗ; договор аренды  №27  от 21.02.2020 г. (25.03.2020- 23.03.2021)</t>
  </si>
  <si>
    <t xml:space="preserve">ст. 17.1. ФЗ РФ от 26.07.2006 №135-ФЗ; договор аренды №28 от 28.02.2020 г.  (01.03.2020-28.02.2025); № 42:12:0106002:4495-42/012/2020-13  от 13.03.2020  (Аренда); № 42:12:0106002:4495-42/012/2020-15  от 08.04.2020  (Аренда) </t>
  </si>
  <si>
    <t>ст. 17.1. ФЗ РФ от 26.07.2006 №135-ФЗ; договор аренды №34 от 11.03.2020 г.  (17.03.2020-15.03.2021)</t>
  </si>
  <si>
    <t>ст. 17.1. ФЗ РФ от 26.07.2006 №135-ФЗ; договор аренды №35 от 10.03.2020 г. (11.03.2020-09.03.2021)</t>
  </si>
  <si>
    <t>п.7 ст. 17.1. ФЗ РФ от 26.07.2006 №135-ФЗ;договор аренды  №37 от 12.03.2020 г. (05.03.2020-04.02.2021)</t>
  </si>
  <si>
    <t>п.7 ст. 17.1. ФЗ РФ от 26.07.2006 №135-ФЗ; договор аренды №38 от 12.03.2020 г.  (29.02.2020-31.01.2021)</t>
  </si>
  <si>
    <t>ст. 17.1. ФЗ РФ от 26.07.2006 №135-ФЗ; договор аренды №40 от  18.03.2020 г.  (07.03.2020-05.03.2021)</t>
  </si>
  <si>
    <t>№ 42-42-12/001/2010-099 от 05.02.2010  (Аренда); ст. 17.1. ФЗ РФ от 26.07.2006 №135-ФЗ;договор аренды №44  от 27.03.2020 (28.03.2020-26.03.2021)</t>
  </si>
  <si>
    <t>ст. 17.1. ФЗ РФ от 26.07.2006 №135-ФЗ; договор аренды №47  от 07.04.2020 г.  (15.04.2020-13.04.2021)</t>
  </si>
  <si>
    <t>ст. 17.1. ФЗ РФ от 26.07.2006 №135-ФЗ;  договор аренды №52 от 21.04.2020 г. (11.04.2020-09.04.2021)</t>
  </si>
  <si>
    <t>ст. 17.1. ФЗ РФ от 26.07.2006 №135-ФЗ; договор аренды №53 от 24.04.2020 г.  (26.03.2020-24.03.2021)</t>
  </si>
  <si>
    <t>ст. 17.1. ФЗ РФ от 26.07.2006 №135-ФЗ; договор аренды №549 от 27.04.2020 г.  (17.04.2020-15.04.2021)</t>
  </si>
  <si>
    <t>ст. 17.1. ФЗ РФ от 26.07.2006 №135-ФЗ; договор аренды №55 от 23.04.2020  (11.04.2020-09.04.2021)</t>
  </si>
  <si>
    <t>ст. 17.1. ФЗ РФ от 26.07.2006 №135-ФЗ;  договор аренды №57 от 25.05.2020 г. (26.05.2020-24.05.2021)</t>
  </si>
  <si>
    <t>ст. 17.1. ФЗ РФ от 26.07.2006 №135-ФЗ; договор аренды №60 от 25.05.2020  (26.05.2020-24.05.2021)</t>
  </si>
  <si>
    <t>В арендном пользовании Серовой Е.А.</t>
  </si>
  <si>
    <t>Распр. КУМИ ТМР Таштагол.муниц. района  от 20.03.2020г. №12 ( на 30 дней); договор аренды №42 от 20.03.2020 (20.03.2020-18.04.2020); протокол открытого аукциона №4 от 01.06.2020: договор аренды №62 от 01.06.2020 (12.06.2020-10.06.2021)</t>
  </si>
  <si>
    <t>Распр. КУМИ Таштагол. муниц. района  от 13.02.2020 г.  №4 (на 30 календарных дней); договор аренды №24 от 12.02.2020;  распр. КУМИ Таштагол. муниц. района №15 от 23.04.2020 г.; договор аренды №51 от 23.04.2020 (01.05.2020-30.05.2020); протокол открытого аукциона №4 от 01.06.2020: договор аренды №63 от 01.06.2020 (12.06.2020-10.06.2021)</t>
  </si>
  <si>
    <t>№ 42-42-12/010/2009-209  от 03.11.2009  (Аренда); ст. 17.1. ФЗ РФ от 26.07.2006 №135-ФЗ; договор аренды №64  от 28.05.2020 г. (21.06.2020-19.05.2021)</t>
  </si>
  <si>
    <t>ст. 17.1. ФЗ РФ от 26.07.2006 №135-ФЗ; договор аренды №65 от 29.05.2020 (11.05.2020-09.05.2021)</t>
  </si>
  <si>
    <t>Распр.КУМИ ТМР от 30.12.2019 №16 (на 30 календарных дней);  договор аренды №4 от 30.12.2019 г. (01.01.2020-30.12.2020);  ст. 17.1. ФЗ РФ от 26.07.2006 №135-ФЗ; договор аренды №66 от 01.06.2020 г. (21.05.2020-19.05.2021)</t>
  </si>
  <si>
    <t>п.7 ст. 17.1. ФЗ РФ от 26.07.2006 №135-ФЗ; договор аренды №67 от 11.06.2020 г.  (19.06.2020-18.05.2021)</t>
  </si>
  <si>
    <t>п.7 ст. 17.1. ФЗ РФ от 26.07.2006 №135-ФЗ; договор аренды №68 от 11.06.2020 г.  (19.06.2020-18.05.2021)</t>
  </si>
  <si>
    <t>п.7 ст. 17.1. ФЗ РФ от 26.07.2006 №135-ФЗ; договор аренды №69 от 11.06.2020 г.  (19.06.2020-18.05.2021)</t>
  </si>
  <si>
    <t>ст. 17.1. ФЗ РФ от 26.07.2006 №135-ФЗ; договор аренды №72 от 09.06.2020 г.  ( 08.01.2020-06.01.2021)</t>
  </si>
  <si>
    <t>Распр. КУМИ Таштагол.муниц. района от 03.07.2020 г. №26 (на 30 календарных дней); договор аренды №76 от 03.07.2020 (05.08.2020-03.09.2020)</t>
  </si>
  <si>
    <t>ст. 17.1. ФЗ РФ от 26.07.2006 №135-ФЗ; договор аренды №77 от 30.06.2020 г.  (01.07.2020-29.06.2021)</t>
  </si>
  <si>
    <t>Распр. КУМИ ТМР от 01.07.2020 г. №25 (на 30 календарных дней); договор аренды №78 от 01.07.2020 (01.07.2020-30.07.2020)</t>
  </si>
  <si>
    <t>Контракт №59/2019 от 26.12.2019 (01.01.2020-30.11.2020); Контракт №79/2019  (01.12.2020-31.12.2020)</t>
  </si>
  <si>
    <t>1.2.157.23</t>
  </si>
  <si>
    <t>3-х этажное, кирпичное  (с цокольным этажом)-3 этаж, офис</t>
  </si>
  <si>
    <t>п.7 ст. 17.1. ФЗ РФ от 26.07.2006 №135-ФЗ; договор аренды №80/2020/4-6  от 20.03.2020 г. (01.09.2020-31.07.2021)</t>
  </si>
  <si>
    <t>ст. 17.1. ФЗ РФ от 26.07.2006 №135-ФЗ; договор аренды №812 от 31.07.2020 г.  (31.07.2020-29.07.2021)</t>
  </si>
  <si>
    <t>В аренде ООО "Кадастровый центр"</t>
  </si>
  <si>
    <t>ст. 17.1. ФЗ РФ от 26.07.2006 №135-ФЗ; договор аренды  №82 от 31.07.2020 г. ( 23.05.2020-21.05.2021)</t>
  </si>
  <si>
    <t>ст. 17.1. ФЗ РФ от 26.07.2006 №135-ФЗ; договор аренды №83 от 05.08.2020 г.  (30.05.2020-28.05.2021)</t>
  </si>
  <si>
    <t>ст. 17.1. ФЗ РФ от 26.07.2006 №135-ФЗ; договор аренды №84 от 10.08.2020 г. ( 31.07.2020-29.07.2021)</t>
  </si>
  <si>
    <t>ст. 17.1. ФЗ РФ от 26.07.2006 №135-ФЗ; договор аренды №86 от 10.08.2020 г. ( 31.07.2020-29.07.2021)</t>
  </si>
  <si>
    <t>ст. 17.1. ФЗ РФ от 26.07.2006 №135-ФЗ; договор аренды №85 от 10.08.2020 г. ( 31.07.2020-29.07.2021)</t>
  </si>
  <si>
    <t>В арендном пользовании Таштаголского государственного пассажирского автотранспортного предприятия Кузбасса</t>
  </si>
  <si>
    <t>ст. 17.1. ФЗ РФ от 26.07.2006 №135-ФЗ; договор аренды №88 от 17.08.2020 г. (17.09.2020-15.09.2021)</t>
  </si>
  <si>
    <t>п.7 ст. 17.1. ФЗ РФ от 26.07.2006 №135-ФЗ; договор аренды №90 от 24.08.2020 г.  (01.03.2020-31.01.2021)</t>
  </si>
  <si>
    <t>п.7 ст. 17.1. ФЗ РФ от 26.07.2006 №135-ФЗ; договор аренды №91 от 24.08.2020 г.  ( 01.03.2020-31.01.2021)</t>
  </si>
  <si>
    <t>п.7 ст. 17.1. ФЗ РФ от 26.07.2006 №135-ФЗ; договор аренды №92  от 24.08.2020 г. (01.07.2020-31.05.2021)</t>
  </si>
  <si>
    <t>ст. 17.1. ФЗ РФ от 26.07.2006 №135-ФЗ; договор аренды от №93 от 25.08.2020 (31.07.2020-29.07.2021)</t>
  </si>
  <si>
    <t>ст. 17.1. ФЗ РФ от 26.07.2006 №135-ФЗ;  договор аренды №94 от 25.08.2020 г. (13.06.2020-11.06.2021)</t>
  </si>
  <si>
    <t>ст. 17.1. ФЗ РФ от 26.07.2006 №135-ФЗ; договор аренды №95 от 27.08.2020 г.  (31.07.2020-29.07.2021)</t>
  </si>
  <si>
    <t>ст. 17.1. ФЗ РФ от 26.07.2006 №135-ФЗ; договор аренды №96 от 28.08.2020 г.  (04.07.2020-02.07.2021)</t>
  </si>
  <si>
    <t>Распр. КУМИ Таштагол.муниц. района №32 от 31.08.2020 г. ; договор аренды №97 от 31.08.2020 (01.09.2020-30.09.2020)</t>
  </si>
  <si>
    <t>Кемеровская область, г.Таштагол, ул.Поспелова,20,помещение 315/1</t>
  </si>
  <si>
    <t>1.2.40.4.15.1</t>
  </si>
  <si>
    <t>Кемеровская область, г.Таштагол, ул.Поспелова,20,помещение 315/2</t>
  </si>
  <si>
    <t>ст. 17.1. ФЗ РФ от 26.07.2006 №135-ФЗ;  договор аренды  №99 от 01.09.2020 г. (01.07.2020-29.06.2021)</t>
  </si>
  <si>
    <t>Распр. КУМИ Таштагол.муниц. района №19 от 27.05.2020 г.  (на 30 календарных дней); договор аренды №61 от 27.05.2020  (01.06.2020-30.06.2020); протокол открытого аукциона №5 от 04.09.2020: договор аренды №100 от 04.09.2020 (15.09.2020-13.09.2021)</t>
  </si>
  <si>
    <t xml:space="preserve">Распр. Админстр. Таштагол.муниц. района  от 11.07.2016 г. №1218-р; договор аренды от 22.05.2019 г. №71 (22.05.2019-20.05.2020); протокол открытого аукциона №5 от 04.09.2020: договор аренды №101 от 04.09.2020 (15.09.2020-13.09.2021) </t>
  </si>
  <si>
    <t xml:space="preserve">Распр. КУМИ Таштагол.муниц.района от 08.06.2020 г.  №20 (на 30 календарных дней);  договор аренды №71 от 08.06.2020 г.  (08.06.2020-07.07.2020); протокол открытого аукциона №5 от 04.09.2020: договор аренды №102 от 04.09.2020 (15.09.2020-13.09.2021) </t>
  </si>
  <si>
    <t xml:space="preserve">Распр. КУМИ Таштагол.муниц.района от 08.06.2020 г.  №21 (на 30 календарных дней);  договор аренды №70 от 08.06.2020 г.  (08.06.2020-07.07.2020); протокол открытого аукциона №5 от 04.09.2020: договор аренды №103 от 04.09.2020 (15.09.2020-13.09.2021) </t>
  </si>
  <si>
    <t xml:space="preserve">п.7 ст. 17.1. ФЗ РФ от 26.07.2006 №135-ФЗ; договор аренды №106 от 08.09.2020 г.  (05.08.2020-03.08.2021) </t>
  </si>
  <si>
    <t xml:space="preserve">№ 42-42-12/007/2010-187  от 29.06.2010  (Аренда); ст. 17.1. ФЗ РФ от 26.07.2006 №135-ФЗ; договор аренды  №107 от 08.09.2020 г. (21.05.2020-19.05.2021) </t>
  </si>
  <si>
    <t>ст. 17.1. ФЗ РФ от 26.07.2006 №135-ФЗ; договор аренды №108 от 05.10.2020 г.  (17.09.2020-15.09.2021)</t>
  </si>
  <si>
    <t>ст. 17.1. ФЗ РФ от 26.07.2006 №135-ФЗ; договор аренды№109 от 07.10.2020 г.  (26.09.2020-24.09.2021)</t>
  </si>
  <si>
    <t>ст. 17.1. ФЗ РФ от 26.07.2006 №135-ФЗ; договор аренды №110 от 08.10.2020 г.  (31.07.2020-29.07.2021)</t>
  </si>
  <si>
    <t>ст. 17.1. ФЗ РФ от 26.07.2006 №135-ФЗ; договор аренды  №111 от 12.10.2020 г. (18.10.2020-16.10.2021)</t>
  </si>
  <si>
    <t xml:space="preserve">Распр. КУМИ Таштагол.муниц. района  от 11.06.2020 г. № 22 (на 30 календарных дней); договор аренды №73 от 11.06.2020 (15.06.2020-14.07.2020); протокол открытого аукциона №6 от 08.10.2020: договор аренды №113 от 08.10.2020 (19.10.2020-17.10.2021) </t>
  </si>
  <si>
    <t xml:space="preserve">Распр. КУМИ Таштагол. муниц. района от 19.06.2020 г. №23 (на 30 квлендарных дней); договор аренды №75 от 19.06.2020 (22.06.2020-21.07.2020); протокол открытого аукциона №7 от 09.10.2020: договор аренды №115 от 09.10.2020 (20.10.2020-18.10.2021) </t>
  </si>
  <si>
    <t>В арендном пользовании Мусатовой М.В.</t>
  </si>
  <si>
    <t xml:space="preserve">Протокол открытого аукциона №7 от 09.10.2020: договор аренды №116 от 09.10.2020 (20.10.2020-18.10.2021) </t>
  </si>
  <si>
    <t xml:space="preserve">Распр. КУМИ ТМР  №27 от 06.08.2020 ; договор аренды №87 от 06.08.2020 г. (06.08.2020-04.09.2020); протокол открытого аукциона №7 от 09.10.2020: договор аренды №117 от 09.10.2020 (20.10.2020-18.10.2021) </t>
  </si>
  <si>
    <t>ст. 17.1. ФЗ РФ от 26.07.2006 №135-ФЗ; договор аренды №118 от 16.10.2020  (12.04.2020-10.04.2021)</t>
  </si>
  <si>
    <t>П.3 ст. 17.1. ФЗ РФ от 26.07.2006 №135-ФЗ; договор аренды №1 от 17.12.2019 г.  (01.01.2020-30.11.2020); п.3 ст. 17.1. ФЗ РФ от 26.07.2006 №135-ФЗ; договор аренды №124 от 17.11.2020 г.  (01.12.2020-31.12.2020)</t>
  </si>
  <si>
    <t>ст. 17.1. ФЗ РФ от 26.07.2006 №135-ФЗ; договор аренды №126 от 24.11.2020 г.  (25.10.2020-23.2021)</t>
  </si>
  <si>
    <t>ст. 17.1. ФЗ РФ от 26.07.2006 №135-ФЗ; договор аренды №127 от24.11.2020 г.  (21.11.2020-19.11.2021)</t>
  </si>
  <si>
    <t>Распр. КУМИ Таштагол.муниц. района  от 27.11.2020 г. №38 (на 30 дней); договор аренды №128 от 27.11.2020 (30.11.2020-29.12.2020)</t>
  </si>
  <si>
    <t>ст. 17.1. ФЗ РФ от 26.07.2006 №135-ФЗ; договор аренды №129 от 26.11.2020г.  (11.12.2020-09.12.2021)</t>
  </si>
  <si>
    <t>Распр. КУМИ ТМР  от 27.11.2020 г. №39 (на 30 календарных дней); договор аренды  №130 от 27.11.2020 (01.12.2020-30.12.2020)</t>
  </si>
  <si>
    <t>ст. 17.1. ФЗ РФ от 26.07.2006 №135-ФЗ; договор аренды №131 от 18.12.2020 г. (11.12.2020-09.12.2021)</t>
  </si>
  <si>
    <t>Встроенное нежилое помещение (магазин "Маленькая страна" )</t>
  </si>
  <si>
    <t>Распр.КУМИ ТМР от 06.10.2020 №36 (на 30 календарных дней); договор аренды №123 от 06.10.2020 (09.11.2020-08.12.2020) ; протокол открытого аукциона №8 от 28.12.2020: договор аренды №140 от 28.12.2020 (08.01.2021-06.01.2022)</t>
  </si>
  <si>
    <t>Распр.КУМИ ТМР от 05.10.2020 №35 (на 30 календарных дней); договор аренды №122 от 05.10.2020 (09.11.2020-08.12.2020); протокол открытого аукциона №8 от 28.12.2020: договор аренды №141 от 28.12.2020 (08.01.2021-06.01.2022)</t>
  </si>
  <si>
    <t>1.4.26.1311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</si>
  <si>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Рябиновая,143</t>
  </si>
  <si>
    <t>42:12:0102015:2344</t>
  </si>
  <si>
    <t>1.4.26.1312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</si>
  <si>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Рябиновая,144</t>
  </si>
  <si>
    <t>42:12:0102015:2341</t>
  </si>
  <si>
    <t>1.4.26.1313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</si>
  <si>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Рябиновая,145</t>
  </si>
  <si>
    <t>42:12:0102015:2343</t>
  </si>
  <si>
    <t>1.4.26.1314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</si>
  <si>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Рябиновая,151</t>
  </si>
  <si>
    <t>42:12:0102015:2372</t>
  </si>
  <si>
    <t>1.4.26.1315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</si>
  <si>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Рябиновая,152</t>
  </si>
  <si>
    <t>42:12:0102015:2373</t>
  </si>
  <si>
    <t>1.4.26.1316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</si>
  <si>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Рябиновая,153</t>
  </si>
  <si>
    <t>42:12:0102015:2368</t>
  </si>
  <si>
    <t>1.4.26.1317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</si>
  <si>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Ледовая,198</t>
  </si>
  <si>
    <t>42:12:0102015:2369</t>
  </si>
  <si>
    <t>1.4.26.1318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</si>
  <si>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Рябиновая,160 </t>
  </si>
  <si>
    <t>42:12:0102015:2365</t>
  </si>
  <si>
    <t>1.4.26.1319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</si>
  <si>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Ледовая,199 </t>
  </si>
  <si>
    <t xml:space="preserve">  42:12:0102015:2353</t>
  </si>
  <si>
    <t>1.4.26.1320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</si>
  <si>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Строителей, земельный участок 148 </t>
  </si>
  <si>
    <t>42:12:0102015:2362</t>
  </si>
  <si>
    <t>1.4.26.1321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</si>
  <si>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Шахтеров,119 </t>
  </si>
  <si>
    <t>42:12:0102015:2367</t>
  </si>
  <si>
    <t>1.4.26.1322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</si>
  <si>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Рябиновая,161 </t>
  </si>
  <si>
    <t>42:12:0102015:2360</t>
  </si>
  <si>
    <t>1.4.26.1323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</si>
  <si>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176</t>
  </si>
  <si>
    <t>42:12:0102015:2379</t>
  </si>
  <si>
    <t>1.4.26.1324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</si>
  <si>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ул.Славянская,169 </t>
  </si>
  <si>
    <t>42:12:0102015:2380</t>
  </si>
  <si>
    <t>1.4.26.1325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</si>
  <si>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148</t>
  </si>
  <si>
    <t>42:12:0102015:2378</t>
  </si>
  <si>
    <t>1.4.26.1326</t>
  </si>
  <si>
    <t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157</t>
  </si>
  <si>
    <t>42:12:0102015:2345</t>
  </si>
  <si>
    <t>1.4.26.1327</t>
  </si>
  <si>
    <t xml:space="preserve">Российская Федерация, Кемеровская область-Кузбасс, Таштагольский муниципальный район, Шерегешское городскоке поселение, пгт. Шерегеш ул. Славянская,140 </t>
  </si>
  <si>
    <t>42:12:0102015:2374</t>
  </si>
  <si>
    <t>МКОУ "Основная общеобразовательная школа №26"</t>
  </si>
  <si>
    <t xml:space="preserve">№ 42:12:0110001:1500-42/012/2019-1  от 25.04.2019  (Постоянное (бессрочное) пользование) </t>
  </si>
  <si>
    <t>МБОУ "Гимназия №2"</t>
  </si>
  <si>
    <t xml:space="preserve">№ 42:34:0102003:40-42/012/2019-1  от 29.08.2019  (Постоянное (бессрочное) пользование) </t>
  </si>
  <si>
    <t xml:space="preserve">№ 42:12:0106002:741-42/012/2018-1  от 09.11.2018  (Постоянное (бессрочное) пользование) </t>
  </si>
  <si>
    <t xml:space="preserve">№ 42:12:0104001:736-42/012/2019-1  от 10.07.2019  (Постоянное (бессрочное) пользование) </t>
  </si>
  <si>
    <t xml:space="preserve">№ 42:34:0107002:3-42/012/2019-2  от 02.04.2019  (Постоянное (бессрочное) пользование) </t>
  </si>
  <si>
    <t xml:space="preserve">№ 42:34:0106002:46-42/012/2019-2  от 07.03.2019  (Постоянное (бессрочное) пользование) </t>
  </si>
  <si>
    <t xml:space="preserve">№ 42:34:0106002:103-42/012/2020-2  от 27.02.2020  (Постоянное (бессрочное) пользование) </t>
  </si>
  <si>
    <t>№ 42:34:0101041:16-42/012/2020-2  от 12.05.2020  (Постоянное (бессрочное) пользование)</t>
  </si>
  <si>
    <t xml:space="preserve">(Постоянное (бессрочное) пользование) </t>
  </si>
  <si>
    <t xml:space="preserve">№ 42:12:0104001:734-42/012/2018-2  от 04.10.2018  (Постоянное (бессрочное) пользование) </t>
  </si>
  <si>
    <t xml:space="preserve">Кемеровская область, Таштагольский муниципальный район, Кызыл-Шорское сельское поселение, п. Чулеш, ул. Приисковая,1Б </t>
  </si>
  <si>
    <t xml:space="preserve">№ 42:12:0102002:2029-42/012/2018-2  от 04.10.2018  (Постоянное (бессрочное) пользование) </t>
  </si>
  <si>
    <t xml:space="preserve">№ 42:12:0104001:735-42/012/2018-2  от 02.10.2018  (Постоянное (бессрочное) пользование) </t>
  </si>
  <si>
    <t>В аренде ООО "Тепло"</t>
  </si>
  <si>
    <t xml:space="preserve">№ 42-42/012-42/012/100/2015-1235/1  от 31.07.2015  (Постоянное (бессрочное) пользование) </t>
  </si>
  <si>
    <t>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</t>
  </si>
  <si>
    <t xml:space="preserve">№ 42:34:0114009:176-42/012/2018-1  от 24.04.2018  (Постоянное (бессрочное) пользование) </t>
  </si>
  <si>
    <t xml:space="preserve"> Право зарегистрировано на объект с видом использования земель [Детские ясли-сады (Детсад “Светлячок”)]. </t>
  </si>
  <si>
    <t xml:space="preserve"> (Постоянное (бессрочное) пользование) </t>
  </si>
  <si>
    <t>ООО "ЮКЭК"</t>
  </si>
  <si>
    <t xml:space="preserve">№ 42:12:0102002:2052-42/012/2020-2  от 21.04.2020  (Постоянное (бессрочное) пользование) </t>
  </si>
  <si>
    <t>МКУ "Управление по физической культуре и спорту администрации Таштагольского муниципального района"</t>
  </si>
  <si>
    <t xml:space="preserve">Муниципальное бюджетное общеобразовательное учреждение «Средняя общеобразовательная  школа №11» 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</si>
  <si>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</si>
  <si>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  (Постоянное (бессрочное) пользование) </t>
  </si>
  <si>
    <t xml:space="preserve">Кемеровская область, Таштагольский район, г Таштагол, ул Поспелова,20 </t>
  </si>
  <si>
    <t>42:34:0106003:14</t>
  </si>
  <si>
    <t>1.5.583</t>
  </si>
  <si>
    <t>1.4.26.1328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</si>
  <si>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 д. 106</t>
  </si>
  <si>
    <t>42:12:0102015:2389</t>
  </si>
  <si>
    <t>1.4.26.1329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</si>
  <si>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Шахтеров,109</t>
  </si>
  <si>
    <t>42:12:0102015:2390</t>
  </si>
  <si>
    <t>1.4.26.1330</t>
  </si>
  <si>
    <t>42:12:0102015:2391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</si>
  <si>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Шахтеров,д.112</t>
  </si>
  <si>
    <t>42:34:0101020:68 - Дата снятия с учета:  18.06.2012</t>
  </si>
  <si>
    <t>42:34:0114009:179</t>
  </si>
  <si>
    <t>1.4.26.1331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</si>
  <si>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Ореховая,122</t>
  </si>
  <si>
    <t>42:12:0102015:2392</t>
  </si>
  <si>
    <t>1.4.26.1332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</si>
  <si>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Ореховая,121</t>
  </si>
  <si>
    <t>42:12:0102015:2393</t>
  </si>
  <si>
    <t>1.4.26.1333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</si>
  <si>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124</t>
  </si>
  <si>
    <t>42:12:0102015:2394</t>
  </si>
  <si>
    <t>1.4.26.1334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</si>
  <si>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Орехова, д. 125</t>
  </si>
  <si>
    <t>42:12:0102015:2396</t>
  </si>
  <si>
    <t>1.4.26.1335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</si>
  <si>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Ореховая,123</t>
  </si>
  <si>
    <t>42:12:0102015:2395</t>
  </si>
  <si>
    <t>1.4.26.1336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</si>
  <si>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Ореховая,127</t>
  </si>
  <si>
    <t>128890.32</t>
  </si>
  <si>
    <t>1.4.26.1337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</si>
  <si>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Рябиновая,97</t>
  </si>
  <si>
    <t>42:12:0102015:2399</t>
  </si>
  <si>
    <t>1.4.26.1.2</t>
  </si>
  <si>
    <t>Российская Федерация, Кемеровская область-Кузбасс, Таштагольский муниципальный район, Шерегешское городское поселение, пгт. Шерегеш, ПС-35/6 кВ "Снежная",пгт.Шерегеш</t>
  </si>
  <si>
    <t xml:space="preserve"> № 42:12:0102015:2346</t>
  </si>
  <si>
    <t>1.4.26.1338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</si>
  <si>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126</t>
  </si>
  <si>
    <t>42:12:0102015:2407</t>
  </si>
  <si>
    <t>1.4.26.1339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</si>
  <si>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д.120</t>
  </si>
  <si>
    <t>42:12:0102015:2410</t>
  </si>
  <si>
    <t>1.4.26.1340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</si>
  <si>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Славянская,172 </t>
  </si>
  <si>
    <t>42:12:0102015:2400</t>
  </si>
  <si>
    <t>1.4.26.1341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</si>
  <si>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Славянская,174 </t>
  </si>
  <si>
    <t>42:12:0102015:2401</t>
  </si>
  <si>
    <t>Протокол №3 по сообщению №141020/0150087/01 от 11.12.2020; концессионное соглашение №1 от 30.12.2020 г. (01.01.2021-31.12.2035 гг.)</t>
  </si>
  <si>
    <t>Распр. админстр. Таштагол. муниц. района от от 22.12.2020 г. №478-р: концессионное соглашение  от 30.12.2020 г. (01.01.2021-31.12.2031 гг.)</t>
  </si>
  <si>
    <t>Договор аренды №96 от 13.08.2016 г.</t>
  </si>
  <si>
    <t>1.4.212</t>
  </si>
  <si>
    <t>42:12:0111001:112</t>
  </si>
  <si>
    <t>1.4.213</t>
  </si>
  <si>
    <t>Земельный участок, использование: Для многоэтажной застройки</t>
  </si>
  <si>
    <t xml:space="preserve">Кемеровская область, Таштагольский р-н, пгт Мундыбаш, ул Октябрьская, д 48 </t>
  </si>
  <si>
    <t>42:12:0106002:772</t>
  </si>
  <si>
    <t>1.4.214</t>
  </si>
  <si>
    <t>Земельный участок, использование: Под отдельно стоящее нежилое здание водонасосной станции</t>
  </si>
  <si>
    <t>42:12:0114002:780</t>
  </si>
  <si>
    <t>1.4.26.1342</t>
  </si>
  <si>
    <t>Кемеровская область, Таштагольский район, пгт. Шерегеш, ул. Славянская, д.178</t>
  </si>
  <si>
    <t>42:12:0102015:2415</t>
  </si>
  <si>
    <t>1.4.26.1343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</si>
  <si>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Славянская,171 </t>
  </si>
  <si>
    <t>42:12:0102015:2416</t>
  </si>
  <si>
    <t>1.4.26.1344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</si>
  <si>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146 </t>
  </si>
  <si>
    <t xml:space="preserve">  42:12:0102015:2404</t>
  </si>
  <si>
    <t>1.4.26.1345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</si>
  <si>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147</t>
  </si>
  <si>
    <t>42:12:0102015:2417</t>
  </si>
  <si>
    <t>1.4.26.1346</t>
  </si>
  <si>
    <t>1.4.26.1347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</si>
  <si>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150 </t>
  </si>
  <si>
    <t>42:12:0102015:2414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</si>
  <si>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Рябиновая,156 </t>
  </si>
  <si>
    <t>42:12:0102015:2387</t>
  </si>
  <si>
    <t>1.4.26.1348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</si>
  <si>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155 </t>
  </si>
  <si>
    <t>42:12:0102015:2418</t>
  </si>
  <si>
    <t>1.4.26.1349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</si>
  <si>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124 </t>
  </si>
  <si>
    <t>42:12:0102015:2422</t>
  </si>
  <si>
    <t>1.4.26.1350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</si>
  <si>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159 </t>
  </si>
  <si>
    <t>42:12:0102015:2423</t>
  </si>
  <si>
    <t>1.4.26.1351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</si>
  <si>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участок 199 </t>
  </si>
  <si>
    <t>42:12:0102015:2424</t>
  </si>
  <si>
    <t>1.4.26.1352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</si>
  <si>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149 </t>
  </si>
  <si>
    <t>42:12:0102015:2426</t>
  </si>
  <si>
    <t>Земельный участок  : Для размещения туристических баз, стационарных и палаточных туристско-оздоровительных лагерей, домов рыболова и охотника, детских туристических станций</t>
  </si>
  <si>
    <t>1.4.217</t>
  </si>
  <si>
    <t>Земельный участок, использование: Для иных видов использования, характерных для населенных пунктов</t>
  </si>
  <si>
    <t xml:space="preserve">Российская Федерация, Кемеровская область-Кузбасс, Таштагольский муниципальный р-н, Шерегешское городское поселение, пгт. Шерегеш </t>
  </si>
  <si>
    <t>42:12:0000000:1010</t>
  </si>
  <si>
    <t>1.4.26.1353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</si>
  <si>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154</t>
  </si>
  <si>
    <t>42:12:0102015:2437</t>
  </si>
  <si>
    <t>1.4.26.1354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</si>
  <si>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158 </t>
  </si>
  <si>
    <t>42:12:0102015:2440</t>
  </si>
  <si>
    <t>1.4.26.1355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</si>
  <si>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187 </t>
  </si>
  <si>
    <t>42:12:0102015:2433</t>
  </si>
  <si>
    <t>1.4.26.1356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</si>
  <si>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Славянская,177 </t>
  </si>
  <si>
    <t>42:12:0102015:2413</t>
  </si>
  <si>
    <t>1.4.26.1357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</si>
  <si>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142 </t>
  </si>
  <si>
    <t>42:12:0102015:2388</t>
  </si>
  <si>
    <t>1.4.26.1358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</si>
  <si>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148 </t>
  </si>
  <si>
    <t>42:12:0102015:2429</t>
  </si>
  <si>
    <t>1.4.26.1359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</si>
  <si>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уч. 94 </t>
  </si>
  <si>
    <t xml:space="preserve">  42:12:0102015:2376</t>
  </si>
  <si>
    <t>1.4.26.1360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</si>
  <si>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135 </t>
  </si>
  <si>
    <t xml:space="preserve">  42:12:0102015:2408</t>
  </si>
  <si>
    <t>1.4.26.1361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</si>
  <si>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197</t>
  </si>
  <si>
    <t xml:space="preserve">  42:12:0102015:2441</t>
  </si>
  <si>
    <t>1.4.26.1362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</si>
  <si>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195 </t>
  </si>
  <si>
    <t>42:12:0102015:2435</t>
  </si>
  <si>
    <t>1.4.215</t>
  </si>
  <si>
    <t>1.4.216</t>
  </si>
  <si>
    <t xml:space="preserve">Земельный участок/П11430004690  для использования : Для индивидуальной жилой застройки </t>
  </si>
  <si>
    <t xml:space="preserve">Кемеровская область, р-н. Таштагольский, г. Таштагол, ул. Геологическая, д. 8 </t>
  </si>
  <si>
    <t>42:34:0104009:7</t>
  </si>
  <si>
    <t>1.4.218</t>
  </si>
  <si>
    <t>Земельный участок, использование: Промзона АТЦ-ЦМС</t>
  </si>
  <si>
    <t>Российская Федерация, Кемеровская область - Кузбасс, Таштагольский муниципальный район, Темиртауское городское поселение, поселок городского типа Темиртау, улица Центральная, земельный участок 1/3</t>
  </si>
  <si>
    <t>42:12:0105004:354</t>
  </si>
  <si>
    <t>1.4.219</t>
  </si>
  <si>
    <t>Земельный участок, использование: Для размещения промышленных объектов (Под промышленную зону)</t>
  </si>
  <si>
    <t xml:space="preserve"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33/2 </t>
  </si>
  <si>
    <t>42:12:0106002:4812</t>
  </si>
  <si>
    <t>1.4.220</t>
  </si>
  <si>
    <t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33/1</t>
  </si>
  <si>
    <t>42:12:0106002:4811</t>
  </si>
  <si>
    <t>Здание/П12430006867</t>
  </si>
  <si>
    <t xml:space="preserve">Кемеровская область, р-н. Таштагольский, г. Таштагол, ул. Геологическая, д. № 8 </t>
  </si>
  <si>
    <t xml:space="preserve">  42:34:0104006:49</t>
  </si>
  <si>
    <t xml:space="preserve">1-но этажное, из прочих материалов </t>
  </si>
  <si>
    <t>1.4.26.1363</t>
  </si>
  <si>
    <t>42:12:0102015:2469</t>
  </si>
  <si>
    <t>1.4.26.1364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</si>
  <si>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Славянская,168</t>
  </si>
  <si>
    <t>42:12:0102015:2471</t>
  </si>
  <si>
    <t>1.4.26.1365</t>
  </si>
  <si>
    <t>Российская Федерация, Кемеровская область-Кузбасс, Таштагольский муниципальный район,Шерегешское городское поселение, поселок городского типа Шерегеш, улица Славянская, земельный участок 165</t>
  </si>
  <si>
    <t>42:12:0102015:2474</t>
  </si>
  <si>
    <t>1.4.26.1366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</si>
  <si>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162</t>
  </si>
  <si>
    <t>42:12:0102015:2475</t>
  </si>
  <si>
    <t>1.1.693.</t>
  </si>
  <si>
    <r>
      <t>Кемеровская область, Таштагольский район, пос.Мрассу,ул.Набережная</t>
    </r>
    <r>
      <rPr>
        <sz val="10"/>
        <color theme="0"/>
        <rFont val="Arial Cyr"/>
        <family val="2"/>
        <charset val="204"/>
      </rPr>
      <t>,1</t>
    </r>
  </si>
  <si>
    <t>42:12:0111001:123</t>
  </si>
  <si>
    <t>1.4.26.1367</t>
  </si>
  <si>
    <t>1.4.26.1368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</si>
  <si>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163</t>
  </si>
  <si>
    <t>42:12:0102015:2479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</si>
  <si>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164</t>
  </si>
  <si>
    <t>42:12:0102015:2481</t>
  </si>
  <si>
    <t>1.4.26.1369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</si>
  <si>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161</t>
  </si>
  <si>
    <t>42:12:0102015:2483</t>
  </si>
  <si>
    <t>1.4.26.1370</t>
  </si>
  <si>
    <t>1.4.26.1371</t>
  </si>
  <si>
    <t>1.4.26.1372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</si>
  <si>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Ключевая, земельный участок 29/1 </t>
  </si>
  <si>
    <t>42:12:0102015:2461</t>
  </si>
  <si>
    <t>1.4.26.1373</t>
  </si>
  <si>
    <t xml:space="preserve">Российская Федерация, Кемеровская область-Кузбасс, Таштагольский муниципалный район, Шерегешское городское поселение, пгт. Шерегеш, ул. Рябиновая, земельный участок 167 </t>
  </si>
  <si>
    <t>42:12:0102015:2484</t>
  </si>
  <si>
    <t>1.4.26.1374</t>
  </si>
  <si>
    <t xml:space="preserve">Российская Федерация, Кемеровская область - Кузбасс, муниципальный район Таштагольский, городское поселение Шерегешское, поселок городского типа Шерегеш, улица Ореховая, земельный участок 115 </t>
  </si>
  <si>
    <t>42:12:0102015:2478</t>
  </si>
  <si>
    <t>1.4.26.1375</t>
  </si>
  <si>
    <t>42:12:0102015:2405</t>
  </si>
  <si>
    <t>1.4.26.1376</t>
  </si>
  <si>
    <t xml:space="preserve"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49 </t>
  </si>
  <si>
    <t>42:12:0102015:2463</t>
  </si>
  <si>
    <t>1.4.26.1377</t>
  </si>
  <si>
    <t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39</t>
  </si>
  <si>
    <t>42:12:0102015:2465</t>
  </si>
  <si>
    <t>1.4.26.1378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</si>
  <si>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40 </t>
  </si>
  <si>
    <t>42:12:0102015:2468</t>
  </si>
  <si>
    <t>1.4.26.1379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</si>
  <si>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94 </t>
  </si>
  <si>
    <t>1.4.26.1380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</si>
  <si>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106
</t>
  </si>
  <si>
    <t>1.4.27</t>
  </si>
  <si>
    <t>42:12:0114005:217</t>
  </si>
  <si>
    <t xml:space="preserve">Российская Федерация, Кемеровская область-Кузбасс, Таштагольский муниципальный район, Шерегешское городское поселение, гт. Шерегеш, ул. Рябиновая, земельный участок 197 </t>
  </si>
  <si>
    <t>42:12:0102015:2490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</si>
  <si>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177 </t>
  </si>
  <si>
    <t>42:12:0102015:2491</t>
  </si>
  <si>
    <t>1.1.90.15.1</t>
  </si>
  <si>
    <t>1.4.26.1381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</si>
  <si>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166</t>
  </si>
  <si>
    <t>42:12:0102015:2497</t>
  </si>
  <si>
    <t>1.4.221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</si>
  <si>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Циолковского, земельный участок 81 </t>
  </si>
  <si>
    <t>42:34:0112013:186</t>
  </si>
  <si>
    <t>Земельный участок</t>
  </si>
  <si>
    <t>1.4.26.1382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</si>
  <si>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Славянская, земельный участок 183</t>
  </si>
  <si>
    <t>42:12:0102015:2513</t>
  </si>
  <si>
    <t>1.4.26.1383</t>
  </si>
  <si>
    <t>1.4.26.1384</t>
  </si>
  <si>
    <t>1.4.26.1385</t>
  </si>
  <si>
    <t>1.4.26.1386</t>
  </si>
  <si>
    <t>1.4.26.1387</t>
  </si>
  <si>
    <t>1.4.26.1388</t>
  </si>
  <si>
    <t>1.4.26.1389</t>
  </si>
  <si>
    <t>1.4.26.1390</t>
  </si>
  <si>
    <t>1.4.26.1391</t>
  </si>
  <si>
    <t>1.4.26.1392</t>
  </si>
  <si>
    <t>1.4.26.1393</t>
  </si>
  <si>
    <t>1.4.26.1394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</si>
  <si>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196 </t>
  </si>
  <si>
    <t xml:space="preserve">  42:12:0102015:2494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</si>
  <si>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194 </t>
  </si>
  <si>
    <t xml:space="preserve">  42:12:0102015:2496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</si>
  <si>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ул.Славянская,125 </t>
  </si>
  <si>
    <t>42:12:0102015:2501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</si>
  <si>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ул.Славянская,127</t>
  </si>
  <si>
    <t>42:12:0102015:2503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</si>
  <si>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Рябиновая,179 </t>
  </si>
  <si>
    <t>42:12:0102015:2504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</si>
  <si>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173 </t>
  </si>
  <si>
    <t>42:12:0102015:2505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</si>
  <si>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189 </t>
  </si>
  <si>
    <t>42:12:0102015:2506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</si>
  <si>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175 </t>
  </si>
  <si>
    <t>42:12:0102015:2508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</si>
  <si>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159 </t>
  </si>
  <si>
    <t>42:12:0102015:2507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</si>
  <si>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165 </t>
  </si>
  <si>
    <t>42:12:0102015:2510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</si>
  <si>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181</t>
  </si>
  <si>
    <t>42:12:0102015:2515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</si>
  <si>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201</t>
  </si>
  <si>
    <t>42:12:0102015:2522</t>
  </si>
  <si>
    <t>1.4.26.1395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</si>
  <si>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д. 92</t>
  </si>
  <si>
    <t>42:12:0102015:2521</t>
  </si>
  <si>
    <t>1.4.26.1396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</si>
  <si>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116</t>
  </si>
  <si>
    <t>42:12:0102015:2520</t>
  </si>
  <si>
    <t>1.1.826.25</t>
  </si>
  <si>
    <t>42:12:0105002:3239</t>
  </si>
  <si>
    <t>1.1.826.26</t>
  </si>
  <si>
    <t>42:12:0105002:3233</t>
  </si>
  <si>
    <t>1.1.783.40</t>
  </si>
  <si>
    <t>42:12:0106002:1142</t>
  </si>
  <si>
    <t>1.1.307.14</t>
  </si>
  <si>
    <t>42:12:0102006:950</t>
  </si>
  <si>
    <t>1.1.307.15</t>
  </si>
  <si>
    <t>42:12:0102006:944</t>
  </si>
  <si>
    <t>1.1.307.16</t>
  </si>
  <si>
    <t>42:12:0102006:941</t>
  </si>
  <si>
    <t>цокол. этаж</t>
  </si>
  <si>
    <t>1.4.26.1397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</si>
  <si>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земельный участок 174</t>
  </si>
  <si>
    <t>42:12:0102015:2529</t>
  </si>
  <si>
    <t>1.4.26.1398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</si>
  <si>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203</t>
  </si>
  <si>
    <t>42:12:0102015:2530</t>
  </si>
  <si>
    <t>1.4.26.1399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</si>
  <si>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202</t>
  </si>
  <si>
    <t>42:12:0102015:2531</t>
  </si>
  <si>
    <t>1.1.576.8</t>
  </si>
  <si>
    <t>1.1.576.9</t>
  </si>
  <si>
    <t xml:space="preserve">Две комнаты в квартире коммунального заселения </t>
  </si>
  <si>
    <t>42:12:0106003:811</t>
  </si>
  <si>
    <t>42:12:0106003:991</t>
  </si>
  <si>
    <t>1.1.792.40</t>
  </si>
  <si>
    <t>42:12:0105002:1145</t>
  </si>
  <si>
    <t>1.4.26.1400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</si>
  <si>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Рябиновая,130</t>
  </si>
  <si>
    <t>42:12:0102015:2544</t>
  </si>
  <si>
    <t>1.4.26.1401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</si>
  <si>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51</t>
  </si>
  <si>
    <t>42:12:0102015:2539</t>
  </si>
  <si>
    <t>1.4.26.1402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</si>
  <si>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 земельный участок 170</t>
  </si>
  <si>
    <t>42:12:0102015:2542</t>
  </si>
  <si>
    <t>1.4.26.1403</t>
  </si>
  <si>
    <t>Российская Федерация, Кемеровская область-Кузбасс, Таштагольский муниципальный район,Шерегешское городское поселение, пгт. Шерегеш, ул Славянская, земельный участок 184</t>
  </si>
  <si>
    <t>42:12:0102015:2538</t>
  </si>
  <si>
    <t>1.4.26.1404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</si>
  <si>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185</t>
  </si>
  <si>
    <t>42:12:0102015:2545</t>
  </si>
  <si>
    <t>1.4.26.1405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</si>
  <si>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182</t>
  </si>
  <si>
    <t>42:12:0102015:2537</t>
  </si>
  <si>
    <t>1.4.26.1406</t>
  </si>
  <si>
    <t>Российская Федерация, Кемеровская область-Кузбасс, Таштагольский муниципальный район,Шерегешское городское поселение, пгт.Шерегеш, ул. Ледовая, земельный участок 168</t>
  </si>
  <si>
    <t>42:12:0102015:2536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</si>
  <si>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166</t>
  </si>
  <si>
    <t>42:12:0102015:2534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</si>
  <si>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164</t>
  </si>
  <si>
    <t>42:12:0102015:2532</t>
  </si>
  <si>
    <t>1.4.26.1407</t>
  </si>
  <si>
    <t>1.4.26.1408</t>
  </si>
  <si>
    <t>1.4.26.1409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</si>
  <si>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д. 188</t>
  </si>
  <si>
    <t>42:12:0102015:2546</t>
  </si>
  <si>
    <t>1.4.26.1410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</si>
  <si>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Ледовая,134</t>
  </si>
  <si>
    <t>42:12:0102015:2550</t>
  </si>
  <si>
    <t>1.4.26.1411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</si>
  <si>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Тихая,9</t>
  </si>
  <si>
    <t>42:12:0102015:2549</t>
  </si>
  <si>
    <t>1.4.26.1412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</si>
  <si>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204</t>
  </si>
  <si>
    <t>42:12:0102015:2548</t>
  </si>
  <si>
    <t>1.4.26.1413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</si>
  <si>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Славянская, земельный участок 186</t>
  </si>
  <si>
    <t>42:12:0102015:2547</t>
  </si>
  <si>
    <t>1.4.26.1414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</si>
  <si>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132</t>
  </si>
  <si>
    <t>42:12:0102015:2551</t>
  </si>
  <si>
    <t>1.4.26.1415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</si>
  <si>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193 </t>
  </si>
  <si>
    <t>42:12:0102015:2525</t>
  </si>
  <si>
    <t>1.4.26.1416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</si>
  <si>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191 </t>
  </si>
  <si>
    <t>42:12:0102015:2523</t>
  </si>
  <si>
    <t>1.4.26.1417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</si>
  <si>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192 </t>
  </si>
  <si>
    <t>42:12:0102015:2524</t>
  </si>
  <si>
    <t>1.4.26.1418</t>
  </si>
  <si>
    <t xml:space="preserve">Российская Федерация, Кемеровская область-Кузабсс, Таштагольский муниципальный район, Шерегешское городское поселение, пгт.Шерегеш, ул.Ледовая, земельный участок 189 </t>
  </si>
  <si>
    <t>42:12:0102015:2526</t>
  </si>
  <si>
    <t>1.4.26.1419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</si>
  <si>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Рябиновая,193</t>
  </si>
  <si>
    <t>42:12:0102015:2552</t>
  </si>
  <si>
    <t>1.4.26.1420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</si>
  <si>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Ореховая,52</t>
  </si>
  <si>
    <t>42:12:0102015:2556</t>
  </si>
  <si>
    <t>1.4.26.1421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</si>
  <si>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Ледовая,133</t>
  </si>
  <si>
    <t>42:12:0102015:2555</t>
  </si>
  <si>
    <t>1.4.26.1422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</si>
  <si>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Рябиновая,195</t>
  </si>
  <si>
    <t>42:12:0102015:2557</t>
  </si>
  <si>
    <t>1.4.26.1423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</si>
  <si>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Рябиновая,117</t>
  </si>
  <si>
    <t>42:12:0102015:2565</t>
  </si>
  <si>
    <t>1.4.26.1424</t>
  </si>
  <si>
    <t>42:12:0102015:2562</t>
  </si>
  <si>
    <t>1.4.26.1425</t>
  </si>
  <si>
    <t>42:12:0102015:2563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</si>
  <si>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ул.Рябиновая,115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</si>
  <si>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ул.Рябиновая,119</t>
  </si>
  <si>
    <t>1.4.26.1426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</si>
  <si>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ул.Славянская,121</t>
  </si>
  <si>
    <t>42:12:0102015:2500</t>
  </si>
  <si>
    <t>1.4.26.1427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</si>
  <si>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ул.Ореховая, земельный участок 96</t>
  </si>
  <si>
    <t xml:space="preserve">42:12:0102015:2553  </t>
  </si>
  <si>
    <t>1.4.26.1428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</si>
  <si>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125</t>
  </si>
  <si>
    <t>42:12:0102015:2583</t>
  </si>
  <si>
    <t>1.4.26.1429</t>
  </si>
  <si>
    <t>Российская Федерация, Кемеровская область-Кузбасс, Таштагольский муниципальный район,Шерегешское городское поселение, пгт Шерегеш, ул Ледовая, земельный участок 172</t>
  </si>
  <si>
    <t>42:12:0102015:2585</t>
  </si>
  <si>
    <t>1.4.26.1431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</si>
  <si>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128 </t>
  </si>
  <si>
    <t>42:12:0102015:2577</t>
  </si>
  <si>
    <t>1.4.26.1432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</si>
  <si>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Рябиновая,129</t>
  </si>
  <si>
    <t>42:12:0102015:2570</t>
  </si>
  <si>
    <t>1.4.26.1433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</si>
  <si>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191</t>
  </si>
  <si>
    <t>42:12:0102015:2578</t>
  </si>
  <si>
    <t>1.4.26.1434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</si>
  <si>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земельный участок 38/1 </t>
  </si>
  <si>
    <t>42:12:0102015:2398</t>
  </si>
  <si>
    <t>1.4.26.1435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</si>
  <si>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Рябиновая,120 </t>
  </si>
  <si>
    <t>42:12:0102015:2558</t>
  </si>
  <si>
    <t>1.4.26.1436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</si>
  <si>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Рябиновая,135
</t>
  </si>
  <si>
    <t>42:12:0102015:2588</t>
  </si>
  <si>
    <t>1.4.26.1437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</si>
  <si>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170 </t>
  </si>
  <si>
    <t>42:12:0102015:2519</t>
  </si>
  <si>
    <t>1.4.26.1438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</si>
  <si>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168 </t>
  </si>
  <si>
    <t>42:12:0102015:2518</t>
  </si>
  <si>
    <t>1.4.26.1439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</si>
  <si>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166</t>
  </si>
  <si>
    <t>42:12:0102015:2566</t>
  </si>
  <si>
    <t>1.4.26.1440</t>
  </si>
  <si>
    <t>42:12:0102015:2579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</si>
  <si>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Рябиновая,180 </t>
  </si>
  <si>
    <t>1.4.26.1441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</si>
  <si>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108 </t>
  </si>
  <si>
    <t>42:12:0102015:2600</t>
  </si>
  <si>
    <t>1.4.26.1442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</si>
  <si>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Славянская,141 </t>
  </si>
  <si>
    <t>42:12:0102015:2533</t>
  </si>
  <si>
    <t>1.4.26.1443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</si>
  <si>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ул.Славянская,197</t>
  </si>
  <si>
    <t>42:12:0102015:2590</t>
  </si>
  <si>
    <t>1.4.26.1444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</si>
  <si>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200</t>
  </si>
  <si>
    <t>42:12:0102015:2591</t>
  </si>
  <si>
    <t>1.4.26.1445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</si>
  <si>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199</t>
  </si>
  <si>
    <t>42:12:0102015:2594</t>
  </si>
  <si>
    <t>1.4.26.1446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</si>
  <si>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196 </t>
  </si>
  <si>
    <t>42:12:0102015:2598</t>
  </si>
  <si>
    <t>1.4.26.1447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</si>
  <si>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187 </t>
  </si>
  <si>
    <t>42:12:0102015:2580</t>
  </si>
  <si>
    <t>1.4.26.1448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</si>
  <si>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185 </t>
  </si>
  <si>
    <t>42:12:0102015:2581</t>
  </si>
  <si>
    <t>1.4.26.1449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</si>
  <si>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188 </t>
  </si>
  <si>
    <t>42:12:0102015:2582</t>
  </si>
  <si>
    <t>1.4.26.1450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</si>
  <si>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Ледовая,211 </t>
  </si>
  <si>
    <t>42:12:0102015:2559</t>
  </si>
  <si>
    <t>1.4.26.1451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</si>
  <si>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92</t>
  </si>
  <si>
    <t>42:12:0102015:2571</t>
  </si>
  <si>
    <t>1.4.26.1452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</si>
  <si>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91</t>
  </si>
  <si>
    <t>42:12:0102015:2573</t>
  </si>
  <si>
    <t>1.4.26.1453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</si>
  <si>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89 </t>
  </si>
  <si>
    <t>42:12:0102015:2574</t>
  </si>
  <si>
    <t>1.4.26.1454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</si>
  <si>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88 </t>
  </si>
  <si>
    <t>42:12:0102015:2576</t>
  </si>
  <si>
    <t>1.4.26.1455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</si>
  <si>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102</t>
  </si>
  <si>
    <t>42:12:0102015:2586</t>
  </si>
  <si>
    <t>1.4.26.1456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</si>
  <si>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Шахтеров,93 </t>
  </si>
  <si>
    <t>42:12:0102015:2575</t>
  </si>
  <si>
    <t>1.4.26.1457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</si>
  <si>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Цветочная, д. 22 </t>
  </si>
  <si>
    <t>42:12:0102015:2527</t>
  </si>
  <si>
    <t>1.4.26.1458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</si>
  <si>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Цветочная,14</t>
  </si>
  <si>
    <t>42:12:0102015:2592</t>
  </si>
  <si>
    <t>1.4.26.1459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</si>
  <si>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Цветочная,12</t>
  </si>
  <si>
    <t>42:12:0102015:2595</t>
  </si>
  <si>
    <t>1.1.576.10</t>
  </si>
  <si>
    <t>1.1.576.11</t>
  </si>
  <si>
    <t xml:space="preserve">42:12:0106003:812 </t>
  </si>
  <si>
    <t>42:12:0106003:806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</si>
  <si>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124</t>
  </si>
  <si>
    <t>42:12:0102015:2624</t>
  </si>
  <si>
    <t>1.4.26.1460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</si>
  <si>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126 </t>
  </si>
  <si>
    <t>42:12:0102015:2623</t>
  </si>
  <si>
    <t>1.4.26.1461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</si>
  <si>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 147</t>
  </si>
  <si>
    <t>42:12:0102015:2606</t>
  </si>
  <si>
    <t>1.4.26.1462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</si>
  <si>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 , ул. Славянская,146 </t>
  </si>
  <si>
    <t>42:12:0102015:2604</t>
  </si>
  <si>
    <t>1.4.26.1463</t>
  </si>
  <si>
    <t>Российская Федерация, Кемеровская область-Кузбасс, Таштагольский муниципальный район, Шерегешское городское поселение, пгт. Шерегеш , ул. Славянская,149</t>
  </si>
  <si>
    <t>42:12:0102015:2603</t>
  </si>
  <si>
    <t>1.4.26.1464</t>
  </si>
  <si>
    <t>Российская Федерация,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148</t>
  </si>
  <si>
    <t>42:12:0102015:2613</t>
  </si>
  <si>
    <t>1.4.26.1465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</si>
  <si>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195 </t>
  </si>
  <si>
    <t>42:12:0102015:2601</t>
  </si>
  <si>
    <t>1.4.26.1466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</si>
  <si>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193</t>
  </si>
  <si>
    <t>42:12:0102015:2608</t>
  </si>
  <si>
    <t>1.4.26.1467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</si>
  <si>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198 </t>
  </si>
  <si>
    <t>42:12:0102015:2609</t>
  </si>
  <si>
    <t>1.4.26.1468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</si>
  <si>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194 </t>
  </si>
  <si>
    <t>42:12:0102015:2602</t>
  </si>
  <si>
    <t>1.4.26.1469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</si>
  <si>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Славянская,150 </t>
  </si>
  <si>
    <t>42:12:0102015:2605</t>
  </si>
  <si>
    <t>1.4.26.1470</t>
  </si>
  <si>
    <t xml:space="preserve">Российская Фдерация,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215 </t>
  </si>
  <si>
    <t>42:12:0102015:2610</t>
  </si>
  <si>
    <t>1.4.26.1471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</si>
  <si>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213 </t>
  </si>
  <si>
    <t>42:12:0102015:2611</t>
  </si>
  <si>
    <t>1.4.26.1472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</si>
  <si>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Рябиновая,126 </t>
  </si>
  <si>
    <t>42:12:0102015:2612</t>
  </si>
  <si>
    <t>1.4.26.1473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</si>
  <si>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230 </t>
  </si>
  <si>
    <t>42:12:0102015:2625</t>
  </si>
  <si>
    <t>1.4.26.1474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</si>
  <si>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232 </t>
  </si>
  <si>
    <t>42:12:0102015:2626</t>
  </si>
  <si>
    <t>1.4.26.1475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</si>
  <si>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191 </t>
  </si>
  <si>
    <t>42:12:0102015:2627</t>
  </si>
  <si>
    <t>1.4.26.1476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</si>
  <si>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111 </t>
  </si>
  <si>
    <t>42:12:0102015:2629</t>
  </si>
  <si>
    <t>1.4.26.1477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</si>
  <si>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171 </t>
  </si>
  <si>
    <t>42:12:0102015:2630</t>
  </si>
  <si>
    <t>1.4.26.1478</t>
  </si>
  <si>
    <t xml:space="preserve">Российская Федерация, Кемеровская область-Кузбасс, Таштагольский мунипальный район, Шерегешское городское поселение, пгт.Шерегеш, ул.Рябиновая, земельный участок 113 </t>
  </si>
  <si>
    <t>42:12:0102015:2631</t>
  </si>
  <si>
    <t>1.4.26.1479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</si>
  <si>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220</t>
  </si>
  <si>
    <t>42:12:0102015:2638</t>
  </si>
  <si>
    <t>1.4.26.1480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</si>
  <si>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190</t>
  </si>
  <si>
    <t>1.4.26.1481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</si>
  <si>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189</t>
  </si>
  <si>
    <t>42:12:0102015:2641</t>
  </si>
  <si>
    <t>1.4.26.1482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</si>
  <si>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178 </t>
  </si>
  <si>
    <t>42:12:0102015:2643</t>
  </si>
  <si>
    <t>1.4.26.1483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</si>
  <si>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176 </t>
  </si>
  <si>
    <t>42:12:0102015:2644</t>
  </si>
  <si>
    <t>1.4.26.1484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</si>
  <si>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172</t>
  </si>
  <si>
    <t>42:12:0102015:2589</t>
  </si>
  <si>
    <t>1.4.26.1485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</si>
  <si>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190 </t>
  </si>
  <si>
    <t>42:12:0102015:2607</t>
  </si>
  <si>
    <t>1.4.26.1486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</si>
  <si>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Рябиновая,104 </t>
  </si>
  <si>
    <t>42:12:0102015:2619</t>
  </si>
  <si>
    <t>1.4.26.1487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</si>
  <si>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106</t>
  </si>
  <si>
    <t>42:12:0102015:2620</t>
  </si>
  <si>
    <t>1.4.26.1488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</si>
  <si>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110 </t>
  </si>
  <si>
    <t>42:12:0102015:2628</t>
  </si>
  <si>
    <t>1.4.26.1489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</si>
  <si>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Рябиновая,114 </t>
  </si>
  <si>
    <t>42:12:0102015:2637</t>
  </si>
  <si>
    <t>1.4.26.1490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</si>
  <si>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234 </t>
  </si>
  <si>
    <t>42:12:0102015:2648</t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</si>
  <si>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family val="2"/>
        <charset val="204"/>
      </rPr>
      <t>,8</t>
    </r>
  </si>
  <si>
    <t>1.1.322.1</t>
  </si>
  <si>
    <t>42:12:0102009:314</t>
  </si>
  <si>
    <t>Отдельно стоящее нежилое здание хозяйственного блока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</si>
  <si>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Ленина,36/1</t>
  </si>
  <si>
    <t>42:34:0101044:518</t>
  </si>
  <si>
    <t xml:space="preserve">1-но этажное, из бетонных блоков, облицовка-металлосайдинг </t>
  </si>
  <si>
    <t>1.4.26.1491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</si>
  <si>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211 </t>
  </si>
  <si>
    <t>42:12:0102015:2653</t>
  </si>
  <si>
    <t>1.4.26.1492</t>
  </si>
  <si>
    <t>Российская Федерация, Кемеровская область-Кузбасс, Таштагольский муниципальный район, Шерегешское городское поселение,поселок городского типа Шерегеш, улица Славянская, земельный участок 135</t>
  </si>
  <si>
    <t>42:12:0102015:2655</t>
  </si>
  <si>
    <t>1.4.26.1493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</si>
  <si>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198 </t>
  </si>
  <si>
    <t>42:12:0102015:2652</t>
  </si>
  <si>
    <t>1.4.26.1494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</si>
  <si>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194 </t>
  </si>
  <si>
    <t>42:12:0102015:2664</t>
  </si>
  <si>
    <t>1.4.26.1495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</si>
  <si>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Рябиновая,138</t>
  </si>
  <si>
    <t>42:12:0102015:2666</t>
  </si>
  <si>
    <t>1.1.718.16</t>
  </si>
  <si>
    <t>1.1.718.17</t>
  </si>
  <si>
    <t>1.1.718.18</t>
  </si>
  <si>
    <t>1.1.718.19</t>
  </si>
  <si>
    <t>42:34:0101051:39</t>
  </si>
  <si>
    <t>1.4.26.1496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</si>
  <si>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Ореховая,55</t>
  </si>
  <si>
    <t>42:12:0102015:2667</t>
  </si>
  <si>
    <t>1.4.26.1497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</si>
  <si>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Ледовая, земельный участок 126</t>
  </si>
  <si>
    <t>42:12:0102015:2672</t>
  </si>
  <si>
    <t>1.4.26.1498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</si>
  <si>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Ореховая,75</t>
  </si>
  <si>
    <t>42:12:0102015:2671</t>
  </si>
  <si>
    <t>1.4.26.1499</t>
  </si>
  <si>
    <t>Российская Федерация, Кемеровская область-Кузбасс, Таштагольский муниципальный район,
Шерегешское городское поселение, пгт Шерегеш, ул Ледовая, земельный участок 128</t>
  </si>
  <si>
    <t>42:12:0102015:2687</t>
  </si>
  <si>
    <t>1.4.26.1500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</si>
  <si>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169 </t>
  </si>
  <si>
    <t>42:12:0102015:2584</t>
  </si>
  <si>
    <t>1.4.26.1501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</si>
  <si>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183 </t>
  </si>
  <si>
    <t>42:12:0102015:2649</t>
  </si>
  <si>
    <t>1.4.26.1502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</si>
  <si>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110 </t>
  </si>
  <si>
    <t>42:12:0102015:2651</t>
  </si>
  <si>
    <t>1.4.26.1503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</si>
  <si>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Славянская,133 </t>
  </si>
  <si>
    <t>42:12:0102015:2661</t>
  </si>
  <si>
    <t>1.4.26.1504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</si>
  <si>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137</t>
  </si>
  <si>
    <t>42:12:0102015:2662</t>
  </si>
  <si>
    <t>1.4.26.1505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</si>
  <si>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225</t>
  </si>
  <si>
    <t>42:12:0102015:2668</t>
  </si>
  <si>
    <t>1.4.26.1506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</si>
  <si>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170</t>
  </si>
  <si>
    <t>42:12:0102015:2669</t>
  </si>
  <si>
    <t>1.4.26.1507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</si>
  <si>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186 </t>
  </si>
  <si>
    <t>42:12:0102015:2673</t>
  </si>
  <si>
    <t>1.4.26.1508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</si>
  <si>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224</t>
  </si>
  <si>
    <t>42:12:0102015:2674</t>
  </si>
  <si>
    <t>1.4.26.1509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</si>
  <si>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222 </t>
  </si>
  <si>
    <t>42:12:0102015:2675</t>
  </si>
  <si>
    <t>1.4.26.1510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</si>
  <si>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223 </t>
  </si>
  <si>
    <t>42:12:0102015:2677</t>
  </si>
  <si>
    <t>1.4.26.1511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</si>
  <si>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221 </t>
  </si>
  <si>
    <t>42:12:0102015:2679</t>
  </si>
  <si>
    <t>1.4.26.1512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</si>
  <si>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Славянская,128 </t>
  </si>
  <si>
    <t>42:12:0102015:2683</t>
  </si>
  <si>
    <t>1.4.26.1513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</si>
  <si>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130 </t>
  </si>
  <si>
    <t>42:12:0102015:2695</t>
  </si>
  <si>
    <t>1.4.26.1514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</si>
  <si>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д. 43 </t>
  </si>
  <si>
    <t>42:12:0102015:2692</t>
  </si>
  <si>
    <t>1.4.26.1515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</si>
  <si>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209</t>
  </si>
  <si>
    <t>42:12:0102015:2740</t>
  </si>
  <si>
    <t>Земельный участок, разрешенное использование: Для размещения промышленных объектов</t>
  </si>
  <si>
    <t>обл. Кемеровская, р-н Таштагольский, пгт. Темиртау</t>
  </si>
  <si>
    <t>42:12:0105004:23</t>
  </si>
  <si>
    <t>1.4.223</t>
  </si>
  <si>
    <t>Земельный участок, разрешенное использование: под Спортивно-технический комплекс горных лыж и сноуборда</t>
  </si>
  <si>
    <t>Кемеровская область, г. Таштагол,  ул. Скворцова,42</t>
  </si>
  <si>
    <t>42:34:0102066:36</t>
  </si>
  <si>
    <t>1.4.224</t>
  </si>
  <si>
    <t>Земельный участок, разрешенное использование: под промышленную территорию</t>
  </si>
  <si>
    <t xml:space="preserve">Кемеровская область, Таштагольский р-н, пгт Темиртау, ул Кирова, д 1 </t>
  </si>
  <si>
    <t>42:12:0105004:35</t>
  </si>
  <si>
    <t>1.4.225</t>
  </si>
  <si>
    <t>1.4.226</t>
  </si>
  <si>
    <t>1.4.227</t>
  </si>
  <si>
    <t>1.4.228</t>
  </si>
  <si>
    <t>1.4.229</t>
  </si>
  <si>
    <t>Российская Федерация, Кемеровская область - Кузбасс, Таштагольский муниципальный район, Спасское городское поселение, поселок городского типа Спасск, улица Увальная, земельный участок 50/1</t>
  </si>
  <si>
    <t>Земельный участок, использование: под жилищное строительство</t>
  </si>
  <si>
    <t>42:12:0000000:876</t>
  </si>
  <si>
    <t>1.4.26.1516</t>
  </si>
  <si>
    <t>1.4.26.1517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</si>
  <si>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90 </t>
  </si>
  <si>
    <t>42:12:0102015:2711</t>
  </si>
  <si>
    <t>1.4.26.1518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</si>
  <si>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95 </t>
  </si>
  <si>
    <t>42:12:0102015:2731</t>
  </si>
  <si>
    <t>1.4.26.1519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</si>
  <si>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184 </t>
  </si>
  <si>
    <t>42:12:0102015:2712</t>
  </si>
  <si>
    <t>1.4.26.1520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</si>
  <si>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Славянская, земельный участок, 207</t>
  </si>
  <si>
    <t>42:12:0102015:2713</t>
  </si>
  <si>
    <t>1.4.26.1521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</si>
  <si>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210 </t>
  </si>
  <si>
    <t>42:12:0102015:2707</t>
  </si>
  <si>
    <t>1.4.26.1522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</si>
  <si>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105/1 </t>
  </si>
  <si>
    <t>42:12:0000000:1021</t>
  </si>
  <si>
    <t>1.4.17.3</t>
  </si>
  <si>
    <t>Земельный участок, разрешенное использование: Профилакторий</t>
  </si>
  <si>
    <t xml:space="preserve"> Российская Федерация, Кемеровская область-Кузбасс, Таштагольский муниципальный район, Таштагольское городское поселение, город Таштагол, улица Дальняя Каменушка-1, земельный участок 1/1</t>
  </si>
  <si>
    <t>42:34:0115013:125</t>
  </si>
  <si>
    <t>Земельный участок, использование: амбулаторно-поликлиническое обслуживание</t>
  </si>
  <si>
    <t xml:space="preserve">Российская Федерация, Кемеровская область-Кузбасс, Таштагольский муниципальный район, городское поселение Мундыбашское, пгт. Мундыбаш, ул. Строительная, земельный участок 5 </t>
  </si>
  <si>
    <t>42:12:0106002:4828</t>
  </si>
  <si>
    <t>Муниципальное предприятие "Темиртаусский хлебокомбинат"</t>
  </si>
  <si>
    <t>1.1.179.11</t>
  </si>
  <si>
    <t>1.1.838.23</t>
  </si>
  <si>
    <t>42:12:0106002:4297</t>
  </si>
  <si>
    <t>В оперативном управлении МКОУ детский сад  №5 "Петрушка"</t>
  </si>
  <si>
    <t>Распоряжение АТМР от 10.09.2021 №322-р</t>
  </si>
  <si>
    <r>
      <t>Кемеровская область, г. Таштагол, ул. С.Лазо</t>
    </r>
    <r>
      <rPr>
        <sz val="10"/>
        <color theme="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</si>
  <si>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color theme="0"/>
        <rFont val="Arial Cyr"/>
        <charset val="204"/>
      </rPr>
      <t>,9</t>
    </r>
    <r>
      <rPr>
        <sz val="10"/>
        <rFont val="Arial Cyr"/>
        <charset val="204"/>
      </rPr>
      <t xml:space="preserve">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</si>
  <si>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</si>
  <si>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</si>
  <si>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 xml:space="preserve">,30в </t>
    </r>
  </si>
  <si>
    <r>
      <t>Кемеровская область, Таштагольский район, г.Таштагол,ул.Садовая</t>
    </r>
    <r>
      <rPr>
        <sz val="10"/>
        <color theme="0"/>
        <rFont val="Arial Cyr"/>
        <charset val="204"/>
      </rPr>
      <t>,5</t>
    </r>
  </si>
  <si>
    <r>
      <t>Россия,Кемеровская область,  пгт. Шерегеш, ул.Весенняя</t>
    </r>
    <r>
      <rPr>
        <sz val="10"/>
        <color theme="0"/>
        <rFont val="Arial Cyr"/>
        <charset val="204"/>
      </rPr>
      <t>,2</t>
    </r>
  </si>
  <si>
    <r>
      <t>Российская Федерация, Кемеровская область - Кузбасс, Таштагольский муниципальный район, Шерегешское городское поселение, пгт. Шерегеш, ул. Кирова</t>
    </r>
    <r>
      <rPr>
        <sz val="10"/>
        <color theme="0"/>
        <rFont val="Arial Cyr"/>
        <charset val="204"/>
      </rPr>
      <t>,14а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</si>
  <si>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,25/4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</si>
  <si>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,25/1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</si>
  <si>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,25/2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</si>
  <si>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</si>
  <si>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,19а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</si>
  <si>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</si>
  <si>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</si>
  <si>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</si>
  <si>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,7</t>
    </r>
  </si>
  <si>
    <t>1.1.846.20</t>
  </si>
  <si>
    <t>42:12:0105002:3409</t>
  </si>
  <si>
    <t>1.1.826.27</t>
  </si>
  <si>
    <t>42:12:0105002:3235</t>
  </si>
  <si>
    <t>1.1.808.39</t>
  </si>
  <si>
    <t xml:space="preserve">42:12:0106002:3445             </t>
  </si>
  <si>
    <t>1.4.26.1523</t>
  </si>
  <si>
    <t>Кемеровская область-Кузбасс, Таштагольский муниципальный район, Шерегешское городское поселение, пгт. Шерегеш, ул. Славянская,226</t>
  </si>
  <si>
    <t>42:12:0102015:2710</t>
  </si>
  <si>
    <t>1.4.26.1524</t>
  </si>
  <si>
    <t>Кемеровская область-Кузбасс, Таштагольский муниципальный район, Шерегешское городское поселение, пгт. Шерегеш, ул. Славянская, земельный участок 208</t>
  </si>
  <si>
    <t>42:12:0102015:2741</t>
  </si>
  <si>
    <t>1.4.26.1525</t>
  </si>
  <si>
    <t>Кемеровская область-Кузбасс, Таштагольский муницпальный район, Шерегешское городское поселение, пгт. Шерегеш, ул. Славянская, земельный участок 205</t>
  </si>
  <si>
    <t>42:12:0102015:2749</t>
  </si>
  <si>
    <t>1.4.26.1526</t>
  </si>
  <si>
    <t>Кемеровская область-Кузбасс, Таштагольский муниципальный район, Шерегешское городское поселение, пгт. Шерегеш, ул. Славянская,227</t>
  </si>
  <si>
    <t>42:12:0102015:2752</t>
  </si>
  <si>
    <t>1.4.26.1527</t>
  </si>
  <si>
    <t>Кемеровская область-Кузбасс, Таштагольский муниципальный район, Шерегешское городское поселение, пгт. Шерегеш, ул. Рябиновая,139</t>
  </si>
  <si>
    <t>42:12:0102015:2697</t>
  </si>
  <si>
    <t>1.4.26.1528</t>
  </si>
  <si>
    <t>Кемеровская область-Кузбасс, Таштагольский муниципальный район, Шерегешское городское поселение, пгт. Шерегеш, улица Рябиновая,132</t>
  </si>
  <si>
    <t>42:12:0102015:2724</t>
  </si>
  <si>
    <t>1.4.26.1529</t>
  </si>
  <si>
    <t xml:space="preserve">Кемеровская область-Кузбасс, Таштагольский муниципальный район, Шерегешское городское поселение, пгт. Шерегеш, улица Рябиновая,134 </t>
  </si>
  <si>
    <t>42:12:0102015:2728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</si>
  <si>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№213</t>
  </si>
  <si>
    <t>1.1.779.3</t>
  </si>
  <si>
    <t>42:12:0112001:340</t>
  </si>
  <si>
    <t>1.1.862</t>
  </si>
  <si>
    <r>
      <t>Кемеровская область, Таштагольский муниципальный район, поселок городского типа Темиртау, ул. Центральная</t>
    </r>
    <r>
      <rPr>
        <sz val="10"/>
        <color theme="0"/>
        <rFont val="Arial Cyr"/>
        <charset val="204"/>
      </rPr>
      <t>,2</t>
    </r>
  </si>
  <si>
    <t>42:12:0105002:2959</t>
  </si>
  <si>
    <t>1.4.26.1530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</si>
  <si>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Славянская,173</t>
  </si>
  <si>
    <t>42:12:0102015:2789</t>
  </si>
  <si>
    <t>1.4.26.1531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</si>
  <si>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Славянская,175</t>
  </si>
  <si>
    <t>42:12:0102015:2790</t>
  </si>
  <si>
    <t>1.4.26.1532</t>
  </si>
  <si>
    <t>: 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100</t>
  </si>
  <si>
    <t>42:12:0102015:2791</t>
  </si>
  <si>
    <t>1.4.26.1533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</si>
  <si>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181</t>
  </si>
  <si>
    <t>42:12:0102015:2785</t>
  </si>
  <si>
    <t>1.4.26.1534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</si>
  <si>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129</t>
  </si>
  <si>
    <t>42:12:0102015:2754</t>
  </si>
  <si>
    <t>1.4.26.1535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</si>
  <si>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145</t>
  </si>
  <si>
    <t>42:12:0102015:2769</t>
  </si>
  <si>
    <t>1.4.26.1536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</si>
  <si>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233</t>
  </si>
  <si>
    <t>42:12:0102015:2786</t>
  </si>
  <si>
    <t>1.4.26.1537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</si>
  <si>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136</t>
  </si>
  <si>
    <t>42:12:0102015:2775</t>
  </si>
  <si>
    <t>1.4.26.1538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</si>
  <si>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192</t>
  </si>
  <si>
    <t>42:12:0102015:2809</t>
  </si>
  <si>
    <t>1.4.26.1539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</si>
  <si>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Ледовая, 107</t>
  </si>
  <si>
    <t>42:12:0102015:2803</t>
  </si>
  <si>
    <t>Земельный участок / П11430001091^ Для размещения промышленных объектов</t>
  </si>
  <si>
    <t>обл. Кемеровская, р-н Таштагольский, пгт. Шерегеш</t>
  </si>
  <si>
    <t>42:12:0102001:58</t>
  </si>
  <si>
    <t>Земельный участок / П11430002004: Подсобное хозяйство</t>
  </si>
  <si>
    <t>Кемеровская область, р-н. Таштагольский, пгт. Шерегеш, ул. Весенняя, д. 9</t>
  </si>
  <si>
    <t>42:12:0102013:173</t>
  </si>
  <si>
    <t>Пожарный водоем / П12430003772</t>
  </si>
  <si>
    <t>Кемеровская область, р-н. Таштагольский, пгт. Шерегеш, ул. Гагарина, д. 47/4</t>
  </si>
  <si>
    <t>42:12:0102001:1173</t>
  </si>
  <si>
    <t>Пожарный водоем / П12430003771</t>
  </si>
  <si>
    <t>Кемеровская область, р-н. Таштагольский, пгт. Шерегеш, ул. Гагарина, д. 47/3</t>
  </si>
  <si>
    <t>42:12:0102001:1174</t>
  </si>
  <si>
    <t>1.5.584</t>
  </si>
  <si>
    <t>Железнодорожный тупик/П12430001869</t>
  </si>
  <si>
    <t>Кемеровская область, р-н Таштагольский, пгт Шерегеш, ул Гагарина</t>
  </si>
  <si>
    <t>42:12:0101001:837</t>
  </si>
  <si>
    <t>Объем, куб.м
100</t>
  </si>
  <si>
    <t>Объем, куб.м
50</t>
  </si>
  <si>
    <t>протяж. 2665 м</t>
  </si>
  <si>
    <t>Площадь,  кв.м./ Протяженность , м</t>
  </si>
  <si>
    <t>Параметры, характеризующие физические свойства недвижимого имущества</t>
  </si>
  <si>
    <t>отсутствует</t>
  </si>
  <si>
    <t>1.5.552.1</t>
  </si>
  <si>
    <t>стеклопластиковые борта на металлических рамах</t>
  </si>
  <si>
    <t>В аренде ООО "КУЗКАМ"</t>
  </si>
  <si>
    <t>Распр. КУМИ Таштагол. муниц. района от 06.10.2021 №13</t>
  </si>
  <si>
    <t>1.3.218</t>
  </si>
  <si>
    <t>Нежилое помещение (Кузница) / В13430003186</t>
  </si>
  <si>
    <t>Кемеровская область, р-н. Таштагольский, пгт. Шерегеш, ул. Гагарина, д. 47/1, пом. 1</t>
  </si>
  <si>
    <t>42:12:0102001:1188</t>
  </si>
  <si>
    <t>1.3.219</t>
  </si>
  <si>
    <t>Нежилое помещение (Столярный цех) / П13430003185</t>
  </si>
  <si>
    <t>Кемеровская область, р-н. Таштагольский, пгт. Шерегеш, ул. Гагарина, д. 47, пом. 1</t>
  </si>
  <si>
    <t>42:12:0102001:1185</t>
  </si>
  <si>
    <t>1.3.220</t>
  </si>
  <si>
    <t>Нежилое помещение (Котельная) / В13430003182</t>
  </si>
  <si>
    <t>Кемеровская область, р-н. Таштагольский, пгт. Шерегеш, ул. Гагарина, д. 47, пом. 2</t>
  </si>
  <si>
    <t>42:12:0102001:1186</t>
  </si>
  <si>
    <t>1.2.494</t>
  </si>
  <si>
    <t>Столовая лесобиржи / В12430006677</t>
  </si>
  <si>
    <t>Кемеровская область, Таштагольский муниципальный район, пгт. Шерегеш, ул. Гагарина, д. 47</t>
  </si>
  <si>
    <t>42:12:0102001:1642</t>
  </si>
  <si>
    <t>1-но этажное, шлакобетонные</t>
  </si>
  <si>
    <t>1.2.495</t>
  </si>
  <si>
    <t>Административное здание лесобиржи / П12430003782</t>
  </si>
  <si>
    <t xml:space="preserve"> 42:12:0102001:1643</t>
  </si>
  <si>
    <t>2-х  этажное, шлакобетонные</t>
  </si>
  <si>
    <t>1.2.496</t>
  </si>
  <si>
    <t>Отдельно стоящее нежилое здание / П12430006675</t>
  </si>
  <si>
    <t>Кемеровская область, Таштагольский муниципальный район, пгт Шерегеш, ул. Весенняя, д. 9</t>
  </si>
  <si>
    <t>42:12:0102013:1929</t>
  </si>
  <si>
    <t>1-но этажное, железобетонные</t>
  </si>
  <si>
    <t>1.2.497</t>
  </si>
  <si>
    <t>Отдельно стоящее нежилое здание склада на 100т. / П12430001873</t>
  </si>
  <si>
    <t>Кемеровская область, Таштагольский район, пгт Шерегеш, ул.Весенняя, д.9</t>
  </si>
  <si>
    <t>42:12:0101001:202</t>
  </si>
  <si>
    <t>1-но этажное, из прочих материалов</t>
  </si>
  <si>
    <t>1.2.498</t>
  </si>
  <si>
    <t>Отдельно стоящее нежилое здание овощехранилища / П12430001872</t>
  </si>
  <si>
    <t>42:12:0101001:206</t>
  </si>
  <si>
    <t>на 01 декабря 2021 года</t>
  </si>
  <si>
    <t>1.1.846.21</t>
  </si>
  <si>
    <t>42:12:0105002:3405</t>
  </si>
  <si>
    <t>1.1.780.21</t>
  </si>
  <si>
    <t>42:12:0105002:1239</t>
  </si>
  <si>
    <t>1.1.170.7</t>
  </si>
  <si>
    <t>42:34:0101042:271</t>
  </si>
  <si>
    <t>1.1.751.15</t>
  </si>
  <si>
    <t>1.1.751.16</t>
  </si>
  <si>
    <t>42:12:0106002:1127</t>
  </si>
  <si>
    <t>42:12:0106002:3871</t>
  </si>
  <si>
    <t>1.1.792.41</t>
  </si>
  <si>
    <t xml:space="preserve">42:12:0105002:1144 </t>
  </si>
  <si>
    <t>1.1.182.4</t>
  </si>
  <si>
    <t>42:34:0101010:75</t>
  </si>
  <si>
    <t>В оперативном управлении, распр. админстр. Таштагол.муниц. района  от 18.11.2021 г. №435-р</t>
  </si>
  <si>
    <t>1.1.176.</t>
  </si>
  <si>
    <t>1.1.175.7</t>
  </si>
  <si>
    <t>42:34:0101036:142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</si>
</sst>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000000"/>
  </numFmts>
  <fonts count="10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i/>
      <sz val="8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"/>
      <family val="2"/>
      <charset val="204"/>
    </font>
    <font>
      <b/>
      <sz val="18"/>
      <name val="Arial Cyr"/>
      <charset val="204"/>
    </font>
    <font>
      <sz val="8"/>
      <color rgb="FFFF00FF"/>
      <name val="Arial"/>
      <family val="2"/>
    </font>
    <font>
      <b/>
      <sz val="18"/>
      <color rgb="FFFF00FF"/>
      <name val="Arial Cyr"/>
      <charset val="204"/>
    </font>
    <font>
      <sz val="8"/>
      <color theme="0"/>
      <name val="Arial Cyr"/>
      <family val="2"/>
      <charset val="204"/>
    </font>
    <font>
      <sz val="8"/>
      <color rgb="FFFF00FF"/>
      <name val="Arial"/>
      <family val="2"/>
      <charset val="204"/>
    </font>
    <font>
      <sz val="8"/>
      <color rgb="FFFF00FF"/>
      <name val="Arial Cyr"/>
      <charset val="204"/>
    </font>
    <font>
      <sz val="10"/>
      <color theme="0"/>
      <name val="Arial Cyr"/>
      <family val="2"/>
      <charset val="204"/>
    </font>
    <font>
      <sz val="10"/>
      <color rgb="FFFF00FF"/>
      <name val="Arial Cyr"/>
      <family val="2"/>
      <charset val="204"/>
    </font>
    <font>
      <sz val="9"/>
      <color rgb="FFFF00FF"/>
      <name val="Arial Cyr"/>
      <charset val="204"/>
    </font>
    <font>
      <sz val="9"/>
      <color rgb="FFFF00FF"/>
      <name val="Arial Cyr"/>
      <family val="2"/>
      <charset val="204"/>
    </font>
    <font>
      <sz val="10"/>
      <color rgb="FFFF00FF"/>
      <name val="Arial"/>
      <family val="2"/>
      <charset val="204"/>
    </font>
    <font>
      <b/>
      <sz val="10"/>
      <color rgb="FFFF00FF"/>
      <name val="Arial Cyr"/>
      <family val="2"/>
      <charset val="204"/>
    </font>
    <font>
      <b/>
      <sz val="10"/>
      <color rgb="FFFF00FF"/>
      <name val="Arial Cyr"/>
      <charset val="204"/>
    </font>
    <font>
      <i/>
      <sz val="8"/>
      <color rgb="FFFF00FF"/>
      <name val="Arial"/>
      <family val="2"/>
      <charset val="204"/>
    </font>
    <font>
      <sz val="9"/>
      <color rgb="FFFF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2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9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0" fillId="0" borderId="0"/>
  </cellStyleXfs>
  <cellXfs count="1200">
    <xf numFmtId="0" fontId="0" fillId="0" borderId="0" xfId="0"/>
    <xf numFmtId="0" fontId="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8" fillId="0" borderId="0" xfId="0" applyNumberFormat="1" applyFont="1" applyFill="1" applyBorder="1" applyAlignment="1"/>
    <xf numFmtId="49" fontId="1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9" fontId="17" fillId="0" borderId="1" xfId="8" applyNumberFormat="1" applyFont="1" applyFill="1" applyBorder="1" applyAlignment="1">
      <alignment vertical="top" wrapText="1" shrinkToFit="1"/>
    </xf>
    <xf numFmtId="49" fontId="17" fillId="0" borderId="1" xfId="9" applyNumberFormat="1" applyFont="1" applyFill="1" applyBorder="1" applyAlignment="1">
      <alignment vertical="top" wrapText="1" shrinkToFit="1"/>
    </xf>
    <xf numFmtId="167" fontId="17" fillId="0" borderId="1" xfId="10" applyNumberFormat="1" applyFont="1" applyBorder="1" applyAlignment="1">
      <alignment horizontal="left" vertical="top" wrapText="1" shrinkToFi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" fontId="17" fillId="0" borderId="1" xfId="10" applyNumberFormat="1" applyFont="1" applyFill="1" applyBorder="1" applyAlignment="1">
      <alignment horizontal="left" vertical="top" wrapText="1" shrinkToFit="1"/>
    </xf>
    <xf numFmtId="49" fontId="26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left" vertical="top" wrapText="1" shrinkToFit="1"/>
    </xf>
    <xf numFmtId="49" fontId="30" fillId="0" borderId="0" xfId="0" applyNumberFormat="1" applyFont="1" applyFill="1" applyAlignment="1">
      <alignment vertical="top" wrapText="1"/>
    </xf>
    <xf numFmtId="49" fontId="30" fillId="0" borderId="0" xfId="0" applyNumberFormat="1" applyFont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Border="1" applyAlignment="1">
      <alignment vertical="top" wrapText="1"/>
    </xf>
    <xf numFmtId="0" fontId="22" fillId="0" borderId="0" xfId="0" applyFont="1" applyBorder="1" applyAlignment="1"/>
    <xf numFmtId="4" fontId="1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1" fillId="2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49" fontId="30" fillId="2" borderId="0" xfId="0" applyNumberFormat="1" applyFont="1" applyFill="1" applyAlignment="1">
      <alignment vertical="top" wrapText="1"/>
    </xf>
    <xf numFmtId="49" fontId="36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49" fontId="33" fillId="0" borderId="0" xfId="0" applyNumberFormat="1" applyFont="1" applyFill="1" applyAlignment="1">
      <alignment vertical="top" wrapText="1"/>
    </xf>
    <xf numFmtId="49" fontId="37" fillId="0" borderId="0" xfId="0" applyNumberFormat="1" applyFont="1" applyFill="1" applyAlignment="1">
      <alignment vertical="top" wrapText="1"/>
    </xf>
    <xf numFmtId="0" fontId="32" fillId="0" borderId="0" xfId="0" applyFont="1" applyFill="1"/>
    <xf numFmtId="49" fontId="31" fillId="0" borderId="0" xfId="0" applyNumberFormat="1" applyFont="1" applyFill="1" applyAlignment="1">
      <alignment vertical="top" wrapText="1"/>
    </xf>
    <xf numFmtId="49" fontId="11" fillId="0" borderId="1" xfId="9" applyNumberFormat="1" applyFont="1" applyFill="1" applyBorder="1" applyAlignment="1">
      <alignment vertical="top" wrapText="1" shrinkToFi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0" fontId="40" fillId="0" borderId="1" xfId="0" applyFont="1" applyFill="1" applyBorder="1" applyAlignment="1">
      <alignment wrapText="1"/>
    </xf>
    <xf numFmtId="49" fontId="17" fillId="0" borderId="1" xfId="7" applyNumberFormat="1" applyFont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49" fontId="19" fillId="0" borderId="1" xfId="8" applyNumberFormat="1" applyFont="1" applyFill="1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167" fontId="17" fillId="0" borderId="1" xfId="1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 shrinkToFit="1"/>
    </xf>
    <xf numFmtId="49" fontId="17" fillId="0" borderId="1" xfId="2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 shrinkToFit="1"/>
    </xf>
    <xf numFmtId="4" fontId="17" fillId="0" borderId="3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9" fillId="0" borderId="0" xfId="0" applyFont="1"/>
    <xf numFmtId="49" fontId="16" fillId="0" borderId="1" xfId="0" applyNumberFormat="1" applyFont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 shrinkToFit="1"/>
    </xf>
    <xf numFmtId="0" fontId="0" fillId="0" borderId="1" xfId="0" applyFont="1" applyBorder="1"/>
    <xf numFmtId="49" fontId="17" fillId="2" borderId="1" xfId="9" applyNumberFormat="1" applyFont="1" applyFill="1" applyBorder="1" applyAlignment="1">
      <alignment vertical="top" wrapText="1" shrinkToFit="1"/>
    </xf>
    <xf numFmtId="4" fontId="17" fillId="0" borderId="1" xfId="8" applyNumberFormat="1" applyFont="1" applyFill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left" vertical="top" wrapText="1" shrinkToFit="1"/>
    </xf>
    <xf numFmtId="167" fontId="17" fillId="0" borderId="1" xfId="0" applyNumberFormat="1" applyFont="1" applyFill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0" fontId="32" fillId="2" borderId="0" xfId="0" applyFont="1" applyFill="1"/>
    <xf numFmtId="4" fontId="11" fillId="0" borderId="3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" fontId="19" fillId="0" borderId="1" xfId="0" applyNumberFormat="1" applyFont="1" applyBorder="1" applyAlignment="1">
      <alignment horizontal="left" vertical="top" wrapText="1" shrinkToFit="1"/>
    </xf>
    <xf numFmtId="49" fontId="36" fillId="0" borderId="0" xfId="0" applyNumberFormat="1" applyFont="1" applyFill="1" applyAlignment="1">
      <alignment vertical="top" wrapText="1"/>
    </xf>
    <xf numFmtId="167" fontId="11" fillId="0" borderId="0" xfId="0" applyNumberFormat="1" applyFont="1" applyFill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167" fontId="17" fillId="2" borderId="1" xfId="0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left" vertical="top" wrapText="1" shrinkToFit="1"/>
    </xf>
    <xf numFmtId="4" fontId="11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" fontId="47" fillId="0" borderId="1" xfId="3" applyNumberFormat="1" applyFont="1" applyBorder="1" applyAlignment="1">
      <alignment vertical="top" wrapText="1" shrinkToFit="1"/>
    </xf>
    <xf numFmtId="4" fontId="47" fillId="0" borderId="1" xfId="18" applyNumberFormat="1" applyFont="1" applyFill="1" applyBorder="1" applyAlignment="1">
      <alignment vertical="top" wrapText="1" shrinkToFit="1"/>
    </xf>
    <xf numFmtId="4" fontId="47" fillId="0" borderId="1" xfId="3" applyNumberFormat="1" applyFont="1" applyFill="1" applyBorder="1" applyAlignment="1">
      <alignment vertical="top" wrapText="1" shrinkToFit="1"/>
    </xf>
    <xf numFmtId="49" fontId="35" fillId="0" borderId="3" xfId="0" applyNumberFormat="1" applyFont="1" applyFill="1" applyBorder="1" applyAlignment="1">
      <alignment vertical="top" wrapText="1" shrinkToFit="1"/>
    </xf>
    <xf numFmtId="4" fontId="47" fillId="0" borderId="3" xfId="3" applyNumberFormat="1" applyFont="1" applyFill="1" applyBorder="1" applyAlignment="1">
      <alignment vertical="top" wrapText="1" shrinkToFit="1"/>
    </xf>
    <xf numFmtId="49" fontId="47" fillId="0" borderId="1" xfId="2" applyNumberFormat="1" applyFont="1" applyFill="1" applyBorder="1" applyAlignment="1">
      <alignment vertical="top" wrapText="1" shrinkToFit="1"/>
    </xf>
    <xf numFmtId="49" fontId="17" fillId="0" borderId="1" xfId="2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49" fontId="17" fillId="2" borderId="1" xfId="8" applyNumberFormat="1" applyFont="1" applyFill="1" applyBorder="1" applyAlignment="1">
      <alignment vertical="top" wrapText="1" shrinkToFit="1"/>
    </xf>
    <xf numFmtId="49" fontId="17" fillId="0" borderId="3" xfId="8" applyNumberFormat="1" applyFont="1" applyFill="1" applyBorder="1" applyAlignment="1">
      <alignment vertical="top" wrapText="1" shrinkToFit="1"/>
    </xf>
    <xf numFmtId="49" fontId="17" fillId="0" borderId="5" xfId="0" applyNumberFormat="1" applyFont="1" applyFill="1" applyBorder="1" applyAlignment="1">
      <alignment vertical="top" wrapText="1"/>
    </xf>
    <xf numFmtId="49" fontId="17" fillId="2" borderId="1" xfId="7" applyNumberFormat="1" applyFont="1" applyFill="1" applyBorder="1" applyAlignment="1">
      <alignment vertical="top" wrapText="1" shrinkToFit="1"/>
    </xf>
    <xf numFmtId="4" fontId="17" fillId="0" borderId="3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167" fontId="11" fillId="0" borderId="1" xfId="0" applyNumberFormat="1" applyFont="1" applyFill="1" applyBorder="1" applyAlignment="1">
      <alignment horizontal="left" vertical="top" wrapText="1" shrinkToFit="1"/>
    </xf>
    <xf numFmtId="167" fontId="11" fillId="2" borderId="1" xfId="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Fill="1" applyBorder="1" applyAlignment="1">
      <alignment horizontal="left" vertical="top" wrapText="1"/>
    </xf>
    <xf numFmtId="49" fontId="11" fillId="0" borderId="3" xfId="9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vertical="top" wrapText="1" shrinkToFit="1"/>
    </xf>
    <xf numFmtId="49" fontId="41" fillId="0" borderId="1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vertical="top" wrapText="1"/>
    </xf>
    <xf numFmtId="49" fontId="46" fillId="0" borderId="3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vertical="top" wrapText="1" shrinkToFit="1"/>
    </xf>
    <xf numFmtId="49" fontId="43" fillId="0" borderId="6" xfId="0" applyNumberFormat="1" applyFont="1" applyFill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 shrinkToFit="1"/>
    </xf>
    <xf numFmtId="49" fontId="43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vertical="top" wrapText="1" shrinkToFit="1"/>
    </xf>
    <xf numFmtId="0" fontId="17" fillId="0" borderId="1" xfId="0" applyNumberFormat="1" applyFont="1" applyFill="1" applyBorder="1" applyAlignment="1">
      <alignment horizontal="right" vertical="top" wrapText="1"/>
    </xf>
    <xf numFmtId="167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35" fillId="0" borderId="1" xfId="8" applyNumberFormat="1" applyFont="1" applyFill="1" applyBorder="1" applyAlignment="1">
      <alignment vertical="top" wrapText="1" shrinkToFit="1"/>
    </xf>
    <xf numFmtId="49" fontId="20" fillId="0" borderId="1" xfId="8" applyNumberFormat="1" applyFont="1" applyFill="1" applyBorder="1" applyAlignment="1">
      <alignment vertical="top" wrapText="1" shrinkToFit="1"/>
    </xf>
    <xf numFmtId="49" fontId="35" fillId="0" borderId="1" xfId="0" applyNumberFormat="1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horizontal="right" vertical="top" wrapText="1"/>
    </xf>
    <xf numFmtId="49" fontId="35" fillId="0" borderId="1" xfId="9" applyNumberFormat="1" applyFont="1" applyFill="1" applyBorder="1" applyAlignment="1">
      <alignment vertical="top" wrapText="1" shrinkToFit="1"/>
    </xf>
    <xf numFmtId="0" fontId="17" fillId="0" borderId="1" xfId="1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0" fontId="17" fillId="2" borderId="1" xfId="0" applyNumberFormat="1" applyFont="1" applyFill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7" fillId="2" borderId="1" xfId="10" applyNumberFormat="1" applyFont="1" applyFill="1" applyBorder="1" applyAlignment="1">
      <alignment horizontal="left" vertical="top" wrapText="1" shrinkToFit="1"/>
    </xf>
    <xf numFmtId="0" fontId="44" fillId="0" borderId="0" xfId="0" applyFont="1" applyFill="1"/>
    <xf numFmtId="0" fontId="44" fillId="0" borderId="0" xfId="0" applyFont="1"/>
    <xf numFmtId="167" fontId="16" fillId="0" borderId="1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/>
    </xf>
    <xf numFmtId="49" fontId="53" fillId="0" borderId="0" xfId="0" applyNumberFormat="1" applyFont="1" applyFill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5" fillId="0" borderId="1" xfId="0" applyFont="1" applyFill="1" applyBorder="1" applyAlignment="1">
      <alignment vertical="top" wrapText="1"/>
    </xf>
    <xf numFmtId="0" fontId="56" fillId="0" borderId="0" xfId="0" applyFont="1"/>
    <xf numFmtId="49" fontId="57" fillId="0" borderId="0" xfId="0" applyNumberFormat="1" applyFont="1" applyAlignment="1">
      <alignment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7" fillId="0" borderId="0" xfId="0" applyNumberFormat="1" applyFont="1" applyFill="1" applyAlignment="1">
      <alignment vertical="top" wrapText="1"/>
    </xf>
    <xf numFmtId="49" fontId="59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57" fillId="0" borderId="3" xfId="0" applyNumberFormat="1" applyFont="1" applyFill="1" applyBorder="1" applyAlignment="1">
      <alignment vertical="top" wrapText="1"/>
    </xf>
    <xf numFmtId="49" fontId="51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 shrinkToFit="1"/>
    </xf>
    <xf numFmtId="49" fontId="47" fillId="0" borderId="2" xfId="11" applyNumberFormat="1" applyFont="1" applyFill="1" applyBorder="1" applyAlignment="1">
      <alignment horizontal="left" vertical="top" wrapText="1" shrinkToFit="1"/>
    </xf>
    <xf numFmtId="49" fontId="47" fillId="0" borderId="2" xfId="11" applyNumberFormat="1" applyFont="1" applyBorder="1" applyAlignment="1">
      <alignment horizontal="left" vertical="top" wrapText="1" shrinkToFit="1"/>
    </xf>
    <xf numFmtId="49" fontId="47" fillId="0" borderId="14" xfId="11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Fill="1" applyBorder="1" applyAlignment="1">
      <alignment vertical="top" wrapText="1" shrinkToFit="1"/>
    </xf>
    <xf numFmtId="49" fontId="17" fillId="0" borderId="1" xfId="6" applyNumberFormat="1" applyFont="1" applyFill="1" applyBorder="1" applyAlignment="1">
      <alignment vertical="top" wrapText="1" shrinkToFit="1"/>
    </xf>
    <xf numFmtId="4" fontId="17" fillId="0" borderId="1" xfId="6" applyNumberFormat="1" applyFont="1" applyFill="1" applyBorder="1" applyAlignment="1">
      <alignment horizontal="right" vertical="top" wrapText="1" shrinkToFit="1"/>
    </xf>
    <xf numFmtId="49" fontId="17" fillId="0" borderId="1" xfId="10" applyNumberFormat="1" applyFont="1" applyFill="1" applyBorder="1" applyAlignment="1">
      <alignment vertical="top" wrapText="1" shrinkToFit="1"/>
    </xf>
    <xf numFmtId="49" fontId="57" fillId="0" borderId="1" xfId="8" applyNumberFormat="1" applyFont="1" applyFill="1" applyBorder="1" applyAlignment="1">
      <alignment vertical="top" wrapText="1" shrinkToFit="1"/>
    </xf>
    <xf numFmtId="49" fontId="17" fillId="0" borderId="3" xfId="9" applyNumberFormat="1" applyFont="1" applyFill="1" applyBorder="1" applyAlignment="1">
      <alignment vertical="top" wrapText="1" shrinkToFit="1"/>
    </xf>
    <xf numFmtId="167" fontId="17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Border="1" applyAlignment="1">
      <alignment vertical="top" wrapText="1" shrinkToFit="1"/>
    </xf>
    <xf numFmtId="167" fontId="11" fillId="0" borderId="3" xfId="0" applyNumberFormat="1" applyFont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left" vertical="top" wrapText="1"/>
    </xf>
    <xf numFmtId="4" fontId="57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7" fontId="19" fillId="0" borderId="1" xfId="1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vertical="top" wrapText="1" shrinkToFit="1"/>
    </xf>
    <xf numFmtId="49" fontId="17" fillId="2" borderId="4" xfId="0" applyNumberFormat="1" applyFont="1" applyFill="1" applyBorder="1" applyAlignment="1">
      <alignment vertical="top" wrapText="1" shrinkToFit="1"/>
    </xf>
    <xf numFmtId="49" fontId="17" fillId="2" borderId="5" xfId="0" applyNumberFormat="1" applyFont="1" applyFill="1" applyBorder="1" applyAlignment="1">
      <alignment vertical="top" wrapText="1" shrinkToFit="1"/>
    </xf>
    <xf numFmtId="49" fontId="63" fillId="0" borderId="0" xfId="0" applyNumberFormat="1" applyFont="1" applyAlignment="1">
      <alignment vertical="top" wrapText="1"/>
    </xf>
    <xf numFmtId="49" fontId="19" fillId="0" borderId="4" xfId="0" applyNumberFormat="1" applyFont="1" applyFill="1" applyBorder="1" applyAlignment="1">
      <alignment vertical="top" wrapText="1" shrinkToFit="1"/>
    </xf>
    <xf numFmtId="49" fontId="54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62" fillId="0" borderId="0" xfId="0" applyNumberFormat="1" applyFont="1" applyFill="1" applyAlignment="1">
      <alignment vertical="top" wrapText="1"/>
    </xf>
    <xf numFmtId="167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6" fontId="55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left" vertical="top"/>
    </xf>
    <xf numFmtId="49" fontId="17" fillId="0" borderId="4" xfId="8" applyNumberFormat="1" applyFont="1" applyFill="1" applyBorder="1" applyAlignment="1">
      <alignment vertical="top" wrapText="1" shrinkToFit="1"/>
    </xf>
    <xf numFmtId="4" fontId="17" fillId="0" borderId="4" xfId="0" applyNumberFormat="1" applyFont="1" applyFill="1" applyBorder="1" applyAlignment="1">
      <alignment vertical="top" wrapText="1"/>
    </xf>
    <xf numFmtId="49" fontId="17" fillId="2" borderId="1" xfId="10" applyNumberFormat="1" applyFont="1" applyFill="1" applyBorder="1" applyAlignment="1">
      <alignment vertical="top" wrapText="1" shrinkToFit="1"/>
    </xf>
    <xf numFmtId="49" fontId="41" fillId="0" borderId="1" xfId="0" applyNumberFormat="1" applyFont="1" applyBorder="1" applyAlignment="1">
      <alignment vertical="top" wrapText="1"/>
    </xf>
    <xf numFmtId="167" fontId="41" fillId="0" borderId="6" xfId="0" applyNumberFormat="1" applyFont="1" applyBorder="1" applyAlignment="1">
      <alignment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167" fontId="41" fillId="0" borderId="1" xfId="0" applyNumberFormat="1" applyFont="1" applyBorder="1" applyAlignment="1">
      <alignment vertical="top" wrapText="1"/>
    </xf>
    <xf numFmtId="4" fontId="57" fillId="0" borderId="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 wrapText="1"/>
    </xf>
    <xf numFmtId="4" fontId="57" fillId="0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Fill="1" applyBorder="1" applyAlignment="1">
      <alignment horizontal="left" vertical="top" wrapText="1"/>
    </xf>
    <xf numFmtId="49" fontId="57" fillId="0" borderId="14" xfId="0" applyNumberFormat="1" applyFont="1" applyFill="1" applyBorder="1" applyAlignment="1">
      <alignment horizontal="left" vertical="top" wrapText="1"/>
    </xf>
    <xf numFmtId="49" fontId="57" fillId="0" borderId="2" xfId="0" applyNumberFormat="1" applyFont="1" applyFill="1" applyBorder="1" applyAlignment="1">
      <alignment vertical="top" wrapText="1"/>
    </xf>
    <xf numFmtId="4" fontId="47" fillId="0" borderId="9" xfId="18" applyNumberFormat="1" applyFont="1" applyFill="1" applyBorder="1" applyAlignment="1">
      <alignment vertical="top" wrapText="1" shrinkToFit="1"/>
    </xf>
    <xf numFmtId="49" fontId="11" fillId="0" borderId="14" xfId="0" applyNumberFormat="1" applyFont="1" applyFill="1" applyBorder="1" applyAlignment="1">
      <alignment vertical="top" wrapText="1"/>
    </xf>
    <xf numFmtId="4" fontId="47" fillId="0" borderId="6" xfId="3" applyNumberFormat="1" applyFont="1" applyFill="1" applyBorder="1" applyAlignment="1">
      <alignment vertical="top" wrapText="1" shrinkToFit="1"/>
    </xf>
    <xf numFmtId="49" fontId="11" fillId="0" borderId="9" xfId="0" applyNumberFormat="1" applyFont="1" applyFill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2" fontId="41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4" fontId="45" fillId="0" borderId="0" xfId="26" applyNumberFormat="1" applyFont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65" fillId="0" borderId="0" xfId="0" applyFont="1" applyFill="1"/>
    <xf numFmtId="0" fontId="17" fillId="0" borderId="1" xfId="0" applyFont="1" applyFill="1" applyBorder="1" applyAlignment="1">
      <alignment horizontal="left" vertical="top" wrapText="1" shrinkToFit="1"/>
    </xf>
    <xf numFmtId="49" fontId="68" fillId="0" borderId="0" xfId="0" applyNumberFormat="1" applyFont="1" applyFill="1" applyAlignment="1">
      <alignment vertical="top" wrapText="1"/>
    </xf>
    <xf numFmtId="0" fontId="64" fillId="0" borderId="0" xfId="0" applyFont="1" applyFill="1"/>
    <xf numFmtId="0" fontId="64" fillId="0" borderId="0" xfId="0" applyFont="1"/>
    <xf numFmtId="49" fontId="41" fillId="0" borderId="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55" fillId="0" borderId="3" xfId="0" applyFont="1" applyFill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14" fontId="55" fillId="0" borderId="1" xfId="0" applyNumberFormat="1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167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horizontal="right" vertical="top" wrapText="1"/>
    </xf>
    <xf numFmtId="4" fontId="55" fillId="0" borderId="1" xfId="0" applyNumberFormat="1" applyFont="1" applyFill="1" applyBorder="1" applyAlignment="1">
      <alignment horizontal="left" vertical="top" wrapText="1"/>
    </xf>
    <xf numFmtId="4" fontId="55" fillId="0" borderId="1" xfId="0" applyNumberFormat="1" applyFont="1" applyBorder="1" applyAlignment="1">
      <alignment vertical="top" wrapText="1"/>
    </xf>
    <xf numFmtId="4" fontId="55" fillId="0" borderId="3" xfId="0" applyNumberFormat="1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167" fontId="55" fillId="0" borderId="1" xfId="0" applyNumberFormat="1" applyFont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49" fontId="69" fillId="3" borderId="1" xfId="0" applyNumberFormat="1" applyFont="1" applyFill="1" applyBorder="1" applyAlignment="1">
      <alignment horizontal="center" vertical="top" wrapText="1"/>
    </xf>
    <xf numFmtId="0" fontId="69" fillId="3" borderId="1" xfId="0" applyFont="1" applyFill="1" applyBorder="1" applyAlignment="1">
      <alignment horizontal="center" vertical="top" wrapText="1"/>
    </xf>
    <xf numFmtId="2" fontId="69" fillId="3" borderId="1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/>
    <xf numFmtId="49" fontId="16" fillId="0" borderId="0" xfId="0" applyNumberFormat="1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 shrinkToFit="1"/>
    </xf>
    <xf numFmtId="167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Fill="1" applyBorder="1" applyAlignment="1">
      <alignment horizontal="center" vertical="top" wrapText="1" shrinkToFit="1"/>
    </xf>
    <xf numFmtId="167" fontId="17" fillId="0" borderId="1" xfId="10" applyNumberFormat="1" applyFont="1" applyBorder="1" applyAlignment="1">
      <alignment horizontal="center" vertical="top" wrapText="1" shrinkToFit="1"/>
    </xf>
    <xf numFmtId="49" fontId="17" fillId="0" borderId="1" xfId="0" applyNumberFormat="1" applyFont="1" applyBorder="1" applyAlignment="1">
      <alignment horizontal="center" vertical="top" wrapText="1" shrinkToFit="1"/>
    </xf>
    <xf numFmtId="0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center" vertical="top" wrapText="1" shrinkToFit="1"/>
    </xf>
    <xf numFmtId="49" fontId="17" fillId="0" borderId="1" xfId="6" applyNumberFormat="1" applyFont="1" applyFill="1" applyBorder="1" applyAlignment="1">
      <alignment horizontal="center" vertical="top" wrapText="1" shrinkToFit="1"/>
    </xf>
    <xf numFmtId="167" fontId="17" fillId="0" borderId="1" xfId="6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Border="1" applyAlignment="1">
      <alignment horizontal="center" vertical="top" wrapText="1"/>
    </xf>
    <xf numFmtId="167" fontId="17" fillId="0" borderId="1" xfId="0" applyNumberFormat="1" applyFont="1" applyFill="1" applyBorder="1" applyAlignment="1">
      <alignment horizontal="center" vertical="top" wrapText="1" shrinkToFit="1"/>
    </xf>
    <xf numFmtId="167" fontId="17" fillId="2" borderId="1" xfId="1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/>
    </xf>
    <xf numFmtId="168" fontId="17" fillId="0" borderId="1" xfId="10" applyNumberFormat="1" applyFont="1" applyFill="1" applyBorder="1" applyAlignment="1">
      <alignment horizontal="center" vertical="top" wrapText="1" shrinkToFit="1"/>
    </xf>
    <xf numFmtId="4" fontId="17" fillId="2" borderId="1" xfId="10" applyNumberFormat="1" applyFont="1" applyFill="1" applyBorder="1" applyAlignment="1">
      <alignment horizontal="center" vertical="top" wrapText="1" shrinkToFit="1"/>
    </xf>
    <xf numFmtId="167" fontId="35" fillId="0" borderId="1" xfId="10" applyNumberFormat="1" applyFont="1" applyFill="1" applyBorder="1" applyAlignment="1">
      <alignment horizontal="center" vertical="top" wrapText="1" shrinkToFit="1"/>
    </xf>
    <xf numFmtId="49" fontId="35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49" fontId="57" fillId="0" borderId="1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 shrinkToFit="1"/>
    </xf>
    <xf numFmtId="49" fontId="43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 shrinkToFit="1"/>
    </xf>
    <xf numFmtId="14" fontId="17" fillId="0" borderId="3" xfId="0" applyNumberFormat="1" applyFont="1" applyFill="1" applyBorder="1" applyAlignment="1">
      <alignment horizontal="center" vertical="top" wrapText="1" shrinkToFi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4" fontId="55" fillId="0" borderId="1" xfId="0" applyNumberFormat="1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right" vertical="top" wrapText="1"/>
    </xf>
    <xf numFmtId="0" fontId="55" fillId="0" borderId="1" xfId="0" applyNumberFormat="1" applyFont="1" applyFill="1" applyBorder="1" applyAlignment="1">
      <alignment vertical="top" wrapText="1"/>
    </xf>
    <xf numFmtId="167" fontId="17" fillId="0" borderId="3" xfId="0" applyNumberFormat="1" applyFont="1" applyFill="1" applyBorder="1" applyAlignment="1">
      <alignment horizontal="left" vertical="top" wrapText="1" shrinkToFit="1"/>
    </xf>
    <xf numFmtId="0" fontId="9" fillId="0" borderId="1" xfId="0" applyFont="1" applyBorder="1"/>
    <xf numFmtId="49" fontId="2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55" fillId="0" borderId="1" xfId="0" applyNumberFormat="1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/>
    </xf>
    <xf numFmtId="2" fontId="55" fillId="0" borderId="0" xfId="0" applyNumberFormat="1" applyFont="1" applyFill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69" fillId="3" borderId="1" xfId="0" applyNumberFormat="1" applyFont="1" applyFill="1" applyBorder="1" applyAlignment="1">
      <alignment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 shrinkToFit="1"/>
    </xf>
    <xf numFmtId="4" fontId="12" fillId="0" borderId="3" xfId="0" applyNumberFormat="1" applyFont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2" fontId="69" fillId="0" borderId="0" xfId="0" applyNumberFormat="1" applyFont="1" applyFill="1" applyAlignment="1">
      <alignment vertical="top" wrapText="1"/>
    </xf>
    <xf numFmtId="0" fontId="69" fillId="0" borderId="0" xfId="0" applyFont="1" applyAlignment="1">
      <alignment vertical="top" wrapText="1"/>
    </xf>
    <xf numFmtId="49" fontId="17" fillId="0" borderId="9" xfId="0" applyNumberFormat="1" applyFont="1" applyFill="1" applyBorder="1" applyAlignment="1">
      <alignment vertical="top" wrapText="1" shrinkToFit="1"/>
    </xf>
    <xf numFmtId="49" fontId="17" fillId="2" borderId="5" xfId="9" applyNumberFormat="1" applyFont="1" applyFill="1" applyBorder="1" applyAlignment="1">
      <alignment vertical="top" wrapText="1" shrinkToFit="1"/>
    </xf>
    <xf numFmtId="0" fontId="72" fillId="0" borderId="0" xfId="0" applyFont="1" applyAlignment="1">
      <alignment horizont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24" fillId="0" borderId="0" xfId="0" applyFont="1" applyAlignment="1">
      <alignment vertical="top"/>
    </xf>
    <xf numFmtId="49" fontId="17" fillId="2" borderId="2" xfId="0" applyNumberFormat="1" applyFont="1" applyFill="1" applyBorder="1" applyAlignment="1">
      <alignment vertical="top" wrapText="1"/>
    </xf>
    <xf numFmtId="49" fontId="17" fillId="2" borderId="6" xfId="0" applyNumberFormat="1" applyFont="1" applyFill="1" applyBorder="1" applyAlignment="1">
      <alignment vertical="top" wrapText="1"/>
    </xf>
    <xf numFmtId="167" fontId="17" fillId="0" borderId="3" xfId="0" applyNumberFormat="1" applyFont="1" applyBorder="1" applyAlignment="1">
      <alignment horizontal="left" vertical="top" wrapText="1" shrinkToFit="1"/>
    </xf>
    <xf numFmtId="167" fontId="17" fillId="0" borderId="3" xfId="0" applyNumberFormat="1" applyFont="1" applyFill="1" applyBorder="1" applyAlignment="1">
      <alignment horizontal="left" vertical="top" wrapText="1"/>
    </xf>
    <xf numFmtId="167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Fill="1" applyBorder="1" applyAlignment="1">
      <alignment vertical="top" wrapText="1" shrinkToFit="1"/>
    </xf>
    <xf numFmtId="49" fontId="17" fillId="0" borderId="2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49" fontId="57" fillId="0" borderId="1" xfId="9" applyNumberFormat="1" applyFont="1" applyFill="1" applyBorder="1" applyAlignment="1">
      <alignment vertical="top" wrapText="1" shrinkToFit="1"/>
    </xf>
    <xf numFmtId="49" fontId="11" fillId="0" borderId="1" xfId="8" applyNumberFormat="1" applyFont="1" applyFill="1" applyBorder="1" applyAlignment="1">
      <alignment horizontal="left" vertical="top" wrapText="1" shrinkToFit="1"/>
    </xf>
    <xf numFmtId="0" fontId="57" fillId="0" borderId="14" xfId="0" applyNumberFormat="1" applyFont="1" applyFill="1" applyBorder="1" applyAlignment="1">
      <alignment horizontal="left" vertical="top" wrapText="1"/>
    </xf>
    <xf numFmtId="49" fontId="17" fillId="0" borderId="3" xfId="19" applyNumberFormat="1" applyFont="1" applyFill="1" applyBorder="1" applyAlignment="1">
      <alignment vertical="top" wrapText="1" shrinkToFit="1"/>
    </xf>
    <xf numFmtId="0" fontId="11" fillId="0" borderId="2" xfId="0" applyNumberFormat="1" applyFont="1" applyFill="1" applyBorder="1" applyAlignment="1">
      <alignment horizontal="left" vertical="top" wrapText="1"/>
    </xf>
    <xf numFmtId="4" fontId="47" fillId="0" borderId="6" xfId="18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 shrinkToFit="1"/>
    </xf>
    <xf numFmtId="0" fontId="11" fillId="0" borderId="2" xfId="0" applyNumberFormat="1" applyFont="1" applyBorder="1" applyAlignment="1">
      <alignment horizontal="left" vertical="top" wrapText="1"/>
    </xf>
    <xf numFmtId="49" fontId="47" fillId="0" borderId="2" xfId="21" applyNumberFormat="1" applyFont="1" applyFill="1" applyBorder="1" applyAlignment="1">
      <alignment horizontal="left" vertical="top" wrapText="1" shrinkToFit="1"/>
    </xf>
    <xf numFmtId="4" fontId="47" fillId="0" borderId="3" xfId="18" applyNumberFormat="1" applyFont="1" applyFill="1" applyBorder="1" applyAlignment="1">
      <alignment vertical="top" wrapText="1" shrinkToFi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 shrinkToFit="1"/>
    </xf>
    <xf numFmtId="49" fontId="11" fillId="0" borderId="6" xfId="0" applyNumberFormat="1" applyFont="1" applyFill="1" applyBorder="1" applyAlignment="1">
      <alignment vertical="top" wrapText="1" shrinkToFit="1"/>
    </xf>
    <xf numFmtId="4" fontId="17" fillId="0" borderId="3" xfId="20" applyNumberFormat="1" applyFont="1" applyFill="1" applyBorder="1" applyAlignment="1">
      <alignment vertical="top" wrapText="1" shrinkToFit="1"/>
    </xf>
    <xf numFmtId="4" fontId="47" fillId="0" borderId="9" xfId="3" applyNumberFormat="1" applyFont="1" applyFill="1" applyBorder="1" applyAlignment="1">
      <alignment vertical="top" wrapText="1" shrinkToFit="1"/>
    </xf>
    <xf numFmtId="49" fontId="47" fillId="0" borderId="2" xfId="21" applyNumberFormat="1" applyFont="1" applyBorder="1" applyAlignment="1">
      <alignment vertical="top" wrapText="1" shrinkToFit="1"/>
    </xf>
    <xf numFmtId="4" fontId="57" fillId="0" borderId="1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167" fontId="57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top" wrapText="1" shrinkToFit="1"/>
    </xf>
    <xf numFmtId="49" fontId="41" fillId="0" borderId="5" xfId="0" applyNumberFormat="1" applyFont="1" applyBorder="1" applyAlignment="1">
      <alignment horizontal="center" vertical="top" wrapText="1" shrinkToFit="1"/>
    </xf>
    <xf numFmtId="0" fontId="11" fillId="0" borderId="14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center" vertical="top" wrapText="1"/>
    </xf>
    <xf numFmtId="49" fontId="61" fillId="0" borderId="0" xfId="0" applyNumberFormat="1" applyFont="1" applyAlignment="1">
      <alignment vertical="top" wrapText="1"/>
    </xf>
    <xf numFmtId="49" fontId="61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1" fillId="0" borderId="1" xfId="0" applyNumberFormat="1" applyFont="1" applyFill="1" applyBorder="1" applyAlignment="1">
      <alignment horizontal="left" vertical="top" wrapText="1" shrinkToFit="1"/>
    </xf>
    <xf numFmtId="49" fontId="61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1" fillId="0" borderId="1" xfId="0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1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0" fontId="55" fillId="0" borderId="5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78" fillId="0" borderId="1" xfId="0" applyNumberFormat="1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4" fontId="17" fillId="0" borderId="1" xfId="20" applyNumberFormat="1" applyFont="1" applyFill="1" applyBorder="1" applyAlignment="1">
      <alignment vertical="top" wrapText="1" shrinkToFit="1"/>
    </xf>
    <xf numFmtId="49" fontId="17" fillId="0" borderId="1" xfId="10" applyNumberFormat="1" applyFont="1" applyFill="1" applyBorder="1" applyAlignment="1">
      <alignment horizontal="center" vertical="top" wrapText="1" shrinkToFit="1"/>
    </xf>
    <xf numFmtId="0" fontId="11" fillId="0" borderId="1" xfId="10" applyNumberFormat="1" applyFont="1" applyFill="1" applyBorder="1" applyAlignment="1">
      <alignment horizontal="center" vertical="top" wrapText="1" shrinkToFit="1"/>
    </xf>
    <xf numFmtId="168" fontId="11" fillId="0" borderId="1" xfId="10" applyNumberFormat="1" applyFont="1" applyFill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 shrinkToFit="1"/>
    </xf>
    <xf numFmtId="2" fontId="17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57" fillId="0" borderId="5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0" fontId="0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 shrinkToFit="1"/>
    </xf>
    <xf numFmtId="0" fontId="57" fillId="0" borderId="2" xfId="0" applyFont="1" applyFill="1" applyBorder="1" applyAlignment="1">
      <alignment vertical="top" wrapText="1"/>
    </xf>
    <xf numFmtId="0" fontId="7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6" fontId="0" fillId="0" borderId="1" xfId="0" applyNumberFormat="1" applyFont="1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1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9" fillId="0" borderId="1" xfId="0" applyNumberFormat="1" applyFont="1" applyFill="1" applyBorder="1" applyAlignment="1">
      <alignment vertical="top" wrapText="1" shrinkToFit="1"/>
    </xf>
    <xf numFmtId="4" fontId="9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3" fillId="0" borderId="5" xfId="0" applyFont="1" applyFill="1" applyBorder="1" applyAlignment="1">
      <alignment horizontal="right" vertical="top"/>
    </xf>
    <xf numFmtId="4" fontId="13" fillId="0" borderId="5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3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0" fontId="13" fillId="0" borderId="2" xfId="0" applyFont="1" applyFill="1" applyBorder="1" applyAlignment="1">
      <alignment horizontal="right" vertical="top"/>
    </xf>
    <xf numFmtId="0" fontId="13" fillId="0" borderId="6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4" fontId="13" fillId="0" borderId="5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 shrinkToFit="1"/>
    </xf>
    <xf numFmtId="0" fontId="9" fillId="0" borderId="3" xfId="0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 shrinkToFi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/>
    </xf>
    <xf numFmtId="0" fontId="83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1" fontId="83" fillId="0" borderId="1" xfId="0" applyNumberFormat="1" applyFont="1" applyFill="1" applyBorder="1" applyAlignment="1">
      <alignment horizontal="center" vertical="top" wrapText="1" shrinkToFit="1"/>
    </xf>
    <xf numFmtId="4" fontId="0" fillId="0" borderId="2" xfId="0" applyNumberFormat="1" applyFont="1" applyFill="1" applyBorder="1" applyAlignment="1">
      <alignment horizontal="right" vertical="top" wrapText="1"/>
    </xf>
    <xf numFmtId="0" fontId="83" fillId="0" borderId="1" xfId="0" applyNumberFormat="1" applyFont="1" applyFill="1" applyBorder="1" applyAlignment="1">
      <alignment vertical="top" wrapText="1" shrinkToFit="1"/>
    </xf>
    <xf numFmtId="4" fontId="83" fillId="0" borderId="1" xfId="0" applyNumberFormat="1" applyFont="1" applyFill="1" applyBorder="1" applyAlignment="1">
      <alignment vertical="top" wrapText="1"/>
    </xf>
    <xf numFmtId="0" fontId="84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85" fillId="0" borderId="1" xfId="0" applyFont="1" applyFill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4" fontId="83" fillId="0" borderId="1" xfId="0" applyNumberFormat="1" applyFont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49" fontId="47" fillId="0" borderId="1" xfId="17" applyNumberFormat="1" applyFont="1" applyFill="1" applyBorder="1" applyAlignment="1">
      <alignment vertical="top" wrapText="1" shrinkToFit="1"/>
    </xf>
    <xf numFmtId="4" fontId="17" fillId="0" borderId="5" xfId="20" applyNumberFormat="1" applyFont="1" applyFill="1" applyBorder="1" applyAlignment="1">
      <alignment horizontal="right" vertical="top" wrapText="1" shrinkToFit="1"/>
    </xf>
    <xf numFmtId="49" fontId="47" fillId="0" borderId="1" xfId="2" applyNumberFormat="1" applyFont="1" applyBorder="1" applyAlignment="1">
      <alignment vertical="top" wrapText="1" shrinkToFit="1"/>
    </xf>
    <xf numFmtId="0" fontId="11" fillId="0" borderId="1" xfId="0" applyFont="1" applyFill="1" applyBorder="1" applyAlignment="1">
      <alignment horizontal="center"/>
    </xf>
    <xf numFmtId="4" fontId="17" fillId="0" borderId="1" xfId="5" applyNumberFormat="1" applyFont="1" applyFill="1" applyBorder="1" applyAlignment="1">
      <alignment vertical="top" wrapText="1" shrinkToFit="1"/>
    </xf>
    <xf numFmtId="169" fontId="17" fillId="0" borderId="2" xfId="0" applyNumberFormat="1" applyFont="1" applyBorder="1" applyAlignment="1">
      <alignment horizontal="left" vertical="top" wrapText="1" shrinkToFit="1"/>
    </xf>
    <xf numFmtId="165" fontId="11" fillId="0" borderId="1" xfId="1" applyFont="1" applyFill="1" applyBorder="1" applyAlignment="1">
      <alignment horizontal="left" vertical="top" wrapText="1"/>
    </xf>
    <xf numFmtId="165" fontId="11" fillId="0" borderId="1" xfId="1" applyFont="1" applyFill="1" applyBorder="1" applyAlignment="1">
      <alignment vertical="top" wrapText="1"/>
    </xf>
    <xf numFmtId="14" fontId="11" fillId="0" borderId="3" xfId="0" applyNumberFormat="1" applyFont="1" applyFill="1" applyBorder="1" applyAlignment="1">
      <alignment horizontal="righ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49" fontId="17" fillId="0" borderId="5" xfId="0" applyNumberFormat="1" applyFont="1" applyFill="1" applyBorder="1" applyAlignment="1">
      <alignment horizontal="center" vertical="top" wrapText="1"/>
    </xf>
    <xf numFmtId="4" fontId="87" fillId="0" borderId="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7" fillId="0" borderId="3" xfId="10" applyNumberFormat="1" applyFont="1" applyFill="1" applyBorder="1" applyAlignment="1">
      <alignment horizontal="center" vertical="top" wrapText="1" shrinkToFit="1"/>
    </xf>
    <xf numFmtId="0" fontId="17" fillId="0" borderId="5" xfId="10" applyNumberFormat="1" applyFont="1" applyFill="1" applyBorder="1" applyAlignment="1">
      <alignment horizontal="center" vertical="top" wrapText="1" shrinkToFit="1"/>
    </xf>
    <xf numFmtId="49" fontId="11" fillId="0" borderId="5" xfId="0" applyNumberFormat="1" applyFont="1" applyFill="1" applyBorder="1" applyAlignment="1">
      <alignment vertical="top" wrapText="1"/>
    </xf>
    <xf numFmtId="4" fontId="55" fillId="0" borderId="1" xfId="0" applyNumberFormat="1" applyFont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1" xfId="0" applyFont="1" applyFill="1" applyBorder="1"/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" fontId="55" fillId="0" borderId="1" xfId="0" applyNumberFormat="1" applyFont="1" applyFill="1" applyBorder="1" applyAlignment="1">
      <alignment horizontal="right" vertical="top" wrapText="1" shrinkToFit="1"/>
    </xf>
    <xf numFmtId="4" fontId="55" fillId="0" borderId="1" xfId="0" applyNumberFormat="1" applyFont="1" applyBorder="1" applyAlignment="1">
      <alignment vertical="top" wrapText="1" shrinkToFit="1"/>
    </xf>
    <xf numFmtId="4" fontId="9" fillId="0" borderId="5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168" fontId="9" fillId="0" borderId="1" xfId="0" applyNumberFormat="1" applyFont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 shrinkToFit="1"/>
    </xf>
    <xf numFmtId="49" fontId="11" fillId="0" borderId="4" xfId="0" applyNumberFormat="1" applyFont="1" applyBorder="1" applyAlignment="1">
      <alignment vertical="top" wrapText="1"/>
    </xf>
    <xf numFmtId="169" fontId="17" fillId="0" borderId="1" xfId="9" applyNumberFormat="1" applyFont="1" applyFill="1" applyBorder="1" applyAlignment="1">
      <alignment vertical="top" wrapText="1" shrinkToFit="1"/>
    </xf>
    <xf numFmtId="49" fontId="17" fillId="0" borderId="3" xfId="8" applyNumberFormat="1" applyFont="1" applyBorder="1" applyAlignment="1">
      <alignment vertical="top" wrapText="1" shrinkToFit="1"/>
    </xf>
    <xf numFmtId="0" fontId="24" fillId="0" borderId="1" xfId="0" applyFont="1" applyBorder="1"/>
    <xf numFmtId="4" fontId="17" fillId="0" borderId="1" xfId="8" applyNumberFormat="1" applyFont="1" applyFill="1" applyBorder="1" applyAlignment="1">
      <alignment horizontal="left" vertical="top" wrapText="1" shrinkToFit="1"/>
    </xf>
    <xf numFmtId="4" fontId="17" fillId="0" borderId="1" xfId="8" applyNumberFormat="1" applyFont="1" applyBorder="1" applyAlignment="1">
      <alignment vertical="top" wrapText="1" shrinkToFit="1"/>
    </xf>
    <xf numFmtId="4" fontId="17" fillId="0" borderId="1" xfId="9" applyNumberFormat="1" applyFont="1" applyBorder="1" applyAlignment="1">
      <alignment vertical="top" wrapText="1" shrinkToFit="1"/>
    </xf>
    <xf numFmtId="1" fontId="88" fillId="0" borderId="1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53" fillId="0" borderId="1" xfId="0" applyNumberFormat="1" applyFont="1" applyFill="1" applyBorder="1" applyAlignment="1">
      <alignment vertical="top" wrapText="1"/>
    </xf>
    <xf numFmtId="49" fontId="53" fillId="0" borderId="2" xfId="0" applyNumberFormat="1" applyFont="1" applyFill="1" applyBorder="1" applyAlignment="1">
      <alignment horizontal="left" vertical="top" wrapText="1"/>
    </xf>
    <xf numFmtId="165" fontId="53" fillId="0" borderId="1" xfId="1" applyFont="1" applyFill="1" applyBorder="1" applyAlignment="1">
      <alignment horizontal="left" vertical="top" wrapText="1"/>
    </xf>
    <xf numFmtId="4" fontId="89" fillId="0" borderId="6" xfId="18" applyNumberFormat="1" applyFont="1" applyFill="1" applyBorder="1" applyAlignment="1">
      <alignment vertical="top" wrapText="1" shrinkToFit="1"/>
    </xf>
    <xf numFmtId="1" fontId="90" fillId="0" borderId="1" xfId="0" applyNumberFormat="1" applyFont="1" applyFill="1" applyBorder="1" applyAlignment="1">
      <alignment vertical="top" wrapText="1"/>
    </xf>
    <xf numFmtId="4" fontId="53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91" fillId="0" borderId="0" xfId="0" applyNumberFormat="1" applyFont="1" applyFill="1" applyAlignment="1">
      <alignment vertical="top" wrapText="1"/>
    </xf>
    <xf numFmtId="0" fontId="17" fillId="0" borderId="1" xfId="9" applyNumberFormat="1" applyFont="1" applyFill="1" applyBorder="1" applyAlignment="1">
      <alignment vertical="top" wrapText="1" shrinkToFit="1"/>
    </xf>
    <xf numFmtId="49" fontId="17" fillId="0" borderId="2" xfId="9" applyNumberFormat="1" applyFont="1" applyBorder="1" applyAlignment="1">
      <alignment vertical="top" wrapText="1" shrinkToFit="1"/>
    </xf>
    <xf numFmtId="4" fontId="17" fillId="2" borderId="1" xfId="10" applyNumberFormat="1" applyFont="1" applyFill="1" applyBorder="1" applyAlignment="1">
      <alignment horizontal="left" vertical="top" wrapText="1" shrinkToFit="1"/>
    </xf>
    <xf numFmtId="4" fontId="53" fillId="0" borderId="0" xfId="0" applyNumberFormat="1" applyFont="1" applyFill="1" applyBorder="1" applyAlignment="1">
      <alignment horizontal="right" vertical="top" wrapText="1"/>
    </xf>
    <xf numFmtId="49" fontId="53" fillId="0" borderId="14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165" fontId="53" fillId="0" borderId="1" xfId="1" applyNumberFormat="1" applyFont="1" applyFill="1" applyBorder="1" applyAlignment="1">
      <alignment horizontal="left" vertical="top" wrapText="1"/>
    </xf>
    <xf numFmtId="49" fontId="53" fillId="0" borderId="1" xfId="0" applyNumberFormat="1" applyFont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vertical="top" wrapText="1" shrinkToFit="1"/>
    </xf>
    <xf numFmtId="49" fontId="92" fillId="0" borderId="1" xfId="0" applyNumberFormat="1" applyFont="1" applyFill="1" applyBorder="1" applyAlignment="1">
      <alignment horizontal="left" vertical="top" wrapText="1"/>
    </xf>
    <xf numFmtId="167" fontId="53" fillId="0" borderId="1" xfId="0" applyNumberFormat="1" applyFont="1" applyBorder="1" applyAlignment="1">
      <alignment vertical="top" wrapText="1"/>
    </xf>
    <xf numFmtId="4" fontId="92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1" xfId="0" applyFill="1" applyBorder="1" applyAlignment="1">
      <alignment vertical="top" wrapText="1"/>
    </xf>
    <xf numFmtId="4" fontId="53" fillId="0" borderId="1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93" fillId="0" borderId="14" xfId="0" applyNumberFormat="1" applyFont="1" applyFill="1" applyBorder="1" applyAlignment="1">
      <alignment horizontal="left" vertical="top" wrapText="1"/>
    </xf>
    <xf numFmtId="49" fontId="53" fillId="0" borderId="3" xfId="0" applyNumberFormat="1" applyFont="1" applyFill="1" applyBorder="1" applyAlignment="1">
      <alignment horizontal="left" vertical="top" wrapText="1"/>
    </xf>
    <xf numFmtId="49" fontId="93" fillId="0" borderId="3" xfId="0" applyNumberFormat="1" applyFont="1" applyFill="1" applyBorder="1" applyAlignment="1">
      <alignment vertical="top" wrapText="1"/>
    </xf>
    <xf numFmtId="49" fontId="53" fillId="0" borderId="3" xfId="0" applyNumberFormat="1" applyFont="1" applyFill="1" applyBorder="1" applyAlignment="1">
      <alignment vertical="top" wrapText="1" shrinkToFit="1"/>
    </xf>
    <xf numFmtId="167" fontId="89" fillId="0" borderId="9" xfId="18" applyNumberFormat="1" applyFont="1" applyFill="1" applyBorder="1" applyAlignment="1">
      <alignment vertical="top" wrapText="1" shrinkToFit="1"/>
    </xf>
    <xf numFmtId="4" fontId="53" fillId="0" borderId="3" xfId="0" applyNumberFormat="1" applyFont="1" applyFill="1" applyBorder="1" applyAlignment="1">
      <alignment vertical="top" wrapText="1"/>
    </xf>
    <xf numFmtId="49" fontId="89" fillId="0" borderId="2" xfId="21" applyNumberFormat="1" applyFont="1" applyFill="1" applyBorder="1" applyAlignment="1">
      <alignment horizontal="left" vertical="top" wrapText="1" shrinkToFit="1"/>
    </xf>
    <xf numFmtId="4" fontId="89" fillId="0" borderId="9" xfId="18" applyNumberFormat="1" applyFont="1" applyFill="1" applyBorder="1" applyAlignment="1">
      <alignment vertical="top" wrapText="1" shrinkToFit="1"/>
    </xf>
    <xf numFmtId="49" fontId="53" fillId="0" borderId="1" xfId="0" applyNumberFormat="1" applyFont="1" applyFill="1" applyBorder="1" applyAlignment="1">
      <alignment horizontal="left" vertical="top" wrapText="1"/>
    </xf>
    <xf numFmtId="49" fontId="93" fillId="0" borderId="1" xfId="0" applyNumberFormat="1" applyFont="1" applyFill="1" applyBorder="1" applyAlignment="1">
      <alignment vertical="top" wrapText="1"/>
    </xf>
    <xf numFmtId="49" fontId="89" fillId="0" borderId="1" xfId="21" applyNumberFormat="1" applyFont="1" applyFill="1" applyBorder="1" applyAlignment="1">
      <alignment horizontal="left" vertical="top" wrapText="1" shrinkToFit="1"/>
    </xf>
    <xf numFmtId="167" fontId="89" fillId="0" borderId="1" xfId="18" applyNumberFormat="1" applyFont="1" applyFill="1" applyBorder="1" applyAlignment="1">
      <alignment vertical="top" wrapText="1" shrinkToFit="1"/>
    </xf>
    <xf numFmtId="4" fontId="53" fillId="0" borderId="3" xfId="0" applyNumberFormat="1" applyFont="1" applyFill="1" applyBorder="1" applyAlignment="1">
      <alignment horizontal="right" vertical="top" wrapText="1"/>
    </xf>
    <xf numFmtId="167" fontId="92" fillId="0" borderId="1" xfId="0" applyNumberFormat="1" applyFont="1" applyFill="1" applyBorder="1" applyAlignment="1">
      <alignment horizontal="left" vertical="top" wrapText="1" shrinkToFit="1"/>
    </xf>
    <xf numFmtId="49" fontId="92" fillId="0" borderId="1" xfId="0" applyNumberFormat="1" applyFont="1" applyFill="1" applyBorder="1" applyAlignment="1">
      <alignment horizontal="left" vertical="top" wrapText="1" shrinkToFit="1"/>
    </xf>
    <xf numFmtId="4" fontId="92" fillId="0" borderId="1" xfId="0" applyNumberFormat="1" applyFont="1" applyFill="1" applyBorder="1" applyAlignment="1">
      <alignment horizontal="left" vertical="top" wrapText="1" shrinkToFit="1"/>
    </xf>
    <xf numFmtId="4" fontId="92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0" fillId="0" borderId="0" xfId="0" applyFill="1" applyAlignment="1">
      <alignment vertical="top" wrapText="1"/>
    </xf>
    <xf numFmtId="1" fontId="0" fillId="0" borderId="1" xfId="0" applyNumberFormat="1" applyFont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93" fillId="0" borderId="1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vertical="top" wrapText="1" shrinkToFit="1"/>
    </xf>
    <xf numFmtId="49" fontId="92" fillId="0" borderId="3" xfId="0" applyNumberFormat="1" applyFont="1" applyFill="1" applyBorder="1" applyAlignment="1">
      <alignment horizontal="left" vertical="top" wrapText="1" shrinkToFit="1"/>
    </xf>
    <xf numFmtId="49" fontId="53" fillId="0" borderId="3" xfId="0" applyNumberFormat="1" applyFont="1" applyFill="1" applyBorder="1" applyAlignment="1">
      <alignment vertical="top" wrapText="1"/>
    </xf>
    <xf numFmtId="4" fontId="92" fillId="0" borderId="3" xfId="20" applyNumberFormat="1" applyFont="1" applyFill="1" applyBorder="1" applyAlignment="1">
      <alignment vertical="top" wrapText="1" shrinkToFit="1"/>
    </xf>
    <xf numFmtId="49" fontId="93" fillId="0" borderId="3" xfId="0" applyNumberFormat="1" applyFont="1" applyFill="1" applyBorder="1" applyAlignment="1">
      <alignment horizontal="left" vertical="top" wrapText="1"/>
    </xf>
    <xf numFmtId="165" fontId="53" fillId="0" borderId="3" xfId="1" applyNumberFormat="1" applyFont="1" applyFill="1" applyBorder="1" applyAlignment="1">
      <alignment horizontal="left" vertical="top" wrapText="1"/>
    </xf>
    <xf numFmtId="0" fontId="95" fillId="0" borderId="1" xfId="0" applyFont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96" fillId="0" borderId="1" xfId="0" applyFont="1" applyBorder="1" applyAlignment="1">
      <alignment vertical="top" wrapText="1"/>
    </xf>
    <xf numFmtId="4" fontId="56" fillId="0" borderId="1" xfId="0" applyNumberFormat="1" applyFont="1" applyBorder="1" applyAlignment="1">
      <alignment vertical="top" wrapText="1"/>
    </xf>
    <xf numFmtId="4" fontId="95" fillId="0" borderId="1" xfId="0" applyNumberFormat="1" applyFont="1" applyBorder="1" applyAlignment="1">
      <alignment vertical="top" wrapText="1"/>
    </xf>
    <xf numFmtId="0" fontId="95" fillId="0" borderId="1" xfId="0" applyFont="1" applyFill="1" applyBorder="1" applyAlignment="1">
      <alignment vertical="top" wrapText="1"/>
    </xf>
    <xf numFmtId="0" fontId="56" fillId="0" borderId="1" xfId="0" applyNumberFormat="1" applyFont="1" applyFill="1" applyBorder="1" applyAlignment="1">
      <alignment vertical="top" wrapText="1" shrinkToFit="1"/>
    </xf>
    <xf numFmtId="0" fontId="97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4" fontId="56" fillId="0" borderId="1" xfId="0" applyNumberFormat="1" applyFont="1" applyBorder="1" applyAlignment="1">
      <alignment vertical="top" wrapText="1" shrinkToFit="1"/>
    </xf>
    <xf numFmtId="49" fontId="56" fillId="0" borderId="1" xfId="0" applyNumberFormat="1" applyFont="1" applyFill="1" applyBorder="1" applyAlignment="1">
      <alignment vertical="top" wrapText="1" shrinkToFit="1"/>
    </xf>
    <xf numFmtId="0" fontId="96" fillId="0" borderId="1" xfId="0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vertical="top" wrapText="1" shrinkToFit="1"/>
    </xf>
    <xf numFmtId="4" fontId="56" fillId="0" borderId="1" xfId="0" applyNumberFormat="1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 vertical="top"/>
    </xf>
    <xf numFmtId="0" fontId="97" fillId="0" borderId="1" xfId="0" applyFont="1" applyFill="1" applyBorder="1" applyAlignment="1">
      <alignment vertical="top" wrapText="1"/>
    </xf>
    <xf numFmtId="0" fontId="98" fillId="0" borderId="1" xfId="0" applyFont="1" applyFill="1" applyBorder="1" applyAlignment="1">
      <alignment horizontal="right" vertical="top"/>
    </xf>
    <xf numFmtId="0" fontId="98" fillId="0" borderId="1" xfId="0" applyFont="1" applyFill="1" applyBorder="1" applyAlignment="1">
      <alignment horizontal="left" vertical="top"/>
    </xf>
    <xf numFmtId="0" fontId="98" fillId="0" borderId="5" xfId="0" applyFont="1" applyFill="1" applyBorder="1" applyAlignment="1">
      <alignment horizontal="left" vertical="top"/>
    </xf>
    <xf numFmtId="4" fontId="98" fillId="0" borderId="1" xfId="0" applyNumberFormat="1" applyFont="1" applyFill="1" applyBorder="1" applyAlignment="1">
      <alignment horizontal="right" vertical="top"/>
    </xf>
    <xf numFmtId="0" fontId="56" fillId="0" borderId="1" xfId="0" applyFont="1" applyFill="1" applyBorder="1" applyAlignment="1">
      <alignment vertical="top" wrapText="1" shrinkToFit="1"/>
    </xf>
    <xf numFmtId="2" fontId="56" fillId="0" borderId="1" xfId="0" applyNumberFormat="1" applyFont="1" applyFill="1" applyBorder="1" applyAlignment="1">
      <alignment vertical="top" wrapText="1" shrinkToFit="1"/>
    </xf>
    <xf numFmtId="4" fontId="56" fillId="0" borderId="1" xfId="0" applyNumberFormat="1" applyFont="1" applyFill="1" applyBorder="1" applyAlignment="1">
      <alignment horizontal="right" vertical="top" wrapText="1" shrinkToFit="1"/>
    </xf>
    <xf numFmtId="4" fontId="95" fillId="0" borderId="1" xfId="0" applyNumberFormat="1" applyFont="1" applyFill="1" applyBorder="1" applyAlignment="1">
      <alignment vertical="top" wrapText="1" shrinkToFit="1"/>
    </xf>
    <xf numFmtId="4" fontId="95" fillId="0" borderId="1" xfId="0" applyNumberFormat="1" applyFont="1" applyFill="1" applyBorder="1" applyAlignment="1">
      <alignment vertical="top" wrapText="1"/>
    </xf>
    <xf numFmtId="4" fontId="53" fillId="0" borderId="1" xfId="0" applyNumberFormat="1" applyFont="1" applyBorder="1" applyAlignment="1">
      <alignment vertical="top" wrapText="1"/>
    </xf>
    <xf numFmtId="1" fontId="90" fillId="0" borderId="3" xfId="0" applyNumberFormat="1" applyFont="1" applyFill="1" applyBorder="1" applyAlignment="1">
      <alignment vertical="top" wrapText="1"/>
    </xf>
    <xf numFmtId="49" fontId="93" fillId="0" borderId="5" xfId="0" applyNumberFormat="1" applyFont="1" applyFill="1" applyBorder="1" applyAlignment="1">
      <alignment horizontal="left" vertical="top" wrapText="1"/>
    </xf>
    <xf numFmtId="49" fontId="99" fillId="0" borderId="1" xfId="0" applyNumberFormat="1" applyFont="1" applyFill="1" applyBorder="1" applyAlignment="1">
      <alignment vertical="top" wrapText="1" shrinkToFit="1"/>
    </xf>
    <xf numFmtId="49" fontId="95" fillId="0" borderId="1" xfId="0" applyNumberFormat="1" applyFont="1" applyFill="1" applyBorder="1" applyAlignment="1">
      <alignment vertical="top" wrapText="1" shrinkToFit="1"/>
    </xf>
    <xf numFmtId="49" fontId="92" fillId="0" borderId="1" xfId="0" applyNumberFormat="1" applyFont="1" applyBorder="1" applyAlignment="1">
      <alignment horizontal="left" vertical="top" wrapText="1" shrinkToFit="1"/>
    </xf>
    <xf numFmtId="0" fontId="53" fillId="0" borderId="1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" fontId="89" fillId="0" borderId="1" xfId="18" applyNumberFormat="1" applyFont="1" applyFill="1" applyBorder="1" applyAlignment="1">
      <alignment vertical="top" wrapText="1" shrinkToFit="1"/>
    </xf>
    <xf numFmtId="49" fontId="93" fillId="0" borderId="14" xfId="0" applyNumberFormat="1" applyFont="1" applyFill="1" applyBorder="1" applyAlignment="1">
      <alignment vertical="top" wrapText="1"/>
    </xf>
    <xf numFmtId="49" fontId="92" fillId="0" borderId="2" xfId="21" applyNumberFormat="1" applyFont="1" applyBorder="1" applyAlignment="1">
      <alignment horizontal="left" vertical="top" wrapText="1" shrinkToFit="1"/>
    </xf>
    <xf numFmtId="49" fontId="53" fillId="0" borderId="3" xfId="0" applyNumberFormat="1" applyFont="1" applyBorder="1" applyAlignment="1">
      <alignment vertical="top" wrapText="1"/>
    </xf>
    <xf numFmtId="4" fontId="92" fillId="0" borderId="3" xfId="18" applyNumberFormat="1" applyFont="1" applyBorder="1" applyAlignment="1">
      <alignment vertical="top" wrapText="1" shrinkToFit="1"/>
    </xf>
    <xf numFmtId="4" fontId="53" fillId="0" borderId="3" xfId="0" applyNumberFormat="1" applyFont="1" applyBorder="1" applyAlignment="1">
      <alignment vertical="top" wrapText="1"/>
    </xf>
    <xf numFmtId="49" fontId="93" fillId="0" borderId="3" xfId="0" applyNumberFormat="1" applyFont="1" applyBorder="1" applyAlignment="1">
      <alignment vertical="top" wrapText="1"/>
    </xf>
    <xf numFmtId="49" fontId="53" fillId="0" borderId="3" xfId="0" applyNumberFormat="1" applyFont="1" applyBorder="1" applyAlignment="1">
      <alignment vertical="top" wrapText="1" shrinkToFit="1"/>
    </xf>
    <xf numFmtId="167" fontId="89" fillId="0" borderId="9" xfId="18" applyNumberFormat="1" applyFont="1" applyBorder="1" applyAlignment="1">
      <alignment vertical="top" wrapText="1" shrinkToFit="1"/>
    </xf>
    <xf numFmtId="49" fontId="53" fillId="0" borderId="3" xfId="0" applyNumberFormat="1" applyFont="1" applyBorder="1" applyAlignment="1">
      <alignment horizontal="left" vertical="top" wrapText="1"/>
    </xf>
    <xf numFmtId="49" fontId="56" fillId="0" borderId="1" xfId="0" applyNumberFormat="1" applyFont="1" applyFill="1" applyBorder="1" applyAlignment="1">
      <alignment vertical="top" wrapText="1"/>
    </xf>
    <xf numFmtId="0" fontId="56" fillId="0" borderId="3" xfId="0" applyFont="1" applyFill="1" applyBorder="1" applyAlignment="1">
      <alignment vertical="top" wrapText="1"/>
    </xf>
    <xf numFmtId="0" fontId="96" fillId="0" borderId="3" xfId="0" applyFont="1" applyBorder="1" applyAlignment="1">
      <alignment vertical="top" wrapText="1"/>
    </xf>
    <xf numFmtId="167" fontId="56" fillId="0" borderId="1" xfId="0" applyNumberFormat="1" applyFont="1" applyBorder="1" applyAlignment="1">
      <alignment vertical="top" wrapText="1"/>
    </xf>
    <xf numFmtId="4" fontId="56" fillId="0" borderId="3" xfId="0" applyNumberFormat="1" applyFont="1" applyBorder="1" applyAlignment="1">
      <alignment vertical="top" wrapText="1"/>
    </xf>
    <xf numFmtId="4" fontId="95" fillId="0" borderId="3" xfId="0" applyNumberFormat="1" applyFont="1" applyBorder="1" applyAlignment="1">
      <alignment vertical="top" wrapText="1"/>
    </xf>
    <xf numFmtId="4" fontId="53" fillId="0" borderId="1" xfId="0" applyNumberFormat="1" applyFont="1" applyBorder="1" applyAlignment="1">
      <alignment horizontal="right" vertical="top" wrapText="1"/>
    </xf>
    <xf numFmtId="49" fontId="95" fillId="0" borderId="1" xfId="0" applyNumberFormat="1" applyFont="1" applyBorder="1" applyAlignment="1">
      <alignment vertical="top" wrapText="1"/>
    </xf>
    <xf numFmtId="167" fontId="95" fillId="0" borderId="1" xfId="0" applyNumberFormat="1" applyFont="1" applyBorder="1" applyAlignment="1">
      <alignment vertical="top" wrapText="1"/>
    </xf>
    <xf numFmtId="0" fontId="56" fillId="0" borderId="1" xfId="0" applyFont="1" applyBorder="1" applyAlignment="1">
      <alignment vertical="top" wrapText="1" shrinkToFit="1"/>
    </xf>
    <xf numFmtId="167" fontId="56" fillId="0" borderId="1" xfId="0" applyNumberFormat="1" applyFont="1" applyBorder="1" applyAlignment="1">
      <alignment vertical="top" wrapText="1" shrinkToFit="1"/>
    </xf>
    <xf numFmtId="49" fontId="93" fillId="0" borderId="14" xfId="0" applyNumberFormat="1" applyFont="1" applyBorder="1" applyAlignment="1">
      <alignment vertical="top" wrapText="1"/>
    </xf>
    <xf numFmtId="4" fontId="89" fillId="0" borderId="9" xfId="18" applyNumberFormat="1" applyFont="1" applyBorder="1" applyAlignment="1">
      <alignment vertical="top" wrapText="1" shrinkToFit="1"/>
    </xf>
    <xf numFmtId="4" fontId="53" fillId="0" borderId="3" xfId="0" applyNumberFormat="1" applyFont="1" applyBorder="1" applyAlignment="1">
      <alignment horizontal="right" vertical="top" wrapText="1"/>
    </xf>
    <xf numFmtId="49" fontId="100" fillId="0" borderId="1" xfId="0" applyNumberFormat="1" applyFont="1" applyBorder="1" applyAlignment="1">
      <alignment vertical="top" wrapText="1"/>
    </xf>
    <xf numFmtId="0" fontId="56" fillId="0" borderId="5" xfId="0" applyFont="1" applyBorder="1" applyAlignment="1">
      <alignment horizontal="left" vertical="top" wrapText="1"/>
    </xf>
    <xf numFmtId="0" fontId="56" fillId="0" borderId="5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53" fillId="0" borderId="1" xfId="0" applyNumberFormat="1" applyFont="1" applyBorder="1" applyAlignment="1">
      <alignment vertical="top" wrapText="1" shrinkToFit="1"/>
    </xf>
    <xf numFmtId="4" fontId="89" fillId="0" borderId="1" xfId="18" applyNumberFormat="1" applyFont="1" applyBorder="1" applyAlignment="1">
      <alignment vertical="top" wrapText="1" shrinkToFit="1"/>
    </xf>
    <xf numFmtId="0" fontId="92" fillId="0" borderId="1" xfId="0" applyFont="1" applyBorder="1" applyAlignment="1">
      <alignment vertical="top" wrapText="1" shrinkToFit="1"/>
    </xf>
    <xf numFmtId="49" fontId="92" fillId="0" borderId="1" xfId="0" applyNumberFormat="1" applyFont="1" applyBorder="1" applyAlignment="1">
      <alignment horizontal="left" vertical="top" wrapText="1"/>
    </xf>
    <xf numFmtId="49" fontId="92" fillId="0" borderId="1" xfId="9" applyNumberFormat="1" applyFont="1" applyBorder="1" applyAlignment="1">
      <alignment vertical="top" wrapText="1" shrinkToFit="1"/>
    </xf>
    <xf numFmtId="49" fontId="53" fillId="0" borderId="2" xfId="8" applyNumberFormat="1" applyFont="1" applyBorder="1" applyAlignment="1">
      <alignment vertical="top" wrapText="1" shrinkToFit="1"/>
    </xf>
    <xf numFmtId="49" fontId="53" fillId="0" borderId="3" xfId="8" applyNumberFormat="1" applyFont="1" applyBorder="1" applyAlignment="1">
      <alignment vertical="top" wrapText="1" shrinkToFit="1"/>
    </xf>
    <xf numFmtId="49" fontId="101" fillId="0" borderId="1" xfId="0" applyNumberFormat="1" applyFont="1" applyBorder="1" applyAlignment="1">
      <alignment vertical="top" wrapText="1"/>
    </xf>
    <xf numFmtId="49" fontId="53" fillId="0" borderId="5" xfId="0" applyNumberFormat="1" applyFont="1" applyBorder="1" applyAlignment="1">
      <alignment vertical="top" wrapText="1"/>
    </xf>
    <xf numFmtId="167" fontId="92" fillId="0" borderId="1" xfId="10" applyNumberFormat="1" applyFont="1" applyBorder="1" applyAlignment="1">
      <alignment horizontal="left" vertical="top" wrapText="1" shrinkToFit="1"/>
    </xf>
    <xf numFmtId="4" fontId="92" fillId="0" borderId="1" xfId="0" applyNumberFormat="1" applyFont="1" applyBorder="1" applyAlignment="1">
      <alignment horizontal="right" vertical="top" wrapText="1"/>
    </xf>
    <xf numFmtId="49" fontId="92" fillId="0" borderId="3" xfId="0" applyNumberFormat="1" applyFont="1" applyBorder="1" applyAlignment="1">
      <alignment horizontal="left" vertical="top" wrapText="1" shrinkToFit="1"/>
    </xf>
    <xf numFmtId="4" fontId="92" fillId="0" borderId="1" xfId="0" applyNumberFormat="1" applyFont="1" applyBorder="1" applyAlignment="1">
      <alignment horizontal="left" vertical="top" wrapText="1" shrinkToFit="1"/>
    </xf>
    <xf numFmtId="49" fontId="53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9" fontId="61" fillId="0" borderId="1" xfId="0" applyNumberFormat="1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167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 shrinkToFit="1"/>
    </xf>
    <xf numFmtId="49" fontId="0" fillId="0" borderId="1" xfId="0" applyNumberFormat="1" applyBorder="1" applyAlignment="1">
      <alignment vertical="top" wrapText="1" shrinkToFit="1"/>
    </xf>
    <xf numFmtId="49" fontId="56" fillId="0" borderId="1" xfId="0" applyNumberFormat="1" applyFon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/>
    </xf>
    <xf numFmtId="0" fontId="102" fillId="0" borderId="1" xfId="0" applyFont="1" applyFill="1" applyBorder="1" applyAlignment="1">
      <alignment horizontal="left" vertical="top"/>
    </xf>
    <xf numFmtId="0" fontId="98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55" fillId="0" borderId="3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top" wrapText="1"/>
    </xf>
    <xf numFmtId="0" fontId="0" fillId="0" borderId="4" xfId="0" applyFont="1" applyBorder="1"/>
    <xf numFmtId="0" fontId="0" fillId="0" borderId="1" xfId="0" applyNumberFormat="1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0" fontId="9" fillId="0" borderId="5" xfId="0" applyFont="1" applyBorder="1" applyAlignment="1">
      <alignment horizontal="left" vertical="top" wrapText="1"/>
    </xf>
    <xf numFmtId="0" fontId="55" fillId="0" borderId="3" xfId="0" applyFont="1" applyFill="1" applyBorder="1" applyAlignment="1">
      <alignment horizontal="center" vertical="top" wrapText="1"/>
    </xf>
    <xf numFmtId="0" fontId="55" fillId="0" borderId="4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1" fontId="9" fillId="0" borderId="3" xfId="0" applyNumberFormat="1" applyFont="1" applyBorder="1" applyAlignment="1">
      <alignment horizontal="center" vertical="top" wrapText="1" shrinkToFit="1"/>
    </xf>
    <xf numFmtId="1" fontId="9" fillId="0" borderId="4" xfId="0" applyNumberFormat="1" applyFont="1" applyBorder="1" applyAlignment="1">
      <alignment horizontal="center" vertical="top" wrapText="1" shrinkToFit="1"/>
    </xf>
    <xf numFmtId="1" fontId="9" fillId="0" borderId="3" xfId="0" applyNumberFormat="1" applyFont="1" applyFill="1" applyBorder="1" applyAlignment="1">
      <alignment horizontal="center" vertical="top" wrapText="1" shrinkToFit="1"/>
    </xf>
    <xf numFmtId="0" fontId="9" fillId="0" borderId="4" xfId="0" applyFont="1" applyFill="1" applyBorder="1"/>
    <xf numFmtId="0" fontId="55" fillId="0" borderId="3" xfId="0" applyFont="1" applyFill="1" applyBorder="1" applyAlignment="1">
      <alignment horizontal="center" vertical="top" wrapText="1" shrinkToFit="1"/>
    </xf>
    <xf numFmtId="0" fontId="55" fillId="0" borderId="5" xfId="0" applyFont="1" applyFill="1" applyBorder="1" applyAlignment="1">
      <alignment horizontal="center" vertical="top" wrapText="1" shrinkToFit="1"/>
    </xf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0" fillId="0" borderId="5" xfId="0" applyFont="1" applyBorder="1"/>
    <xf numFmtId="0" fontId="55" fillId="0" borderId="4" xfId="0" applyFont="1" applyFill="1" applyBorder="1" applyAlignment="1">
      <alignment horizontal="center" vertical="top" wrapText="1" shrinkToFit="1"/>
    </xf>
    <xf numFmtId="1" fontId="56" fillId="0" borderId="3" xfId="0" applyNumberFormat="1" applyFont="1" applyFill="1" applyBorder="1" applyAlignment="1">
      <alignment horizontal="center" vertical="top" wrapText="1" shrinkToFit="1"/>
    </xf>
    <xf numFmtId="1" fontId="56" fillId="0" borderId="4" xfId="0" applyNumberFormat="1" applyFont="1" applyFill="1" applyBorder="1" applyAlignment="1">
      <alignment horizontal="center" vertical="top" wrapText="1" shrinkToFit="1"/>
    </xf>
    <xf numFmtId="0" fontId="0" fillId="2" borderId="3" xfId="0" applyFont="1" applyFill="1" applyBorder="1" applyAlignment="1">
      <alignment horizontal="center" vertical="top" wrapText="1" shrinkToFit="1"/>
    </xf>
    <xf numFmtId="0" fontId="0" fillId="2" borderId="5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9" fillId="0" borderId="3" xfId="0" applyFont="1" applyFill="1" applyBorder="1" applyAlignment="1">
      <alignment horizontal="left" vertical="top" wrapText="1" shrinkToFit="1"/>
    </xf>
    <xf numFmtId="0" fontId="9" fillId="0" borderId="4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4" xfId="0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center" vertical="top" wrapText="1" shrinkToFit="1"/>
    </xf>
    <xf numFmtId="1" fontId="9" fillId="0" borderId="4" xfId="0" applyNumberFormat="1" applyFont="1" applyFill="1" applyBorder="1" applyAlignment="1">
      <alignment horizontal="center" vertical="top" wrapText="1" shrinkToFit="1"/>
    </xf>
    <xf numFmtId="1" fontId="9" fillId="0" borderId="5" xfId="0" applyNumberFormat="1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3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5" xfId="0" applyBorder="1" applyAlignment="1">
      <alignment horizontal="center" vertical="top" wrapText="1" shrinkToFit="1"/>
    </xf>
    <xf numFmtId="1" fontId="0" fillId="0" borderId="3" xfId="0" applyNumberFormat="1" applyBorder="1" applyAlignment="1">
      <alignment horizontal="center" vertical="top" wrapText="1" shrinkToFit="1"/>
    </xf>
    <xf numFmtId="1" fontId="0" fillId="0" borderId="4" xfId="0" applyNumberFormat="1" applyBorder="1" applyAlignment="1">
      <alignment horizontal="center" vertical="top" wrapText="1" shrinkToFit="1"/>
    </xf>
    <xf numFmtId="1" fontId="0" fillId="0" borderId="5" xfId="0" applyNumberFormat="1" applyBorder="1" applyAlignment="1">
      <alignment horizontal="center" vertical="top" wrapText="1" shrinkToFit="1"/>
    </xf>
    <xf numFmtId="0" fontId="69" fillId="0" borderId="0" xfId="0" applyFont="1" applyFill="1" applyAlignment="1">
      <alignment horizontal="center" vertical="top" wrapText="1"/>
    </xf>
    <xf numFmtId="0" fontId="0" fillId="0" borderId="4" xfId="0" applyFont="1" applyFill="1" applyBorder="1"/>
    <xf numFmtId="0" fontId="0" fillId="0" borderId="5" xfId="0" applyFont="1" applyFill="1" applyBorder="1"/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0" fontId="55" fillId="0" borderId="1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left" vertical="center" wrapText="1" shrinkToFit="1"/>
    </xf>
    <xf numFmtId="167" fontId="17" fillId="0" borderId="5" xfId="0" applyNumberFormat="1" applyFont="1" applyFill="1" applyBorder="1" applyAlignment="1">
      <alignment horizontal="left" vertical="center" wrapText="1" shrinkToFi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4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24" fillId="0" borderId="2" xfId="0" applyNumberFormat="1" applyFont="1" applyFill="1" applyBorder="1" applyAlignment="1">
      <alignment horizontal="left" vertical="top" wrapText="1" shrinkToFit="1"/>
    </xf>
    <xf numFmtId="49" fontId="24" fillId="0" borderId="6" xfId="0" applyNumberFormat="1" applyFont="1" applyFill="1" applyBorder="1" applyAlignment="1">
      <alignment horizontal="left" vertical="top" wrapText="1" shrinkToFit="1"/>
    </xf>
    <xf numFmtId="4" fontId="17" fillId="0" borderId="4" xfId="0" applyNumberFormat="1" applyFont="1" applyFill="1" applyBorder="1" applyAlignment="1">
      <alignment horizontal="left" vertical="center" wrapText="1"/>
    </xf>
    <xf numFmtId="49" fontId="17" fillId="0" borderId="3" xfId="8" applyNumberFormat="1" applyFont="1" applyFill="1" applyBorder="1" applyAlignment="1">
      <alignment horizontal="left" vertical="center" wrapText="1" shrinkToFit="1"/>
    </xf>
    <xf numFmtId="49" fontId="17" fillId="0" borderId="5" xfId="8" applyNumberFormat="1" applyFont="1" applyFill="1" applyBorder="1" applyAlignment="1">
      <alignment horizontal="left" vertical="center" wrapText="1" shrinkToFi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" fontId="17" fillId="2" borderId="3" xfId="0" applyNumberFormat="1" applyFont="1" applyFill="1" applyBorder="1" applyAlignment="1">
      <alignment horizontal="left" vertical="top" wrapText="1"/>
    </xf>
    <xf numFmtId="4" fontId="17" fillId="2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0" borderId="5" xfId="9" applyNumberFormat="1" applyFont="1" applyFill="1" applyBorder="1" applyAlignment="1">
      <alignment horizontal="left" vertical="top" wrapText="1" shrinkToFit="1"/>
    </xf>
    <xf numFmtId="49" fontId="17" fillId="0" borderId="2" xfId="7" applyNumberFormat="1" applyFont="1" applyFill="1" applyBorder="1" applyAlignment="1">
      <alignment horizontal="left" vertical="top" wrapText="1" shrinkToFit="1"/>
    </xf>
    <xf numFmtId="49" fontId="17" fillId="0" borderId="6" xfId="7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/>
    </xf>
    <xf numFmtId="4" fontId="17" fillId="0" borderId="3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vertical="center" wrapText="1"/>
    </xf>
    <xf numFmtId="49" fontId="11" fillId="0" borderId="2" xfId="7" applyNumberFormat="1" applyFont="1" applyFill="1" applyBorder="1" applyAlignment="1">
      <alignment horizontal="left" vertical="top" wrapText="1" shrinkToFit="1"/>
    </xf>
    <xf numFmtId="49" fontId="11" fillId="0" borderId="6" xfId="7" applyNumberFormat="1" applyFont="1" applyFill="1" applyBorder="1" applyAlignment="1">
      <alignment horizontal="left" vertical="top" wrapText="1" shrinkToFit="1"/>
    </xf>
    <xf numFmtId="49" fontId="11" fillId="0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2" xfId="8" applyNumberFormat="1" applyFont="1" applyBorder="1" applyAlignment="1">
      <alignment horizontal="left" vertical="top" wrapText="1" shrinkToFit="1"/>
    </xf>
    <xf numFmtId="49" fontId="17" fillId="0" borderId="6" xfId="8" applyNumberFormat="1" applyFont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53" fillId="0" borderId="2" xfId="7" applyNumberFormat="1" applyFont="1" applyBorder="1" applyAlignment="1">
      <alignment horizontal="left" vertical="top" wrapText="1" shrinkToFit="1"/>
    </xf>
    <xf numFmtId="49" fontId="53" fillId="0" borderId="6" xfId="7" applyNumberFormat="1" applyFont="1" applyBorder="1" applyAlignment="1">
      <alignment horizontal="left" vertical="top" wrapText="1" shrinkToFit="1"/>
    </xf>
    <xf numFmtId="49" fontId="57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17" fillId="0" borderId="2" xfId="9" applyNumberFormat="1" applyFont="1" applyFill="1" applyBorder="1" applyAlignment="1">
      <alignment horizontal="left" vertical="top" wrapText="1" shrinkToFit="1"/>
    </xf>
    <xf numFmtId="49" fontId="17" fillId="0" borderId="6" xfId="9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left" vertical="top" wrapText="1"/>
    </xf>
    <xf numFmtId="49" fontId="57" fillId="0" borderId="2" xfId="0" applyNumberFormat="1" applyFont="1" applyBorder="1" applyAlignment="1">
      <alignment horizontal="left" vertical="top" wrapText="1"/>
    </xf>
    <xf numFmtId="49" fontId="57" fillId="0" borderId="6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7" fillId="0" borderId="1" xfId="7" applyNumberFormat="1" applyFont="1" applyBorder="1" applyAlignment="1">
      <alignment horizontal="left" vertical="top" wrapText="1" shrinkToFi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3" borderId="7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17" fillId="0" borderId="2" xfId="7" applyNumberFormat="1" applyFont="1" applyBorder="1" applyAlignment="1">
      <alignment horizontal="left" vertical="top" wrapText="1" shrinkToFit="1"/>
    </xf>
    <xf numFmtId="49" fontId="17" fillId="0" borderId="6" xfId="7" applyNumberFormat="1" applyFont="1" applyBorder="1" applyAlignment="1">
      <alignment horizontal="left" vertical="top" wrapText="1" shrinkToFit="1"/>
    </xf>
    <xf numFmtId="0" fontId="9" fillId="0" borderId="1" xfId="0" applyFont="1" applyFill="1" applyBorder="1"/>
    <xf numFmtId="49" fontId="42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righ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0" fontId="17" fillId="0" borderId="5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17" fillId="0" borderId="14" xfId="7" applyNumberFormat="1" applyFont="1" applyFill="1" applyBorder="1" applyAlignment="1">
      <alignment horizontal="left" vertical="top" wrapText="1" shrinkToFit="1"/>
    </xf>
    <xf numFmtId="49" fontId="17" fillId="0" borderId="9" xfId="7" applyNumberFormat="1" applyFont="1" applyFill="1" applyBorder="1" applyAlignment="1">
      <alignment horizontal="left" vertical="top" wrapText="1" shrinkToFit="1"/>
    </xf>
    <xf numFmtId="49" fontId="17" fillId="0" borderId="12" xfId="7" applyNumberFormat="1" applyFont="1" applyFill="1" applyBorder="1" applyAlignment="1">
      <alignment horizontal="left" vertical="top" wrapText="1" shrinkToFit="1"/>
    </xf>
    <xf numFmtId="49" fontId="17" fillId="0" borderId="13" xfId="7" applyNumberFormat="1" applyFont="1" applyFill="1" applyBorder="1" applyAlignment="1">
      <alignment horizontal="left" vertical="top" wrapText="1" shrinkToFit="1"/>
    </xf>
    <xf numFmtId="49" fontId="17" fillId="0" borderId="8" xfId="7" applyNumberFormat="1" applyFont="1" applyFill="1" applyBorder="1" applyAlignment="1">
      <alignment horizontal="left" vertical="top" wrapText="1" shrinkToFit="1"/>
    </xf>
    <xf numFmtId="49" fontId="17" fillId="0" borderId="11" xfId="7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53" fillId="0" borderId="2" xfId="0" applyNumberFormat="1" applyFont="1" applyBorder="1" applyAlignment="1">
      <alignment horizontal="left" vertical="top" wrapText="1" shrinkToFit="1"/>
    </xf>
    <xf numFmtId="49" fontId="53" fillId="0" borderId="6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6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49" fontId="17" fillId="0" borderId="0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7" fillId="0" borderId="9" xfId="0" applyNumberFormat="1" applyFont="1" applyBorder="1" applyAlignment="1">
      <alignment horizontal="left" vertical="top" wrapText="1" shrinkToFit="1"/>
    </xf>
    <xf numFmtId="49" fontId="17" fillId="0" borderId="8" xfId="0" applyNumberFormat="1" applyFont="1" applyBorder="1" applyAlignment="1">
      <alignment horizontal="left" vertical="top" wrapText="1" shrinkToFit="1"/>
    </xf>
    <xf numFmtId="49" fontId="17" fillId="0" borderId="11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7" fillId="0" borderId="9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center" vertical="top" wrapText="1" shrinkToFit="1"/>
    </xf>
    <xf numFmtId="49" fontId="17" fillId="0" borderId="13" xfId="0" applyNumberFormat="1" applyFont="1" applyFill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0" fillId="0" borderId="9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1" xfId="0" applyFont="1" applyBorder="1"/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7" fillId="0" borderId="1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Fill="1" applyBorder="1" applyAlignment="1">
      <alignment horizontal="left" vertical="top" wrapText="1" shrinkToFit="1"/>
    </xf>
    <xf numFmtId="49" fontId="11" fillId="0" borderId="8" xfId="0" applyNumberFormat="1" applyFont="1" applyFill="1" applyBorder="1" applyAlignment="1">
      <alignment horizontal="left" vertical="top" wrapText="1" shrinkToFit="1"/>
    </xf>
    <xf numFmtId="49" fontId="11" fillId="0" borderId="11" xfId="0" applyNumberFormat="1" applyFont="1" applyFill="1" applyBorder="1" applyAlignment="1">
      <alignment horizontal="left" vertical="top" wrapText="1" shrinkToFit="1"/>
    </xf>
    <xf numFmtId="49" fontId="41" fillId="0" borderId="2" xfId="0" applyNumberFormat="1" applyFont="1" applyFill="1" applyBorder="1" applyAlignment="1">
      <alignment horizontal="left" vertical="top" wrapText="1" shrinkToFit="1"/>
    </xf>
    <xf numFmtId="49" fontId="41" fillId="0" borderId="7" xfId="0" applyNumberFormat="1" applyFont="1" applyFill="1" applyBorder="1" applyAlignment="1">
      <alignment horizontal="left" vertical="top" wrapText="1" shrinkToFit="1"/>
    </xf>
    <xf numFmtId="49" fontId="41" fillId="0" borderId="6" xfId="0" applyNumberFormat="1" applyFont="1" applyFill="1" applyBorder="1" applyAlignment="1">
      <alignment horizontal="left" vertical="top" wrapText="1" shrinkToFi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1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57" fillId="0" borderId="2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Fill="1" applyBorder="1" applyAlignment="1">
      <alignment horizontal="left" vertical="top" wrapText="1" shrinkToFit="1"/>
    </xf>
    <xf numFmtId="49" fontId="57" fillId="0" borderId="14" xfId="0" applyNumberFormat="1" applyFont="1" applyFill="1" applyBorder="1" applyAlignment="1">
      <alignment horizontal="left" vertical="top" wrapText="1" shrinkToFit="1"/>
    </xf>
    <xf numFmtId="49" fontId="57" fillId="0" borderId="9" xfId="0" applyNumberFormat="1" applyFont="1" applyFill="1" applyBorder="1" applyAlignment="1">
      <alignment horizontal="left" vertical="top" wrapText="1" shrinkToFit="1"/>
    </xf>
    <xf numFmtId="49" fontId="57" fillId="0" borderId="12" xfId="0" applyNumberFormat="1" applyFont="1" applyFill="1" applyBorder="1" applyAlignment="1">
      <alignment horizontal="left" vertical="top" wrapText="1" shrinkToFit="1"/>
    </xf>
    <xf numFmtId="49" fontId="57" fillId="0" borderId="13" xfId="0" applyNumberFormat="1" applyFont="1" applyFill="1" applyBorder="1" applyAlignment="1">
      <alignment horizontal="left" vertical="top" wrapText="1" shrinkToFit="1"/>
    </xf>
    <xf numFmtId="49" fontId="57" fillId="0" borderId="8" xfId="0" applyNumberFormat="1" applyFont="1" applyFill="1" applyBorder="1" applyAlignment="1">
      <alignment horizontal="left" vertical="top" wrapText="1" shrinkToFit="1"/>
    </xf>
    <xf numFmtId="49" fontId="57" fillId="0" borderId="11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6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6" xfId="0" applyNumberFormat="1" applyFont="1" applyBorder="1" applyAlignment="1">
      <alignment horizontal="left" vertical="top" wrapText="1"/>
    </xf>
    <xf numFmtId="49" fontId="66" fillId="0" borderId="3" xfId="0" applyNumberFormat="1" applyFont="1" applyBorder="1" applyAlignment="1">
      <alignment horizontal="left" vertical="top" wrapText="1" shrinkToFit="1"/>
    </xf>
    <xf numFmtId="49" fontId="66" fillId="0" borderId="5" xfId="0" applyNumberFormat="1" applyFont="1" applyBorder="1" applyAlignment="1">
      <alignment horizontal="left" vertical="top" wrapText="1" shrinkToFit="1"/>
    </xf>
    <xf numFmtId="49" fontId="41" fillId="0" borderId="14" xfId="0" applyNumberFormat="1" applyFont="1" applyFill="1" applyBorder="1" applyAlignment="1">
      <alignment horizontal="left" vertical="top" wrapText="1" shrinkToFit="1"/>
    </xf>
    <xf numFmtId="49" fontId="41" fillId="0" borderId="9" xfId="0" applyNumberFormat="1" applyFont="1" applyFill="1" applyBorder="1" applyAlignment="1">
      <alignment horizontal="left" vertical="top" wrapText="1" shrinkToFit="1"/>
    </xf>
    <xf numFmtId="49" fontId="41" fillId="0" borderId="8" xfId="0" applyNumberFormat="1" applyFont="1" applyFill="1" applyBorder="1" applyAlignment="1">
      <alignment horizontal="left" vertical="top" wrapText="1" shrinkToFit="1"/>
    </xf>
    <xf numFmtId="49" fontId="41" fillId="0" borderId="11" xfId="0" applyNumberFormat="1" applyFont="1" applyFill="1" applyBorder="1" applyAlignment="1">
      <alignment horizontal="left" vertical="top" wrapText="1" shrinkToFit="1"/>
    </xf>
    <xf numFmtId="49" fontId="43" fillId="0" borderId="2" xfId="0" applyNumberFormat="1" applyFont="1" applyFill="1" applyBorder="1" applyAlignment="1">
      <alignment horizontal="left" vertical="top" wrapText="1"/>
    </xf>
    <xf numFmtId="49" fontId="43" fillId="0" borderId="6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left" vertical="top" wrapText="1" shrinkToFi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4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left" vertical="top" wrapText="1" shrinkToFit="1"/>
    </xf>
    <xf numFmtId="4" fontId="17" fillId="0" borderId="7" xfId="0" applyNumberFormat="1" applyFont="1" applyFill="1" applyBorder="1" applyAlignment="1">
      <alignment horizontal="left" vertical="top" wrapText="1" shrinkToFit="1"/>
    </xf>
    <xf numFmtId="4" fontId="17" fillId="0" borderId="6" xfId="0" applyNumberFormat="1" applyFont="1" applyFill="1" applyBorder="1" applyAlignment="1">
      <alignment horizontal="left" vertical="top" wrapText="1" shrinkToFit="1"/>
    </xf>
    <xf numFmtId="49" fontId="43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43" fillId="0" borderId="2" xfId="0" applyNumberFormat="1" applyFont="1" applyBorder="1" applyAlignment="1">
      <alignment horizontal="left" vertical="top" wrapText="1" shrinkToFit="1"/>
    </xf>
    <xf numFmtId="49" fontId="11" fillId="0" borderId="12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left" vertical="top" wrapText="1" shrinkToFi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49" fontId="11" fillId="2" borderId="6" xfId="0" applyNumberFormat="1" applyFont="1" applyFill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49" fontId="17" fillId="0" borderId="12" xfId="0" applyNumberFormat="1" applyFont="1" applyBorder="1" applyAlignment="1">
      <alignment horizontal="left" vertical="top" wrapText="1" shrinkToFit="1"/>
    </xf>
    <xf numFmtId="49" fontId="17" fillId="0" borderId="13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 shrinkToFit="1"/>
    </xf>
    <xf numFmtId="49" fontId="17" fillId="0" borderId="4" xfId="0" applyNumberFormat="1" applyFont="1" applyBorder="1" applyAlignment="1">
      <alignment horizontal="center" vertical="center" wrapText="1" shrinkToFit="1"/>
    </xf>
    <xf numFmtId="49" fontId="17" fillId="0" borderId="5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Border="1" applyAlignment="1">
      <alignment horizontal="left" vertical="top" wrapText="1"/>
    </xf>
    <xf numFmtId="49" fontId="67" fillId="0" borderId="6" xfId="0" applyNumberFormat="1" applyFont="1" applyBorder="1" applyAlignment="1">
      <alignment horizontal="left" vertical="top" wrapText="1"/>
    </xf>
    <xf numFmtId="0" fontId="96" fillId="0" borderId="3" xfId="0" applyFont="1" applyBorder="1" applyAlignment="1">
      <alignment horizontal="left" vertical="top" wrapText="1"/>
    </xf>
    <xf numFmtId="0" fontId="56" fillId="0" borderId="3" xfId="0" applyFont="1" applyBorder="1" applyAlignment="1">
      <alignment horizontal="left" vertical="top" wrapText="1"/>
    </xf>
  </cellXfs>
  <cellStyles count="40">
    <cellStyle name="Денежный" xfId="1" builtinId="4"/>
    <cellStyle name="Денежный 2" xfId="16" xr:uid="{00000000-0005-0000-0000-000001000000}"/>
    <cellStyle name="Денежный 3" xfId="30" xr:uid="{00000000-0005-0000-0000-000002000000}"/>
    <cellStyle name="Обычный" xfId="0" builtinId="0"/>
    <cellStyle name="Обычный 10" xfId="2" xr:uid="{00000000-0005-0000-0000-000004000000}"/>
    <cellStyle name="Обычный 10 2" xfId="17" xr:uid="{00000000-0005-0000-0000-000005000000}"/>
    <cellStyle name="Обычный 11" xfId="3" xr:uid="{00000000-0005-0000-0000-000006000000}"/>
    <cellStyle name="Обычный 11 2" xfId="18" xr:uid="{00000000-0005-0000-0000-000007000000}"/>
    <cellStyle name="Обычный 12" xfId="4" xr:uid="{00000000-0005-0000-0000-000008000000}"/>
    <cellStyle name="Обычный 12 2" xfId="19" xr:uid="{00000000-0005-0000-0000-000009000000}"/>
    <cellStyle name="Обычный 13" xfId="5" xr:uid="{00000000-0005-0000-0000-00000A000000}"/>
    <cellStyle name="Обычный 13 2" xfId="20" xr:uid="{00000000-0005-0000-0000-00000B000000}"/>
    <cellStyle name="Обычный 14" xfId="15" xr:uid="{00000000-0005-0000-0000-00000C000000}"/>
    <cellStyle name="Обычный 15" xfId="14" xr:uid="{00000000-0005-0000-0000-00000D000000}"/>
    <cellStyle name="Обычный 15 2" xfId="33" xr:uid="{00000000-0005-0000-0000-00000E000000}"/>
    <cellStyle name="Обычный 16" xfId="25" xr:uid="{00000000-0005-0000-0000-00000F000000}"/>
    <cellStyle name="Обычный 16 2" xfId="35" xr:uid="{00000000-0005-0000-0000-000010000000}"/>
    <cellStyle name="Обычный 17" xfId="26" xr:uid="{00000000-0005-0000-0000-000011000000}"/>
    <cellStyle name="Обычный 17 2" xfId="36" xr:uid="{00000000-0005-0000-0000-000012000000}"/>
    <cellStyle name="Обычный 18" xfId="27" xr:uid="{00000000-0005-0000-0000-000013000000}"/>
    <cellStyle name="Обычный 18 2" xfId="37" xr:uid="{00000000-0005-0000-0000-000014000000}"/>
    <cellStyle name="Обычный 19" xfId="29" xr:uid="{00000000-0005-0000-0000-000015000000}"/>
    <cellStyle name="Обычный 2" xfId="13" xr:uid="{00000000-0005-0000-0000-000016000000}"/>
    <cellStyle name="Обычный 2 2" xfId="24" xr:uid="{00000000-0005-0000-0000-000017000000}"/>
    <cellStyle name="Обычный 20" xfId="28" xr:uid="{00000000-0005-0000-0000-000018000000}"/>
    <cellStyle name="Обычный 21" xfId="38" xr:uid="{00000000-0005-0000-0000-000019000000}"/>
    <cellStyle name="Обычный 22" xfId="39" xr:uid="{00000000-0005-0000-0000-00001A000000}"/>
    <cellStyle name="Обычный 3" xfId="6" xr:uid="{00000000-0005-0000-0000-00001B000000}"/>
    <cellStyle name="Обычный 4" xfId="7" xr:uid="{00000000-0005-0000-0000-00001C000000}"/>
    <cellStyle name="Обычный 5" xfId="8" xr:uid="{00000000-0005-0000-0000-00001D000000}"/>
    <cellStyle name="Обычный 6" xfId="12" xr:uid="{00000000-0005-0000-0000-00001E000000}"/>
    <cellStyle name="Обычный 6 2" xfId="23" xr:uid="{00000000-0005-0000-0000-00001F000000}"/>
    <cellStyle name="Обычный 6 2 2" xfId="34" xr:uid="{00000000-0005-0000-0000-000020000000}"/>
    <cellStyle name="Обычный 6 3" xfId="32" xr:uid="{00000000-0005-0000-0000-000021000000}"/>
    <cellStyle name="Обычный 7" xfId="9" xr:uid="{00000000-0005-0000-0000-000022000000}"/>
    <cellStyle name="Обычный 8" xfId="10" xr:uid="{00000000-0005-0000-0000-000023000000}"/>
    <cellStyle name="Обычный 9" xfId="11" xr:uid="{00000000-0005-0000-0000-000024000000}"/>
    <cellStyle name="Обычный 9 2" xfId="21" xr:uid="{00000000-0005-0000-0000-000025000000}"/>
    <cellStyle name="Финансовый 2" xfId="22" xr:uid="{00000000-0005-0000-0000-000026000000}"/>
    <cellStyle name="Финансовый 3" xfId="31" xr:uid="{00000000-0005-0000-0000-000027000000}"/>
  </cellStyles>
  <dxfs count="0"/>
  <tableStyles count="0" defaultTableStyle="TableStyleMedium9" defaultPivotStyle="PivotStyleLight16"/>
  <colors>
    <mruColors>
      <color rgb="FFFF00FF"/>
      <color rgb="FF009900"/>
      <color rgb="FFFF5050"/>
      <color rgb="FF008000"/>
      <color rgb="FF66CCFF"/>
      <color rgb="FFCC00CC"/>
      <color rgb="FF28A87D"/>
      <color rgb="FFC45D08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Fs22\..\..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L23"/>
  <sheetViews>
    <sheetView tabSelected="1" topLeftCell="A4" zoomScale="98" zoomScaleNormal="98" workbookViewId="0">
      <selection activeCell="C23" sqref="C23"/>
    </sheetView>
  </sheetViews>
  <sheetFormatPr defaultRowHeight="12.75" x14ac:dyDescent="0.2"/>
  <cols>
    <col min="1" max="1" width="14" style="372" customWidth="1"/>
    <col min="2" max="2" width="23.140625" style="373" customWidth="1"/>
    <col min="3" max="3" width="33.42578125" style="373" customWidth="1"/>
    <col min="4" max="4" width="8.140625" style="374" customWidth="1"/>
    <col min="5" max="5" width="16.42578125" style="375" customWidth="1"/>
    <col min="6" max="6" width="29.7109375" style="304" customWidth="1"/>
    <col min="7" max="7" width="8.85546875" style="304" customWidth="1"/>
    <col min="8" max="8" width="12.7109375" style="304" customWidth="1"/>
    <col min="9" max="9" width="0.7109375" style="374" customWidth="1"/>
    <col min="10" max="10" width="16.140625" style="369" customWidth="1"/>
    <col min="11" max="11" width="18" style="304" customWidth="1"/>
    <col min="12" max="12" width="9.140625" style="3"/>
    <col min="13" max="16384" width="9.140625" style="1"/>
  </cols>
  <sheetData>
    <row r="14" spans="3:9" ht="33" x14ac:dyDescent="0.45">
      <c r="C14" s="396"/>
      <c r="D14" s="397"/>
      <c r="E14" s="396" t="s">
        <v>12260</v>
      </c>
      <c r="F14" s="397"/>
      <c r="G14" s="397"/>
      <c r="H14"/>
      <c r="I14"/>
    </row>
    <row r="15" spans="3:9" x14ac:dyDescent="0.2">
      <c r="C15" s="398"/>
      <c r="D15" s="398"/>
      <c r="E15" s="397"/>
      <c r="F15" s="397"/>
      <c r="G15" s="397"/>
      <c r="H15"/>
      <c r="I15"/>
    </row>
    <row r="16" spans="3:9" ht="30.75" x14ac:dyDescent="0.45">
      <c r="C16" s="397"/>
      <c r="D16" s="399"/>
      <c r="E16" s="399" t="s">
        <v>12262</v>
      </c>
      <c r="F16" s="400"/>
      <c r="G16" s="397"/>
      <c r="H16"/>
      <c r="I16"/>
    </row>
    <row r="17" spans="3:9" ht="30.75" x14ac:dyDescent="0.45">
      <c r="C17" s="397"/>
      <c r="D17" s="399"/>
      <c r="E17" s="399" t="s">
        <v>12261</v>
      </c>
      <c r="F17" s="400"/>
      <c r="G17" s="397"/>
      <c r="H17"/>
      <c r="I17"/>
    </row>
    <row r="18" spans="3:9" ht="30.75" x14ac:dyDescent="0.45">
      <c r="C18" s="397"/>
      <c r="D18" s="399"/>
      <c r="E18" s="399" t="s">
        <v>14836</v>
      </c>
      <c r="F18" s="400"/>
      <c r="G18" s="397"/>
      <c r="H18"/>
      <c r="I18"/>
    </row>
    <row r="19" spans="3:9" x14ac:dyDescent="0.2">
      <c r="C19" s="397"/>
      <c r="D19" s="397"/>
      <c r="E19" s="397"/>
      <c r="F19" s="397"/>
      <c r="G19" s="397"/>
      <c r="H19"/>
      <c r="I19"/>
    </row>
    <row r="20" spans="3:9" x14ac:dyDescent="0.2">
      <c r="C20"/>
      <c r="D20"/>
      <c r="E20"/>
      <c r="F20"/>
      <c r="G20"/>
      <c r="H20"/>
      <c r="I20"/>
    </row>
    <row r="21" spans="3:9" x14ac:dyDescent="0.2">
      <c r="C21"/>
      <c r="D21"/>
      <c r="E21"/>
      <c r="F21"/>
      <c r="G21"/>
      <c r="H21"/>
      <c r="I21"/>
    </row>
    <row r="22" spans="3:9" x14ac:dyDescent="0.2">
      <c r="C22"/>
      <c r="D22"/>
      <c r="E22"/>
      <c r="F22"/>
      <c r="G22"/>
      <c r="H22"/>
      <c r="I22"/>
    </row>
    <row r="23" spans="3:9" x14ac:dyDescent="0.2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222"/>
  <sheetViews>
    <sheetView zoomScale="83" zoomScaleNormal="83" workbookViewId="0">
      <selection activeCell="N447" sqref="N447"/>
    </sheetView>
  </sheetViews>
  <sheetFormatPr defaultRowHeight="12.75" x14ac:dyDescent="0.2"/>
  <cols>
    <col min="1" max="1" width="14" style="460" customWidth="1"/>
    <col min="2" max="2" width="23.140625" style="373" customWidth="1"/>
    <col min="3" max="3" width="33.42578125" style="373" customWidth="1"/>
    <col min="4" max="4" width="8.140625" style="374" customWidth="1"/>
    <col min="5" max="5" width="10.28515625" style="375" customWidth="1"/>
    <col min="6" max="6" width="29.7109375" style="304" customWidth="1"/>
    <col min="7" max="7" width="13.5703125" style="304" customWidth="1"/>
    <col min="8" max="8" width="12.7109375" style="304" customWidth="1"/>
    <col min="9" max="9" width="12.85546875" style="374" customWidth="1"/>
    <col min="10" max="10" width="16.140625" style="369" customWidth="1"/>
    <col min="11" max="11" width="17.140625" style="3" customWidth="1"/>
    <col min="12" max="12" width="11.5703125" style="1" customWidth="1"/>
    <col min="13" max="16384" width="9.140625" style="1"/>
  </cols>
  <sheetData>
    <row r="2" spans="1:11" ht="15" customHeight="1" x14ac:dyDescent="0.2">
      <c r="A2" s="446"/>
      <c r="B2" s="393"/>
      <c r="C2" s="945" t="s">
        <v>11705</v>
      </c>
      <c r="D2" s="945"/>
      <c r="E2" s="945"/>
      <c r="F2" s="945"/>
      <c r="G2" s="945"/>
      <c r="H2" s="945"/>
      <c r="I2" s="391"/>
      <c r="J2" s="392"/>
    </row>
    <row r="4" spans="1:11" ht="86.25" customHeight="1" x14ac:dyDescent="0.2">
      <c r="A4" s="447" t="s">
        <v>11707</v>
      </c>
      <c r="B4" s="306" t="s">
        <v>11708</v>
      </c>
      <c r="C4" s="306" t="s">
        <v>11709</v>
      </c>
      <c r="D4" s="306" t="s">
        <v>11706</v>
      </c>
      <c r="E4" s="306" t="s">
        <v>11710</v>
      </c>
      <c r="F4" s="306" t="s">
        <v>11711</v>
      </c>
      <c r="G4" s="306" t="s">
        <v>11712</v>
      </c>
      <c r="H4" s="306" t="s">
        <v>11713</v>
      </c>
      <c r="I4" s="306" t="s">
        <v>11714</v>
      </c>
      <c r="J4" s="307" t="s">
        <v>11906</v>
      </c>
      <c r="K4" s="307" t="s">
        <v>11715</v>
      </c>
    </row>
    <row r="5" spans="1:11" x14ac:dyDescent="0.2">
      <c r="A5" s="448">
        <v>1</v>
      </c>
      <c r="B5" s="445">
        <v>2</v>
      </c>
      <c r="C5" s="445">
        <v>3</v>
      </c>
      <c r="D5" s="614">
        <v>4</v>
      </c>
      <c r="E5" s="614">
        <v>5</v>
      </c>
      <c r="F5" s="614">
        <v>6</v>
      </c>
      <c r="G5" s="196">
        <v>7</v>
      </c>
      <c r="H5" s="196">
        <v>8</v>
      </c>
      <c r="I5" s="196">
        <v>9</v>
      </c>
      <c r="J5" s="366">
        <v>12</v>
      </c>
      <c r="K5" s="614">
        <v>13</v>
      </c>
    </row>
    <row r="6" spans="1:11" s="55" customFormat="1" x14ac:dyDescent="0.2">
      <c r="A6" s="383" t="s">
        <v>304</v>
      </c>
      <c r="B6" s="382"/>
      <c r="C6" s="877" t="s">
        <v>12749</v>
      </c>
      <c r="D6" s="880">
        <v>7</v>
      </c>
      <c r="E6" s="485"/>
      <c r="F6" s="196"/>
      <c r="G6" s="382"/>
      <c r="H6" s="451">
        <f>7504-7504</f>
        <v>0</v>
      </c>
      <c r="I6" s="883">
        <v>1977</v>
      </c>
      <c r="J6" s="490">
        <f>14142540-14142540</f>
        <v>0</v>
      </c>
      <c r="K6" s="491"/>
    </row>
    <row r="7" spans="1:11" ht="12.75" customHeight="1" x14ac:dyDescent="0.2">
      <c r="A7" s="384" t="s">
        <v>578</v>
      </c>
      <c r="B7" s="382" t="s">
        <v>324</v>
      </c>
      <c r="C7" s="878"/>
      <c r="D7" s="881"/>
      <c r="E7" s="485">
        <v>106</v>
      </c>
      <c r="F7" s="196"/>
      <c r="G7" s="382"/>
      <c r="H7" s="492">
        <v>61.4</v>
      </c>
      <c r="I7" s="884"/>
      <c r="J7" s="486">
        <v>115718.54424307036</v>
      </c>
      <c r="K7" s="486"/>
    </row>
    <row r="8" spans="1:11" x14ac:dyDescent="0.2">
      <c r="A8" s="384" t="s">
        <v>3544</v>
      </c>
      <c r="B8" s="382" t="s">
        <v>324</v>
      </c>
      <c r="C8" s="878"/>
      <c r="D8" s="881"/>
      <c r="E8" s="485">
        <v>53</v>
      </c>
      <c r="F8" s="196" t="s">
        <v>3543</v>
      </c>
      <c r="G8" s="382" t="s">
        <v>133</v>
      </c>
      <c r="H8" s="492">
        <v>52.3</v>
      </c>
      <c r="I8" s="884"/>
      <c r="J8" s="486">
        <v>1900000</v>
      </c>
      <c r="K8" s="486">
        <v>951516.4</v>
      </c>
    </row>
    <row r="9" spans="1:11" x14ac:dyDescent="0.2">
      <c r="A9" s="384" t="s">
        <v>12368</v>
      </c>
      <c r="B9" s="382" t="s">
        <v>324</v>
      </c>
      <c r="C9" s="879"/>
      <c r="D9" s="882"/>
      <c r="E9" s="485">
        <v>28</v>
      </c>
      <c r="F9" s="196" t="s">
        <v>12369</v>
      </c>
      <c r="G9" s="486" t="s">
        <v>133</v>
      </c>
      <c r="H9" s="461">
        <v>43</v>
      </c>
      <c r="I9" s="885"/>
      <c r="J9" s="486">
        <v>1153053</v>
      </c>
      <c r="K9" s="486">
        <v>816702.38</v>
      </c>
    </row>
    <row r="10" spans="1:11" x14ac:dyDescent="0.2">
      <c r="A10" s="383" t="s">
        <v>3</v>
      </c>
      <c r="B10" s="382"/>
      <c r="C10" s="877" t="s">
        <v>12750</v>
      </c>
      <c r="D10" s="880">
        <v>11</v>
      </c>
      <c r="E10" s="485"/>
      <c r="F10" s="196"/>
      <c r="G10" s="382"/>
      <c r="H10" s="492">
        <f>4947-4947</f>
        <v>0</v>
      </c>
      <c r="I10" s="883">
        <v>1975</v>
      </c>
      <c r="J10" s="461">
        <f>10215560-10215560</f>
        <v>0</v>
      </c>
      <c r="K10" s="486"/>
    </row>
    <row r="11" spans="1:11" ht="12.75" customHeight="1" x14ac:dyDescent="0.2">
      <c r="A11" s="384" t="s">
        <v>4</v>
      </c>
      <c r="B11" s="382" t="s">
        <v>324</v>
      </c>
      <c r="C11" s="878"/>
      <c r="D11" s="881"/>
      <c r="E11" s="485">
        <v>63</v>
      </c>
      <c r="F11" s="196" t="s">
        <v>27</v>
      </c>
      <c r="G11" s="382"/>
      <c r="H11" s="492">
        <v>45.1</v>
      </c>
      <c r="I11" s="884"/>
      <c r="J11" s="461">
        <v>93131.545583181723</v>
      </c>
      <c r="K11" s="486">
        <v>835221.71</v>
      </c>
    </row>
    <row r="12" spans="1:11" x14ac:dyDescent="0.2">
      <c r="A12" s="383" t="s">
        <v>5</v>
      </c>
      <c r="B12" s="382"/>
      <c r="C12" s="877" t="s">
        <v>12751</v>
      </c>
      <c r="D12" s="880">
        <v>17</v>
      </c>
      <c r="E12" s="485"/>
      <c r="F12" s="196"/>
      <c r="G12" s="382"/>
      <c r="H12" s="492">
        <f>4481-4481</f>
        <v>0</v>
      </c>
      <c r="I12" s="883">
        <v>1975</v>
      </c>
      <c r="J12" s="461">
        <f>9244188-9244188</f>
        <v>0</v>
      </c>
      <c r="K12" s="486"/>
    </row>
    <row r="13" spans="1:11" ht="12.75" customHeight="1" x14ac:dyDescent="0.2">
      <c r="A13" s="384" t="s">
        <v>555</v>
      </c>
      <c r="B13" s="382" t="s">
        <v>324</v>
      </c>
      <c r="C13" s="878"/>
      <c r="D13" s="881"/>
      <c r="E13" s="485">
        <v>59</v>
      </c>
      <c r="F13" s="196" t="s">
        <v>3073</v>
      </c>
      <c r="G13" s="382"/>
      <c r="H13" s="492">
        <v>45.1</v>
      </c>
      <c r="I13" s="946"/>
      <c r="J13" s="461">
        <v>94484.22459272483</v>
      </c>
      <c r="K13" s="486">
        <v>854972.43</v>
      </c>
    </row>
    <row r="14" spans="1:11" x14ac:dyDescent="0.2">
      <c r="A14" s="384" t="s">
        <v>556</v>
      </c>
      <c r="B14" s="382" t="s">
        <v>324</v>
      </c>
      <c r="C14" s="878"/>
      <c r="D14" s="881"/>
      <c r="E14" s="485">
        <v>60</v>
      </c>
      <c r="F14" s="196"/>
      <c r="G14" s="382"/>
      <c r="H14" s="492">
        <v>44.2</v>
      </c>
      <c r="I14" s="946"/>
      <c r="J14" s="461">
        <v>91183.465654987725</v>
      </c>
      <c r="K14" s="486"/>
    </row>
    <row r="15" spans="1:11" x14ac:dyDescent="0.2">
      <c r="A15" s="384" t="s">
        <v>557</v>
      </c>
      <c r="B15" s="382" t="s">
        <v>324</v>
      </c>
      <c r="C15" s="878"/>
      <c r="D15" s="881"/>
      <c r="E15" s="485">
        <v>79</v>
      </c>
      <c r="F15" s="196" t="s">
        <v>5551</v>
      </c>
      <c r="G15" s="382"/>
      <c r="H15" s="492">
        <v>42.8</v>
      </c>
      <c r="I15" s="946"/>
      <c r="J15" s="461">
        <v>89326.788752510591</v>
      </c>
      <c r="K15" s="486">
        <v>811370.73</v>
      </c>
    </row>
    <row r="16" spans="1:11" x14ac:dyDescent="0.2">
      <c r="A16" s="384" t="s">
        <v>10658</v>
      </c>
      <c r="B16" s="382" t="s">
        <v>324</v>
      </c>
      <c r="C16" s="879"/>
      <c r="D16" s="882"/>
      <c r="E16" s="485">
        <v>31</v>
      </c>
      <c r="F16" s="40" t="s">
        <v>11555</v>
      </c>
      <c r="G16" s="382" t="s">
        <v>11556</v>
      </c>
      <c r="H16" s="461">
        <v>28.9</v>
      </c>
      <c r="I16" s="947"/>
      <c r="J16" s="461">
        <v>931129</v>
      </c>
      <c r="K16" s="486">
        <v>547864.81000000006</v>
      </c>
    </row>
    <row r="17" spans="1:11" ht="25.5" x14ac:dyDescent="0.2">
      <c r="A17" s="383" t="s">
        <v>558</v>
      </c>
      <c r="B17" s="382"/>
      <c r="C17" s="877" t="s">
        <v>12752</v>
      </c>
      <c r="D17" s="880">
        <v>18</v>
      </c>
      <c r="E17" s="485"/>
      <c r="F17" s="196"/>
      <c r="G17" s="382" t="s">
        <v>3050</v>
      </c>
      <c r="H17" s="492">
        <f>9287.9-9287.9</f>
        <v>0</v>
      </c>
      <c r="I17" s="883">
        <v>1985</v>
      </c>
      <c r="J17" s="461">
        <f>29662680-29662680</f>
        <v>0</v>
      </c>
      <c r="K17" s="486"/>
    </row>
    <row r="18" spans="1:11" ht="24" customHeight="1" x14ac:dyDescent="0.2">
      <c r="A18" s="384" t="s">
        <v>2660</v>
      </c>
      <c r="B18" s="382" t="s">
        <v>324</v>
      </c>
      <c r="C18" s="878"/>
      <c r="D18" s="881"/>
      <c r="E18" s="472" t="s">
        <v>2659</v>
      </c>
      <c r="F18" s="292"/>
      <c r="G18" s="382"/>
      <c r="H18" s="492"/>
      <c r="I18" s="884"/>
      <c r="J18" s="461"/>
      <c r="K18" s="486"/>
    </row>
    <row r="19" spans="1:11" x14ac:dyDescent="0.2">
      <c r="A19" s="384" t="s">
        <v>2664</v>
      </c>
      <c r="B19" s="382" t="s">
        <v>324</v>
      </c>
      <c r="C19" s="878"/>
      <c r="D19" s="881"/>
      <c r="E19" s="472">
        <v>218</v>
      </c>
      <c r="F19" s="292"/>
      <c r="G19" s="382"/>
      <c r="H19" s="492">
        <v>30.4</v>
      </c>
      <c r="I19" s="884"/>
      <c r="J19" s="461">
        <v>95765.99</v>
      </c>
      <c r="K19" s="486"/>
    </row>
    <row r="20" spans="1:11" x14ac:dyDescent="0.2">
      <c r="A20" s="384" t="s">
        <v>2665</v>
      </c>
      <c r="B20" s="382" t="s">
        <v>324</v>
      </c>
      <c r="C20" s="878"/>
      <c r="D20" s="881"/>
      <c r="E20" s="472">
        <v>301</v>
      </c>
      <c r="F20" s="292"/>
      <c r="G20" s="382"/>
      <c r="H20" s="492">
        <v>40.26</v>
      </c>
      <c r="I20" s="884"/>
      <c r="J20" s="461">
        <v>126826.94</v>
      </c>
      <c r="K20" s="486"/>
    </row>
    <row r="21" spans="1:11" x14ac:dyDescent="0.2">
      <c r="A21" s="384" t="s">
        <v>2666</v>
      </c>
      <c r="B21" s="382" t="s">
        <v>324</v>
      </c>
      <c r="C21" s="878"/>
      <c r="D21" s="881"/>
      <c r="E21" s="472">
        <v>306</v>
      </c>
      <c r="F21" s="292"/>
      <c r="G21" s="382"/>
      <c r="H21" s="492">
        <v>29.6</v>
      </c>
      <c r="I21" s="884"/>
      <c r="J21" s="461">
        <v>93245.84</v>
      </c>
      <c r="K21" s="486"/>
    </row>
    <row r="22" spans="1:11" x14ac:dyDescent="0.2">
      <c r="A22" s="384" t="s">
        <v>2667</v>
      </c>
      <c r="B22" s="382" t="s">
        <v>324</v>
      </c>
      <c r="C22" s="878"/>
      <c r="D22" s="881"/>
      <c r="E22" s="472">
        <v>307</v>
      </c>
      <c r="F22" s="292"/>
      <c r="G22" s="382"/>
      <c r="H22" s="492">
        <v>40.26</v>
      </c>
      <c r="I22" s="884"/>
      <c r="J22" s="461">
        <v>126826.94</v>
      </c>
      <c r="K22" s="486"/>
    </row>
    <row r="23" spans="1:11" ht="15" customHeight="1" x14ac:dyDescent="0.2">
      <c r="A23" s="384" t="s">
        <v>2668</v>
      </c>
      <c r="B23" s="382" t="s">
        <v>324</v>
      </c>
      <c r="C23" s="878"/>
      <c r="D23" s="881"/>
      <c r="E23" s="472">
        <v>401</v>
      </c>
      <c r="F23" s="196" t="s">
        <v>11557</v>
      </c>
      <c r="G23" s="382" t="s">
        <v>538</v>
      </c>
      <c r="H23" s="492">
        <v>35.4</v>
      </c>
      <c r="I23" s="884"/>
      <c r="J23" s="461">
        <v>66532.160000000003</v>
      </c>
      <c r="K23" s="486">
        <v>768279.42</v>
      </c>
    </row>
    <row r="24" spans="1:11" ht="15" customHeight="1" x14ac:dyDescent="0.2">
      <c r="A24" s="384" t="s">
        <v>2669</v>
      </c>
      <c r="B24" s="382" t="s">
        <v>324</v>
      </c>
      <c r="C24" s="878"/>
      <c r="D24" s="881"/>
      <c r="E24" s="472">
        <v>405</v>
      </c>
      <c r="F24" s="292"/>
      <c r="G24" s="382"/>
      <c r="H24" s="492">
        <v>43.5</v>
      </c>
      <c r="I24" s="884"/>
      <c r="J24" s="461">
        <v>137033.57999999999</v>
      </c>
      <c r="K24" s="486"/>
    </row>
    <row r="25" spans="1:11" x14ac:dyDescent="0.2">
      <c r="A25" s="384" t="s">
        <v>2670</v>
      </c>
      <c r="B25" s="382" t="s">
        <v>324</v>
      </c>
      <c r="C25" s="878"/>
      <c r="D25" s="881"/>
      <c r="E25" s="472">
        <v>424</v>
      </c>
      <c r="F25" s="196" t="s">
        <v>11729</v>
      </c>
      <c r="G25" s="382" t="s">
        <v>538</v>
      </c>
      <c r="H25" s="492">
        <v>25.9</v>
      </c>
      <c r="I25" s="884"/>
      <c r="J25" s="461">
        <v>95765.99</v>
      </c>
      <c r="K25" s="486">
        <v>558506.05000000005</v>
      </c>
    </row>
    <row r="26" spans="1:11" ht="12.75" customHeight="1" x14ac:dyDescent="0.2">
      <c r="A26" s="384" t="s">
        <v>2671</v>
      </c>
      <c r="B26" s="382" t="s">
        <v>324</v>
      </c>
      <c r="C26" s="878"/>
      <c r="D26" s="881"/>
      <c r="E26" s="472">
        <v>513</v>
      </c>
      <c r="F26" s="292"/>
      <c r="G26" s="382"/>
      <c r="H26" s="492">
        <v>42.46</v>
      </c>
      <c r="I26" s="884"/>
      <c r="J26" s="461">
        <v>133757.37</v>
      </c>
      <c r="K26" s="486"/>
    </row>
    <row r="27" spans="1:11" x14ac:dyDescent="0.2">
      <c r="A27" s="384" t="s">
        <v>2672</v>
      </c>
      <c r="B27" s="382" t="s">
        <v>324</v>
      </c>
      <c r="C27" s="878"/>
      <c r="D27" s="881"/>
      <c r="E27" s="472">
        <v>517</v>
      </c>
      <c r="F27" s="196" t="s">
        <v>2694</v>
      </c>
      <c r="G27" s="382" t="s">
        <v>133</v>
      </c>
      <c r="H27" s="492">
        <v>37</v>
      </c>
      <c r="I27" s="884"/>
      <c r="J27" s="461">
        <v>119486.98</v>
      </c>
      <c r="K27" s="486">
        <v>803003.91</v>
      </c>
    </row>
    <row r="28" spans="1:11" x14ac:dyDescent="0.2">
      <c r="A28" s="384" t="s">
        <v>2673</v>
      </c>
      <c r="B28" s="382" t="s">
        <v>324</v>
      </c>
      <c r="C28" s="878"/>
      <c r="D28" s="881"/>
      <c r="E28" s="472">
        <v>605</v>
      </c>
      <c r="F28" s="292"/>
      <c r="G28" s="382"/>
      <c r="H28" s="492">
        <v>41.6</v>
      </c>
      <c r="I28" s="884"/>
      <c r="J28" s="461">
        <v>131048.2</v>
      </c>
      <c r="K28" s="486"/>
    </row>
    <row r="29" spans="1:11" x14ac:dyDescent="0.2">
      <c r="A29" s="384" t="s">
        <v>2674</v>
      </c>
      <c r="B29" s="382" t="s">
        <v>324</v>
      </c>
      <c r="C29" s="878"/>
      <c r="D29" s="881"/>
      <c r="E29" s="472">
        <v>607</v>
      </c>
      <c r="F29" s="292"/>
      <c r="G29" s="382"/>
      <c r="H29" s="492">
        <v>39.56</v>
      </c>
      <c r="I29" s="884"/>
      <c r="J29" s="461">
        <v>124621.8</v>
      </c>
      <c r="K29" s="486"/>
    </row>
    <row r="30" spans="1:11" x14ac:dyDescent="0.2">
      <c r="A30" s="384" t="s">
        <v>2675</v>
      </c>
      <c r="B30" s="382" t="s">
        <v>324</v>
      </c>
      <c r="C30" s="878"/>
      <c r="D30" s="881"/>
      <c r="E30" s="472">
        <v>612</v>
      </c>
      <c r="F30" s="292"/>
      <c r="G30" s="382"/>
      <c r="H30" s="492">
        <v>28.16</v>
      </c>
      <c r="I30" s="884"/>
      <c r="J30" s="461">
        <v>88709.55</v>
      </c>
      <c r="K30" s="486"/>
    </row>
    <row r="31" spans="1:11" x14ac:dyDescent="0.2">
      <c r="A31" s="384" t="s">
        <v>2676</v>
      </c>
      <c r="B31" s="382" t="s">
        <v>324</v>
      </c>
      <c r="C31" s="878"/>
      <c r="D31" s="881"/>
      <c r="E31" s="472">
        <v>618</v>
      </c>
      <c r="F31" s="292"/>
      <c r="G31" s="382"/>
      <c r="H31" s="492">
        <v>30.13</v>
      </c>
      <c r="I31" s="884"/>
      <c r="J31" s="461">
        <v>94915.44</v>
      </c>
      <c r="K31" s="486"/>
    </row>
    <row r="32" spans="1:11" x14ac:dyDescent="0.2">
      <c r="A32" s="384" t="s">
        <v>2677</v>
      </c>
      <c r="B32" s="382" t="s">
        <v>324</v>
      </c>
      <c r="C32" s="878"/>
      <c r="D32" s="881"/>
      <c r="E32" s="472">
        <v>622</v>
      </c>
      <c r="F32" s="292"/>
      <c r="G32" s="382"/>
      <c r="H32" s="492">
        <v>39.93</v>
      </c>
      <c r="I32" s="884"/>
      <c r="J32" s="461">
        <v>125787.37</v>
      </c>
      <c r="K32" s="486"/>
    </row>
    <row r="33" spans="1:11" x14ac:dyDescent="0.2">
      <c r="A33" s="384" t="s">
        <v>2678</v>
      </c>
      <c r="B33" s="382" t="s">
        <v>324</v>
      </c>
      <c r="C33" s="878"/>
      <c r="D33" s="881"/>
      <c r="E33" s="472" t="s">
        <v>2661</v>
      </c>
      <c r="F33" s="292"/>
      <c r="G33" s="382"/>
      <c r="H33" s="492">
        <v>19.600000000000001</v>
      </c>
      <c r="I33" s="884"/>
      <c r="J33" s="461">
        <v>61743.86</v>
      </c>
      <c r="K33" s="486"/>
    </row>
    <row r="34" spans="1:11" x14ac:dyDescent="0.2">
      <c r="A34" s="384" t="s">
        <v>2679</v>
      </c>
      <c r="B34" s="382" t="s">
        <v>324</v>
      </c>
      <c r="C34" s="878"/>
      <c r="D34" s="881"/>
      <c r="E34" s="472" t="s">
        <v>2662</v>
      </c>
      <c r="F34" s="292"/>
      <c r="G34" s="382"/>
      <c r="H34" s="492">
        <v>18</v>
      </c>
      <c r="I34" s="884"/>
      <c r="J34" s="461">
        <v>56703.55</v>
      </c>
      <c r="K34" s="486"/>
    </row>
    <row r="35" spans="1:11" x14ac:dyDescent="0.2">
      <c r="A35" s="449" t="s">
        <v>12753</v>
      </c>
      <c r="B35" s="493" t="s">
        <v>324</v>
      </c>
      <c r="C35" s="878"/>
      <c r="D35" s="881"/>
      <c r="E35" s="472">
        <v>705</v>
      </c>
      <c r="F35" s="2" t="s">
        <v>12754</v>
      </c>
      <c r="G35" s="481" t="s">
        <v>2766</v>
      </c>
      <c r="H35" s="484">
        <f>38.3-38.3</f>
        <v>0</v>
      </c>
      <c r="I35" s="884"/>
      <c r="J35" s="484">
        <f>137978.64-137978.64</f>
        <v>0</v>
      </c>
      <c r="K35" s="494">
        <f>826688.27-826688.27</f>
        <v>0</v>
      </c>
    </row>
    <row r="36" spans="1:11" x14ac:dyDescent="0.2">
      <c r="A36" s="384" t="s">
        <v>2680</v>
      </c>
      <c r="B36" s="382" t="s">
        <v>324</v>
      </c>
      <c r="C36" s="878"/>
      <c r="D36" s="881"/>
      <c r="E36" s="472">
        <v>710</v>
      </c>
      <c r="F36" s="292"/>
      <c r="G36" s="382"/>
      <c r="H36" s="492">
        <v>39.76</v>
      </c>
      <c r="I36" s="884"/>
      <c r="J36" s="461">
        <v>125251.84</v>
      </c>
      <c r="K36" s="486"/>
    </row>
    <row r="37" spans="1:11" x14ac:dyDescent="0.2">
      <c r="A37" s="384" t="s">
        <v>2681</v>
      </c>
      <c r="B37" s="382" t="s">
        <v>324</v>
      </c>
      <c r="C37" s="878"/>
      <c r="D37" s="881"/>
      <c r="E37" s="472">
        <v>808</v>
      </c>
      <c r="F37" s="292"/>
      <c r="G37" s="382"/>
      <c r="H37" s="492">
        <v>18.93</v>
      </c>
      <c r="I37" s="884"/>
      <c r="J37" s="461">
        <v>59633.23</v>
      </c>
      <c r="K37" s="486"/>
    </row>
    <row r="38" spans="1:11" x14ac:dyDescent="0.2">
      <c r="A38" s="384" t="s">
        <v>2682</v>
      </c>
      <c r="B38" s="382" t="s">
        <v>324</v>
      </c>
      <c r="C38" s="878"/>
      <c r="D38" s="881"/>
      <c r="E38" s="472" t="s">
        <v>2684</v>
      </c>
      <c r="F38" s="292"/>
      <c r="G38" s="382"/>
      <c r="H38" s="492">
        <v>18.93</v>
      </c>
      <c r="I38" s="884"/>
      <c r="J38" s="461">
        <v>59633.23</v>
      </c>
      <c r="K38" s="486"/>
    </row>
    <row r="39" spans="1:11" x14ac:dyDescent="0.2">
      <c r="A39" s="384" t="s">
        <v>2683</v>
      </c>
      <c r="B39" s="382" t="s">
        <v>324</v>
      </c>
      <c r="C39" s="878"/>
      <c r="D39" s="881"/>
      <c r="E39" s="472">
        <v>809</v>
      </c>
      <c r="F39" s="292"/>
      <c r="G39" s="382"/>
      <c r="H39" s="492">
        <v>28.76</v>
      </c>
      <c r="I39" s="884"/>
      <c r="J39" s="461">
        <v>90599.67</v>
      </c>
      <c r="K39" s="486"/>
    </row>
    <row r="40" spans="1:11" x14ac:dyDescent="0.2">
      <c r="A40" s="384" t="s">
        <v>2685</v>
      </c>
      <c r="B40" s="382" t="s">
        <v>324</v>
      </c>
      <c r="C40" s="878"/>
      <c r="D40" s="881"/>
      <c r="E40" s="472" t="s">
        <v>2663</v>
      </c>
      <c r="F40" s="292"/>
      <c r="G40" s="382"/>
      <c r="H40" s="492">
        <v>19.68</v>
      </c>
      <c r="I40" s="884"/>
      <c r="J40" s="461">
        <v>61995.88</v>
      </c>
      <c r="K40" s="486"/>
    </row>
    <row r="41" spans="1:11" x14ac:dyDescent="0.2">
      <c r="A41" s="384" t="s">
        <v>2686</v>
      </c>
      <c r="B41" s="382" t="s">
        <v>324</v>
      </c>
      <c r="C41" s="878"/>
      <c r="D41" s="881"/>
      <c r="E41" s="472">
        <v>820</v>
      </c>
      <c r="F41" s="292"/>
      <c r="G41" s="382"/>
      <c r="H41" s="492">
        <v>37.36</v>
      </c>
      <c r="I41" s="884"/>
      <c r="J41" s="461">
        <v>117691.37</v>
      </c>
      <c r="K41" s="486"/>
    </row>
    <row r="42" spans="1:11" x14ac:dyDescent="0.2">
      <c r="A42" s="384" t="s">
        <v>2687</v>
      </c>
      <c r="B42" s="382" t="s">
        <v>324</v>
      </c>
      <c r="C42" s="878"/>
      <c r="D42" s="881"/>
      <c r="E42" s="472">
        <v>901</v>
      </c>
      <c r="F42" s="292"/>
      <c r="G42" s="382"/>
      <c r="H42" s="492">
        <v>39.96</v>
      </c>
      <c r="I42" s="884"/>
      <c r="J42" s="461">
        <v>125881.88</v>
      </c>
      <c r="K42" s="486"/>
    </row>
    <row r="43" spans="1:11" x14ac:dyDescent="0.2">
      <c r="A43" s="449" t="s">
        <v>12755</v>
      </c>
      <c r="B43" s="493" t="s">
        <v>324</v>
      </c>
      <c r="C43" s="878"/>
      <c r="D43" s="881"/>
      <c r="E43" s="472">
        <v>911</v>
      </c>
      <c r="F43" s="2"/>
      <c r="G43" s="2" t="s">
        <v>2770</v>
      </c>
      <c r="H43" s="461">
        <f>34.3-34.3</f>
        <v>0</v>
      </c>
      <c r="I43" s="884"/>
      <c r="J43" s="484">
        <f>120526.54-120526.54</f>
        <v>0</v>
      </c>
      <c r="K43" s="494"/>
    </row>
    <row r="44" spans="1:11" x14ac:dyDescent="0.2">
      <c r="A44" s="384" t="s">
        <v>2688</v>
      </c>
      <c r="B44" s="382" t="s">
        <v>324</v>
      </c>
      <c r="C44" s="878"/>
      <c r="D44" s="881"/>
      <c r="E44" s="472">
        <v>912</v>
      </c>
      <c r="F44" s="196" t="s">
        <v>12397</v>
      </c>
      <c r="G44" s="382"/>
      <c r="H44" s="492">
        <v>28.56</v>
      </c>
      <c r="I44" s="884"/>
      <c r="J44" s="461">
        <v>89969.63</v>
      </c>
      <c r="K44" s="486">
        <v>538229.68999999994</v>
      </c>
    </row>
    <row r="45" spans="1:11" x14ac:dyDescent="0.2">
      <c r="A45" s="384" t="s">
        <v>2689</v>
      </c>
      <c r="B45" s="382" t="s">
        <v>324</v>
      </c>
      <c r="C45" s="878"/>
      <c r="D45" s="881"/>
      <c r="E45" s="472">
        <v>913</v>
      </c>
      <c r="F45" s="196"/>
      <c r="G45" s="382"/>
      <c r="H45" s="492">
        <v>42.36</v>
      </c>
      <c r="I45" s="884"/>
      <c r="J45" s="461">
        <v>133442.35</v>
      </c>
      <c r="K45" s="486"/>
    </row>
    <row r="46" spans="1:11" ht="15" customHeight="1" x14ac:dyDescent="0.2">
      <c r="A46" s="384" t="s">
        <v>2690</v>
      </c>
      <c r="B46" s="382" t="s">
        <v>324</v>
      </c>
      <c r="C46" s="878"/>
      <c r="D46" s="881"/>
      <c r="E46" s="472">
        <v>915</v>
      </c>
      <c r="F46" s="196"/>
      <c r="G46" s="382"/>
      <c r="H46" s="492">
        <v>29.76</v>
      </c>
      <c r="I46" s="884"/>
      <c r="J46" s="461">
        <v>93749.87</v>
      </c>
      <c r="K46" s="486"/>
    </row>
    <row r="47" spans="1:11" x14ac:dyDescent="0.2">
      <c r="A47" s="384" t="s">
        <v>2691</v>
      </c>
      <c r="B47" s="382" t="s">
        <v>324</v>
      </c>
      <c r="C47" s="878"/>
      <c r="D47" s="881"/>
      <c r="E47" s="472">
        <v>916</v>
      </c>
      <c r="F47" s="196"/>
      <c r="G47" s="382"/>
      <c r="H47" s="492">
        <v>38.130000000000003</v>
      </c>
      <c r="I47" s="884"/>
      <c r="J47" s="461">
        <v>120117.02</v>
      </c>
      <c r="K47" s="486"/>
    </row>
    <row r="48" spans="1:11" x14ac:dyDescent="0.2">
      <c r="A48" s="384" t="s">
        <v>2692</v>
      </c>
      <c r="B48" s="382" t="s">
        <v>324</v>
      </c>
      <c r="C48" s="878"/>
      <c r="D48" s="881"/>
      <c r="E48" s="472">
        <v>919</v>
      </c>
      <c r="F48" s="196" t="s">
        <v>2695</v>
      </c>
      <c r="G48" s="382"/>
      <c r="H48" s="492">
        <v>31.4</v>
      </c>
      <c r="I48" s="884"/>
      <c r="J48" s="461">
        <v>63098.45</v>
      </c>
      <c r="K48" s="486">
        <v>658984.78</v>
      </c>
    </row>
    <row r="49" spans="1:11" ht="25.5" x14ac:dyDescent="0.2">
      <c r="A49" s="384" t="s">
        <v>2693</v>
      </c>
      <c r="B49" s="382" t="s">
        <v>5459</v>
      </c>
      <c r="C49" s="878"/>
      <c r="D49" s="881"/>
      <c r="E49" s="472">
        <v>924</v>
      </c>
      <c r="F49" s="196"/>
      <c r="G49" s="382"/>
      <c r="H49" s="492">
        <v>26.7</v>
      </c>
      <c r="I49" s="884"/>
      <c r="J49" s="461">
        <v>84110.26</v>
      </c>
      <c r="K49" s="486"/>
    </row>
    <row r="50" spans="1:11" x14ac:dyDescent="0.2">
      <c r="A50" s="384" t="s">
        <v>3537</v>
      </c>
      <c r="B50" s="382" t="s">
        <v>324</v>
      </c>
      <c r="C50" s="878"/>
      <c r="D50" s="881"/>
      <c r="E50" s="472">
        <v>224</v>
      </c>
      <c r="F50" s="196" t="s">
        <v>3538</v>
      </c>
      <c r="G50" s="382" t="s">
        <v>543</v>
      </c>
      <c r="H50" s="492">
        <v>28.4</v>
      </c>
      <c r="I50" s="884"/>
      <c r="J50" s="461">
        <v>1050000</v>
      </c>
      <c r="K50" s="486">
        <v>616359.76</v>
      </c>
    </row>
    <row r="51" spans="1:11" x14ac:dyDescent="0.2">
      <c r="A51" s="384" t="s">
        <v>3539</v>
      </c>
      <c r="B51" s="382" t="s">
        <v>324</v>
      </c>
      <c r="C51" s="878"/>
      <c r="D51" s="881"/>
      <c r="E51" s="472">
        <v>721</v>
      </c>
      <c r="F51" s="196" t="s">
        <v>3542</v>
      </c>
      <c r="G51" s="382" t="s">
        <v>2766</v>
      </c>
      <c r="H51" s="492">
        <v>27.2</v>
      </c>
      <c r="I51" s="884"/>
      <c r="J51" s="461">
        <v>1070000</v>
      </c>
      <c r="K51" s="486">
        <v>590316.39</v>
      </c>
    </row>
    <row r="52" spans="1:11" x14ac:dyDescent="0.2">
      <c r="A52" s="384" t="s">
        <v>3541</v>
      </c>
      <c r="B52" s="382" t="s">
        <v>324</v>
      </c>
      <c r="C52" s="878"/>
      <c r="D52" s="881"/>
      <c r="E52" s="472">
        <v>813</v>
      </c>
      <c r="F52" s="196" t="s">
        <v>3540</v>
      </c>
      <c r="G52" s="382" t="s">
        <v>2769</v>
      </c>
      <c r="H52" s="492">
        <v>35.299999999999997</v>
      </c>
      <c r="I52" s="884"/>
      <c r="J52" s="461">
        <v>1350000</v>
      </c>
      <c r="K52" s="486">
        <v>766109.14</v>
      </c>
    </row>
    <row r="53" spans="1:11" x14ac:dyDescent="0.2">
      <c r="A53" s="384" t="s">
        <v>6683</v>
      </c>
      <c r="B53" s="382" t="s">
        <v>324</v>
      </c>
      <c r="C53" s="878"/>
      <c r="D53" s="881"/>
      <c r="E53" s="472">
        <v>807</v>
      </c>
      <c r="F53" s="196" t="s">
        <v>6684</v>
      </c>
      <c r="G53" s="382" t="s">
        <v>2769</v>
      </c>
      <c r="H53" s="461">
        <v>35.9</v>
      </c>
      <c r="I53" s="884"/>
      <c r="J53" s="461">
        <v>1041348</v>
      </c>
      <c r="K53" s="486">
        <v>774885.35</v>
      </c>
    </row>
    <row r="54" spans="1:11" x14ac:dyDescent="0.2">
      <c r="A54" s="449" t="s">
        <v>12370</v>
      </c>
      <c r="B54" s="495" t="s">
        <v>324</v>
      </c>
      <c r="C54" s="878"/>
      <c r="D54" s="881"/>
      <c r="E54" s="472">
        <v>814</v>
      </c>
      <c r="F54" s="223" t="s">
        <v>12371</v>
      </c>
      <c r="G54" s="481" t="s">
        <v>2769</v>
      </c>
      <c r="H54" s="484">
        <v>35.1</v>
      </c>
      <c r="I54" s="884"/>
      <c r="J54" s="484">
        <v>1153053</v>
      </c>
      <c r="K54" s="494">
        <v>757617.7</v>
      </c>
    </row>
    <row r="55" spans="1:11" x14ac:dyDescent="0.2">
      <c r="A55" s="449" t="s">
        <v>12460</v>
      </c>
      <c r="B55" s="495" t="s">
        <v>324</v>
      </c>
      <c r="C55" s="879"/>
      <c r="D55" s="882"/>
      <c r="E55" s="472">
        <v>707</v>
      </c>
      <c r="F55" s="223" t="s">
        <v>12461</v>
      </c>
      <c r="G55" s="481" t="s">
        <v>2766</v>
      </c>
      <c r="H55" s="484">
        <v>36.6</v>
      </c>
      <c r="I55" s="885"/>
      <c r="J55" s="484">
        <v>1153053</v>
      </c>
      <c r="K55" s="494">
        <v>794322.85</v>
      </c>
    </row>
    <row r="56" spans="1:11" x14ac:dyDescent="0.2">
      <c r="A56" s="383" t="s">
        <v>559</v>
      </c>
      <c r="B56" s="382"/>
      <c r="C56" s="893" t="s">
        <v>12756</v>
      </c>
      <c r="D56" s="898">
        <v>21</v>
      </c>
      <c r="E56" s="485"/>
      <c r="F56" s="196"/>
      <c r="G56" s="382"/>
      <c r="H56" s="492">
        <f>4874-4874</f>
        <v>0</v>
      </c>
      <c r="I56" s="891">
        <v>1978</v>
      </c>
      <c r="J56" s="461">
        <f>9763576-9763576</f>
        <v>0</v>
      </c>
      <c r="K56" s="486"/>
    </row>
    <row r="57" spans="1:11" ht="14.25" customHeight="1" x14ac:dyDescent="0.2">
      <c r="A57" s="384" t="s">
        <v>560</v>
      </c>
      <c r="B57" s="382" t="s">
        <v>324</v>
      </c>
      <c r="C57" s="893"/>
      <c r="D57" s="898"/>
      <c r="E57" s="485">
        <v>10</v>
      </c>
      <c r="F57" s="196" t="s">
        <v>2697</v>
      </c>
      <c r="G57" s="382"/>
      <c r="H57" s="492">
        <v>49.9</v>
      </c>
      <c r="I57" s="891"/>
      <c r="J57" s="461">
        <v>99959.47</v>
      </c>
      <c r="K57" s="486">
        <v>955897.99</v>
      </c>
    </row>
    <row r="58" spans="1:11" ht="12.75" customHeight="1" x14ac:dyDescent="0.2">
      <c r="A58" s="384" t="s">
        <v>2696</v>
      </c>
      <c r="B58" s="382" t="s">
        <v>324</v>
      </c>
      <c r="C58" s="893"/>
      <c r="D58" s="898"/>
      <c r="E58" s="485">
        <v>79</v>
      </c>
      <c r="F58" s="196"/>
      <c r="G58" s="382"/>
      <c r="H58" s="492">
        <v>43.3</v>
      </c>
      <c r="I58" s="891"/>
      <c r="J58" s="461">
        <v>86738.38</v>
      </c>
      <c r="K58" s="486"/>
    </row>
    <row r="59" spans="1:11" x14ac:dyDescent="0.2">
      <c r="A59" s="383" t="s">
        <v>579</v>
      </c>
      <c r="B59" s="382"/>
      <c r="C59" s="877" t="s">
        <v>12757</v>
      </c>
      <c r="D59" s="880">
        <v>22</v>
      </c>
      <c r="E59" s="485"/>
      <c r="F59" s="196"/>
      <c r="G59" s="382"/>
      <c r="H59" s="492">
        <f>8313-8313</f>
        <v>0</v>
      </c>
      <c r="I59" s="883">
        <v>1992</v>
      </c>
      <c r="J59" s="461">
        <f>4492616-4492616</f>
        <v>0</v>
      </c>
      <c r="K59" s="486"/>
    </row>
    <row r="60" spans="1:11" ht="12.75" customHeight="1" x14ac:dyDescent="0.2">
      <c r="A60" s="384" t="s">
        <v>2698</v>
      </c>
      <c r="B60" s="382" t="s">
        <v>324</v>
      </c>
      <c r="C60" s="878"/>
      <c r="D60" s="881"/>
      <c r="E60" s="485">
        <v>49</v>
      </c>
      <c r="F60" s="196"/>
      <c r="G60" s="382"/>
      <c r="H60" s="492">
        <v>47.7</v>
      </c>
      <c r="I60" s="884"/>
      <c r="J60" s="461">
        <v>25778.63</v>
      </c>
      <c r="K60" s="486"/>
    </row>
    <row r="61" spans="1:11" ht="12.75" customHeight="1" x14ac:dyDescent="0.2">
      <c r="A61" s="384" t="s">
        <v>2699</v>
      </c>
      <c r="B61" s="382" t="s">
        <v>324</v>
      </c>
      <c r="C61" s="878"/>
      <c r="D61" s="881"/>
      <c r="E61" s="485">
        <v>52</v>
      </c>
      <c r="F61" s="196"/>
      <c r="G61" s="382"/>
      <c r="H61" s="492">
        <v>41.3</v>
      </c>
      <c r="I61" s="884"/>
      <c r="J61" s="461">
        <v>22319.87</v>
      </c>
      <c r="K61" s="486"/>
    </row>
    <row r="62" spans="1:11" x14ac:dyDescent="0.2">
      <c r="A62" s="384" t="s">
        <v>2700</v>
      </c>
      <c r="B62" s="382" t="s">
        <v>324</v>
      </c>
      <c r="C62" s="878"/>
      <c r="D62" s="881"/>
      <c r="E62" s="485">
        <v>101</v>
      </c>
      <c r="F62" s="196" t="s">
        <v>11558</v>
      </c>
      <c r="G62" s="382"/>
      <c r="H62" s="492">
        <v>39.200000000000003</v>
      </c>
      <c r="I62" s="884"/>
      <c r="J62" s="461">
        <f>20860.7</f>
        <v>20860.7</v>
      </c>
      <c r="K62" s="486"/>
    </row>
    <row r="63" spans="1:11" x14ac:dyDescent="0.2">
      <c r="A63" s="384" t="s">
        <v>2701</v>
      </c>
      <c r="B63" s="382" t="s">
        <v>324</v>
      </c>
      <c r="C63" s="878"/>
      <c r="D63" s="881"/>
      <c r="E63" s="485">
        <v>149</v>
      </c>
      <c r="F63" s="196"/>
      <c r="G63" s="382"/>
      <c r="H63" s="492">
        <v>39.299999999999997</v>
      </c>
      <c r="I63" s="884"/>
      <c r="J63" s="461">
        <v>21239</v>
      </c>
      <c r="K63" s="486"/>
    </row>
    <row r="64" spans="1:11" x14ac:dyDescent="0.2">
      <c r="A64" s="384" t="s">
        <v>2702</v>
      </c>
      <c r="B64" s="382" t="s">
        <v>324</v>
      </c>
      <c r="C64" s="878"/>
      <c r="D64" s="881"/>
      <c r="E64" s="485">
        <v>159</v>
      </c>
      <c r="F64" s="196" t="s">
        <v>2703</v>
      </c>
      <c r="G64" s="382" t="s">
        <v>133</v>
      </c>
      <c r="H64" s="461">
        <f>28.1</f>
        <v>28.1</v>
      </c>
      <c r="I64" s="884"/>
      <c r="J64" s="461">
        <f>14969.98</f>
        <v>14969.98</v>
      </c>
      <c r="K64" s="486">
        <v>608584.46</v>
      </c>
    </row>
    <row r="65" spans="1:11" x14ac:dyDescent="0.2">
      <c r="A65" s="449" t="s">
        <v>11554</v>
      </c>
      <c r="B65" s="382" t="s">
        <v>324</v>
      </c>
      <c r="C65" s="878"/>
      <c r="D65" s="881"/>
      <c r="E65" s="382">
        <v>129</v>
      </c>
      <c r="F65" s="382" t="s">
        <v>10994</v>
      </c>
      <c r="G65" s="382" t="s">
        <v>143</v>
      </c>
      <c r="H65" s="382">
        <v>66.400000000000006</v>
      </c>
      <c r="I65" s="884"/>
      <c r="J65" s="461">
        <v>159939</v>
      </c>
      <c r="K65" s="486">
        <v>1426133.89</v>
      </c>
    </row>
    <row r="66" spans="1:11" x14ac:dyDescent="0.2">
      <c r="A66" s="449" t="s">
        <v>11907</v>
      </c>
      <c r="B66" s="382" t="s">
        <v>324</v>
      </c>
      <c r="C66" s="878"/>
      <c r="D66" s="881"/>
      <c r="E66" s="382">
        <v>108</v>
      </c>
      <c r="F66" s="382" t="s">
        <v>11908</v>
      </c>
      <c r="G66" s="382" t="s">
        <v>538</v>
      </c>
      <c r="H66" s="382">
        <v>53.7</v>
      </c>
      <c r="I66" s="884"/>
      <c r="J66" s="484">
        <f>4492616/8313*H66</f>
        <v>29021.229303500542</v>
      </c>
      <c r="K66" s="486">
        <v>1168227.3600000001</v>
      </c>
    </row>
    <row r="67" spans="1:11" x14ac:dyDescent="0.2">
      <c r="A67" s="449" t="s">
        <v>12394</v>
      </c>
      <c r="B67" s="382" t="s">
        <v>308</v>
      </c>
      <c r="C67" s="879"/>
      <c r="D67" s="882"/>
      <c r="E67" s="496" t="s">
        <v>12395</v>
      </c>
      <c r="F67" s="382" t="s">
        <v>12396</v>
      </c>
      <c r="G67" s="382" t="s">
        <v>543</v>
      </c>
      <c r="H67" s="382">
        <v>40.299999999999997</v>
      </c>
      <c r="I67" s="885"/>
      <c r="J67" s="484">
        <v>1153053</v>
      </c>
      <c r="K67" s="486">
        <v>870581.56</v>
      </c>
    </row>
    <row r="68" spans="1:11" x14ac:dyDescent="0.2">
      <c r="A68" s="383" t="s">
        <v>580</v>
      </c>
      <c r="B68" s="382"/>
      <c r="C68" s="877" t="s">
        <v>12758</v>
      </c>
      <c r="D68" s="880">
        <v>27</v>
      </c>
      <c r="E68" s="485"/>
      <c r="F68" s="196"/>
      <c r="G68" s="491"/>
      <c r="H68" s="492">
        <f>6808-6808</f>
        <v>0</v>
      </c>
      <c r="I68" s="883">
        <v>1983</v>
      </c>
      <c r="J68" s="461">
        <f>15442240-15442240</f>
        <v>0</v>
      </c>
      <c r="K68" s="486"/>
    </row>
    <row r="69" spans="1:11" ht="12.75" customHeight="1" x14ac:dyDescent="0.2">
      <c r="A69" s="384" t="s">
        <v>581</v>
      </c>
      <c r="B69" s="382" t="s">
        <v>324</v>
      </c>
      <c r="C69" s="878"/>
      <c r="D69" s="881"/>
      <c r="E69" s="451">
        <v>60</v>
      </c>
      <c r="F69" s="196" t="s">
        <v>36</v>
      </c>
      <c r="G69" s="382"/>
      <c r="H69" s="492">
        <v>61.1</v>
      </c>
      <c r="I69" s="884"/>
      <c r="J69" s="461">
        <v>138590.02115158635</v>
      </c>
      <c r="K69" s="486">
        <v>1170448.24</v>
      </c>
    </row>
    <row r="70" spans="1:11" x14ac:dyDescent="0.2">
      <c r="A70" s="384" t="s">
        <v>12759</v>
      </c>
      <c r="B70" s="382" t="s">
        <v>324</v>
      </c>
      <c r="C70" s="878"/>
      <c r="D70" s="881"/>
      <c r="E70" s="451">
        <v>75</v>
      </c>
      <c r="F70" s="40" t="s">
        <v>11559</v>
      </c>
      <c r="G70" s="382" t="s">
        <v>11556</v>
      </c>
      <c r="H70" s="461">
        <v>28.7</v>
      </c>
      <c r="I70" s="884"/>
      <c r="J70" s="497">
        <v>924685.3</v>
      </c>
      <c r="K70" s="463">
        <v>568835.72</v>
      </c>
    </row>
    <row r="71" spans="1:11" x14ac:dyDescent="0.2">
      <c r="A71" s="449" t="s">
        <v>12499</v>
      </c>
      <c r="B71" s="498" t="s">
        <v>12760</v>
      </c>
      <c r="C71" s="879"/>
      <c r="D71" s="882"/>
      <c r="E71" s="472">
        <v>43</v>
      </c>
      <c r="F71" s="223" t="s">
        <v>12500</v>
      </c>
      <c r="G71" s="481" t="s">
        <v>543</v>
      </c>
      <c r="H71" s="484">
        <v>30.1</v>
      </c>
      <c r="I71" s="885"/>
      <c r="J71" s="484">
        <f t="shared" ref="J71" si="0">15442240/6808*H71</f>
        <v>68274.298472385432</v>
      </c>
      <c r="K71" s="494">
        <v>596586.80000000005</v>
      </c>
    </row>
    <row r="72" spans="1:11" x14ac:dyDescent="0.2">
      <c r="A72" s="383" t="s">
        <v>582</v>
      </c>
      <c r="B72" s="382"/>
      <c r="C72" s="893" t="s">
        <v>12761</v>
      </c>
      <c r="D72" s="898">
        <v>33</v>
      </c>
      <c r="E72" s="485"/>
      <c r="F72" s="196"/>
      <c r="G72" s="382"/>
      <c r="H72" s="492">
        <f>7638-7638</f>
        <v>0</v>
      </c>
      <c r="I72" s="891">
        <v>1990</v>
      </c>
      <c r="J72" s="461">
        <f>28870560-28870560</f>
        <v>0</v>
      </c>
      <c r="K72" s="486"/>
    </row>
    <row r="73" spans="1:11" ht="12.75" customHeight="1" x14ac:dyDescent="0.2">
      <c r="A73" s="384" t="s">
        <v>583</v>
      </c>
      <c r="B73" s="382" t="s">
        <v>324</v>
      </c>
      <c r="C73" s="893"/>
      <c r="D73" s="898"/>
      <c r="E73" s="485">
        <v>4</v>
      </c>
      <c r="F73" s="196" t="s">
        <v>3074</v>
      </c>
      <c r="G73" s="382"/>
      <c r="H73" s="492">
        <v>64</v>
      </c>
      <c r="I73" s="891"/>
      <c r="J73" s="461">
        <v>241910.95051060486</v>
      </c>
      <c r="K73" s="486">
        <v>1321877.8700000001</v>
      </c>
    </row>
    <row r="74" spans="1:11" x14ac:dyDescent="0.2">
      <c r="A74" s="384" t="s">
        <v>584</v>
      </c>
      <c r="B74" s="382" t="s">
        <v>324</v>
      </c>
      <c r="C74" s="893"/>
      <c r="D74" s="898"/>
      <c r="E74" s="485">
        <v>96</v>
      </c>
      <c r="F74" s="196" t="s">
        <v>3075</v>
      </c>
      <c r="G74" s="382"/>
      <c r="H74" s="492">
        <v>50.3</v>
      </c>
      <c r="I74" s="891"/>
      <c r="J74" s="461">
        <v>190126.88766692849</v>
      </c>
      <c r="K74" s="486">
        <v>1002896.98</v>
      </c>
    </row>
    <row r="75" spans="1:11" x14ac:dyDescent="0.2">
      <c r="A75" s="384" t="s">
        <v>585</v>
      </c>
      <c r="B75" s="382" t="s">
        <v>324</v>
      </c>
      <c r="C75" s="893"/>
      <c r="D75" s="898"/>
      <c r="E75" s="485">
        <v>128</v>
      </c>
      <c r="F75" s="196" t="s">
        <v>145</v>
      </c>
      <c r="G75" s="382"/>
      <c r="H75" s="492">
        <v>57.5</v>
      </c>
      <c r="I75" s="891"/>
      <c r="J75" s="461">
        <v>217341.86959937157</v>
      </c>
      <c r="K75" s="486">
        <v>1146452.81</v>
      </c>
    </row>
    <row r="76" spans="1:11" ht="25.5" x14ac:dyDescent="0.2">
      <c r="A76" s="383" t="s">
        <v>586</v>
      </c>
      <c r="B76" s="382"/>
      <c r="C76" s="877" t="s">
        <v>12762</v>
      </c>
      <c r="D76" s="880">
        <v>3</v>
      </c>
      <c r="E76" s="485"/>
      <c r="F76" s="196"/>
      <c r="G76" s="382" t="s">
        <v>2828</v>
      </c>
      <c r="H76" s="492">
        <f>9219-9219</f>
        <v>0</v>
      </c>
      <c r="I76" s="883">
        <v>1978</v>
      </c>
      <c r="J76" s="461">
        <f>19387752-19387752</f>
        <v>0</v>
      </c>
      <c r="K76" s="486"/>
    </row>
    <row r="77" spans="1:11" ht="24" customHeight="1" x14ac:dyDescent="0.2">
      <c r="A77" s="384" t="s">
        <v>588</v>
      </c>
      <c r="B77" s="382" t="s">
        <v>324</v>
      </c>
      <c r="C77" s="878"/>
      <c r="D77" s="881"/>
      <c r="E77" s="485">
        <v>58</v>
      </c>
      <c r="F77" s="196"/>
      <c r="G77" s="382"/>
      <c r="H77" s="492">
        <v>41.8</v>
      </c>
      <c r="I77" s="884"/>
      <c r="J77" s="461">
        <v>87906.28415229416</v>
      </c>
      <c r="K77" s="486"/>
    </row>
    <row r="78" spans="1:11" x14ac:dyDescent="0.2">
      <c r="A78" s="384" t="s">
        <v>589</v>
      </c>
      <c r="B78" s="382" t="s">
        <v>324</v>
      </c>
      <c r="C78" s="878"/>
      <c r="D78" s="881"/>
      <c r="E78" s="485">
        <v>94</v>
      </c>
      <c r="F78" s="196"/>
      <c r="G78" s="382"/>
      <c r="H78" s="492">
        <v>53.4</v>
      </c>
      <c r="I78" s="884"/>
      <c r="J78" s="461">
        <v>85172.356654734787</v>
      </c>
      <c r="K78" s="486"/>
    </row>
    <row r="79" spans="1:11" x14ac:dyDescent="0.2">
      <c r="A79" s="384" t="s">
        <v>590</v>
      </c>
      <c r="B79" s="382" t="s">
        <v>324</v>
      </c>
      <c r="C79" s="878"/>
      <c r="D79" s="881"/>
      <c r="E79" s="485">
        <v>115</v>
      </c>
      <c r="F79" s="196"/>
      <c r="G79" s="382"/>
      <c r="H79" s="492">
        <v>31.6</v>
      </c>
      <c r="I79" s="884"/>
      <c r="J79" s="461">
        <v>66455.46840221282</v>
      </c>
      <c r="K79" s="486"/>
    </row>
    <row r="80" spans="1:11" x14ac:dyDescent="0.2">
      <c r="A80" s="384" t="s">
        <v>591</v>
      </c>
      <c r="B80" s="382" t="s">
        <v>324</v>
      </c>
      <c r="C80" s="879"/>
      <c r="D80" s="882"/>
      <c r="E80" s="485">
        <v>120</v>
      </c>
      <c r="F80" s="196" t="s">
        <v>6109</v>
      </c>
      <c r="G80" s="382"/>
      <c r="H80" s="492">
        <v>43.7</v>
      </c>
      <c r="I80" s="885"/>
      <c r="J80" s="461">
        <v>91902.024341034819</v>
      </c>
      <c r="K80" s="486">
        <v>827676.24</v>
      </c>
    </row>
    <row r="81" spans="1:11" x14ac:dyDescent="0.2">
      <c r="A81" s="383" t="s">
        <v>587</v>
      </c>
      <c r="B81" s="382"/>
      <c r="C81" s="893" t="s">
        <v>12763</v>
      </c>
      <c r="D81" s="880">
        <v>5</v>
      </c>
      <c r="E81" s="485"/>
      <c r="F81" s="196"/>
      <c r="G81" s="382"/>
      <c r="H81" s="492">
        <f>3217-3217</f>
        <v>0</v>
      </c>
      <c r="I81" s="891">
        <v>1980</v>
      </c>
      <c r="J81" s="461">
        <f>8274292-8274292</f>
        <v>0</v>
      </c>
      <c r="K81" s="486"/>
    </row>
    <row r="82" spans="1:11" x14ac:dyDescent="0.2">
      <c r="A82" s="384" t="s">
        <v>592</v>
      </c>
      <c r="B82" s="382" t="s">
        <v>324</v>
      </c>
      <c r="C82" s="893"/>
      <c r="D82" s="882"/>
      <c r="E82" s="485">
        <v>44</v>
      </c>
      <c r="F82" s="196"/>
      <c r="G82" s="382"/>
      <c r="H82" s="492">
        <v>80.7</v>
      </c>
      <c r="I82" s="891"/>
      <c r="J82" s="461">
        <v>207564.6143612061</v>
      </c>
      <c r="K82" s="486"/>
    </row>
    <row r="83" spans="1:11" x14ac:dyDescent="0.2">
      <c r="A83" s="383" t="s">
        <v>593</v>
      </c>
      <c r="B83" s="382"/>
      <c r="C83" s="893" t="s">
        <v>12764</v>
      </c>
      <c r="D83" s="898">
        <v>6</v>
      </c>
      <c r="E83" s="485"/>
      <c r="F83" s="196"/>
      <c r="G83" s="382"/>
      <c r="H83" s="492">
        <f>8585-8585</f>
        <v>0</v>
      </c>
      <c r="I83" s="891">
        <v>1978</v>
      </c>
      <c r="J83" s="461">
        <f>19866960-19866960</f>
        <v>0</v>
      </c>
      <c r="K83" s="486"/>
    </row>
    <row r="84" spans="1:11" ht="12.75" customHeight="1" x14ac:dyDescent="0.2">
      <c r="A84" s="384" t="s">
        <v>594</v>
      </c>
      <c r="B84" s="382" t="s">
        <v>324</v>
      </c>
      <c r="C84" s="893"/>
      <c r="D84" s="898"/>
      <c r="E84" s="485">
        <v>10</v>
      </c>
      <c r="F84" s="196" t="s">
        <v>3076</v>
      </c>
      <c r="G84" s="382" t="s">
        <v>133</v>
      </c>
      <c r="H84" s="492">
        <v>59.5</v>
      </c>
      <c r="I84" s="891"/>
      <c r="J84" s="461">
        <v>137691.80198019804</v>
      </c>
      <c r="K84" s="486">
        <v>1139798.21</v>
      </c>
    </row>
    <row r="85" spans="1:11" x14ac:dyDescent="0.2">
      <c r="A85" s="384" t="s">
        <v>595</v>
      </c>
      <c r="B85" s="382" t="s">
        <v>324</v>
      </c>
      <c r="C85" s="893"/>
      <c r="D85" s="898"/>
      <c r="E85" s="485">
        <v>31</v>
      </c>
      <c r="F85" s="196"/>
      <c r="G85" s="382"/>
      <c r="H85" s="492">
        <v>44.7</v>
      </c>
      <c r="I85" s="891"/>
      <c r="J85" s="461">
        <v>103442.41258008155</v>
      </c>
      <c r="K85" s="486"/>
    </row>
    <row r="86" spans="1:11" x14ac:dyDescent="0.2">
      <c r="A86" s="383" t="s">
        <v>596</v>
      </c>
      <c r="B86" s="382"/>
      <c r="C86" s="893" t="s">
        <v>12765</v>
      </c>
      <c r="D86" s="898">
        <v>14</v>
      </c>
      <c r="E86" s="485"/>
      <c r="F86" s="196"/>
      <c r="G86" s="382"/>
      <c r="H86" s="492">
        <f>4150-4150</f>
        <v>0</v>
      </c>
      <c r="I86" s="891">
        <v>1983</v>
      </c>
      <c r="J86" s="461">
        <f>11448348-11448348</f>
        <v>0</v>
      </c>
      <c r="K86" s="486"/>
    </row>
    <row r="87" spans="1:11" ht="12.75" customHeight="1" x14ac:dyDescent="0.2">
      <c r="A87" s="384" t="s">
        <v>597</v>
      </c>
      <c r="B87" s="382" t="s">
        <v>324</v>
      </c>
      <c r="C87" s="893"/>
      <c r="D87" s="898"/>
      <c r="E87" s="485">
        <v>13</v>
      </c>
      <c r="F87" s="196"/>
      <c r="G87" s="382" t="s">
        <v>134</v>
      </c>
      <c r="H87" s="492">
        <v>48.1</v>
      </c>
      <c r="I87" s="891"/>
      <c r="J87" s="461">
        <v>132690.49127710843</v>
      </c>
      <c r="K87" s="486"/>
    </row>
    <row r="88" spans="1:11" x14ac:dyDescent="0.2">
      <c r="A88" s="383" t="s">
        <v>598</v>
      </c>
      <c r="B88" s="382"/>
      <c r="C88" s="893" t="s">
        <v>12766</v>
      </c>
      <c r="D88" s="898">
        <v>15</v>
      </c>
      <c r="E88" s="485"/>
      <c r="F88" s="196"/>
      <c r="G88" s="382"/>
      <c r="H88" s="492">
        <f>6670-6670</f>
        <v>0</v>
      </c>
      <c r="I88" s="891">
        <v>1994</v>
      </c>
      <c r="J88" s="461">
        <f>11142652-11142652</f>
        <v>0</v>
      </c>
      <c r="K88" s="486"/>
    </row>
    <row r="89" spans="1:11" ht="12.75" customHeight="1" x14ac:dyDescent="0.2">
      <c r="A89" s="384" t="s">
        <v>599</v>
      </c>
      <c r="B89" s="382" t="s">
        <v>324</v>
      </c>
      <c r="C89" s="893"/>
      <c r="D89" s="898"/>
      <c r="E89" s="485">
        <v>18</v>
      </c>
      <c r="F89" s="196" t="s">
        <v>305</v>
      </c>
      <c r="G89" s="382"/>
      <c r="H89" s="492">
        <v>46.4</v>
      </c>
      <c r="I89" s="891"/>
      <c r="J89" s="461">
        <v>77514.239999999991</v>
      </c>
      <c r="K89" s="486">
        <v>1030936.85</v>
      </c>
    </row>
    <row r="90" spans="1:11" x14ac:dyDescent="0.2">
      <c r="A90" s="384" t="s">
        <v>600</v>
      </c>
      <c r="B90" s="382" t="s">
        <v>324</v>
      </c>
      <c r="C90" s="893"/>
      <c r="D90" s="898"/>
      <c r="E90" s="485">
        <v>89</v>
      </c>
      <c r="F90" s="196" t="s">
        <v>11730</v>
      </c>
      <c r="G90" s="382" t="s">
        <v>133</v>
      </c>
      <c r="H90" s="492">
        <v>61.3</v>
      </c>
      <c r="I90" s="891"/>
      <c r="J90" s="461">
        <v>102405.66620689654</v>
      </c>
      <c r="K90" s="486">
        <v>1340689.24</v>
      </c>
    </row>
    <row r="91" spans="1:11" x14ac:dyDescent="0.2">
      <c r="A91" s="384" t="s">
        <v>601</v>
      </c>
      <c r="B91" s="382" t="s">
        <v>324</v>
      </c>
      <c r="C91" s="893"/>
      <c r="D91" s="898"/>
      <c r="E91" s="485">
        <v>105</v>
      </c>
      <c r="F91" s="196"/>
      <c r="G91" s="382"/>
      <c r="H91" s="492">
        <v>59.9</v>
      </c>
      <c r="I91" s="891"/>
      <c r="J91" s="461">
        <v>100066.87448275861</v>
      </c>
      <c r="K91" s="486"/>
    </row>
    <row r="92" spans="1:11" x14ac:dyDescent="0.2">
      <c r="A92" s="383" t="s">
        <v>602</v>
      </c>
      <c r="B92" s="382"/>
      <c r="C92" s="893" t="s">
        <v>12767</v>
      </c>
      <c r="D92" s="898">
        <v>16</v>
      </c>
      <c r="E92" s="485"/>
      <c r="F92" s="196"/>
      <c r="G92" s="382"/>
      <c r="H92" s="492">
        <f>4065-4065</f>
        <v>0</v>
      </c>
      <c r="I92" s="891">
        <v>1978</v>
      </c>
      <c r="J92" s="461">
        <f>13140336-13140336</f>
        <v>0</v>
      </c>
      <c r="K92" s="486"/>
    </row>
    <row r="93" spans="1:11" ht="12.75" customHeight="1" x14ac:dyDescent="0.2">
      <c r="A93" s="384" t="s">
        <v>306</v>
      </c>
      <c r="B93" s="382" t="s">
        <v>324</v>
      </c>
      <c r="C93" s="893"/>
      <c r="D93" s="898"/>
      <c r="E93" s="485">
        <v>63</v>
      </c>
      <c r="F93" s="196"/>
      <c r="G93" s="382"/>
      <c r="H93" s="492">
        <v>57.1</v>
      </c>
      <c r="I93" s="891"/>
      <c r="J93" s="461">
        <v>184578.88944649449</v>
      </c>
      <c r="K93" s="486"/>
    </row>
    <row r="94" spans="1:11" x14ac:dyDescent="0.2">
      <c r="A94" s="383" t="s">
        <v>603</v>
      </c>
      <c r="B94" s="382"/>
      <c r="C94" s="893" t="s">
        <v>12768</v>
      </c>
      <c r="D94" s="898">
        <v>17</v>
      </c>
      <c r="E94" s="485"/>
      <c r="F94" s="196"/>
      <c r="G94" s="382"/>
      <c r="H94" s="492">
        <f>1987+1987+1988-5962</f>
        <v>0</v>
      </c>
      <c r="I94" s="891" t="s">
        <v>283</v>
      </c>
      <c r="J94" s="461">
        <f>11008500+26208000+25340890-62557390</f>
        <v>0</v>
      </c>
      <c r="K94" s="486"/>
    </row>
    <row r="95" spans="1:11" ht="12.75" customHeight="1" x14ac:dyDescent="0.2">
      <c r="A95" s="384" t="s">
        <v>604</v>
      </c>
      <c r="B95" s="382" t="s">
        <v>324</v>
      </c>
      <c r="C95" s="920"/>
      <c r="D95" s="898"/>
      <c r="E95" s="485">
        <v>39</v>
      </c>
      <c r="F95" s="196" t="s">
        <v>3814</v>
      </c>
      <c r="G95" s="382" t="s">
        <v>143</v>
      </c>
      <c r="H95" s="492">
        <v>49.7</v>
      </c>
      <c r="I95" s="891"/>
      <c r="J95" s="461">
        <v>91768.274069104329</v>
      </c>
      <c r="K95" s="486">
        <v>495391.71</v>
      </c>
    </row>
    <row r="96" spans="1:11" x14ac:dyDescent="0.2">
      <c r="A96" s="384" t="s">
        <v>605</v>
      </c>
      <c r="B96" s="382" t="s">
        <v>324</v>
      </c>
      <c r="C96" s="920"/>
      <c r="D96" s="898"/>
      <c r="E96" s="485">
        <v>54</v>
      </c>
      <c r="F96" s="196" t="s">
        <v>3815</v>
      </c>
      <c r="G96" s="382" t="s">
        <v>133</v>
      </c>
      <c r="H96" s="492">
        <v>49.3</v>
      </c>
      <c r="I96" s="891"/>
      <c r="J96" s="461">
        <v>91029.69641060046</v>
      </c>
      <c r="K96" s="486">
        <v>491404.65</v>
      </c>
    </row>
    <row r="97" spans="1:11" x14ac:dyDescent="0.2">
      <c r="A97" s="384" t="s">
        <v>606</v>
      </c>
      <c r="B97" s="382" t="s">
        <v>324</v>
      </c>
      <c r="C97" s="920"/>
      <c r="D97" s="898"/>
      <c r="E97" s="485">
        <v>106</v>
      </c>
      <c r="F97" s="196" t="s">
        <v>3816</v>
      </c>
      <c r="G97" s="382" t="s">
        <v>2770</v>
      </c>
      <c r="H97" s="492">
        <v>50.4</v>
      </c>
      <c r="I97" s="891"/>
      <c r="J97" s="461">
        <v>93060.784971486079</v>
      </c>
      <c r="K97" s="486">
        <v>502369.06</v>
      </c>
    </row>
    <row r="98" spans="1:11" x14ac:dyDescent="0.2">
      <c r="A98" s="383" t="s">
        <v>607</v>
      </c>
      <c r="B98" s="382"/>
      <c r="C98" s="893" t="s">
        <v>12769</v>
      </c>
      <c r="D98" s="898">
        <v>18</v>
      </c>
      <c r="E98" s="485"/>
      <c r="F98" s="196"/>
      <c r="G98" s="382"/>
      <c r="H98" s="492">
        <f>4128-4128</f>
        <v>0</v>
      </c>
      <c r="I98" s="891">
        <v>1984</v>
      </c>
      <c r="J98" s="461">
        <f>13359440-13359440</f>
        <v>0</v>
      </c>
      <c r="K98" s="486"/>
    </row>
    <row r="99" spans="1:11" ht="12.75" customHeight="1" x14ac:dyDescent="0.2">
      <c r="A99" s="384" t="s">
        <v>608</v>
      </c>
      <c r="B99" s="382" t="s">
        <v>324</v>
      </c>
      <c r="C99" s="893"/>
      <c r="D99" s="898"/>
      <c r="E99" s="485">
        <v>54</v>
      </c>
      <c r="F99" s="196" t="s">
        <v>307</v>
      </c>
      <c r="G99" s="382"/>
      <c r="H99" s="492">
        <v>48.1</v>
      </c>
      <c r="I99" s="891"/>
      <c r="J99" s="461">
        <v>155665.95542635661</v>
      </c>
      <c r="K99" s="486">
        <v>962836.83</v>
      </c>
    </row>
    <row r="100" spans="1:11" x14ac:dyDescent="0.2">
      <c r="A100" s="383" t="s">
        <v>609</v>
      </c>
      <c r="B100" s="382"/>
      <c r="C100" s="877" t="s">
        <v>12770</v>
      </c>
      <c r="D100" s="880">
        <v>6</v>
      </c>
      <c r="E100" s="485"/>
      <c r="F100" s="196"/>
      <c r="G100" s="382"/>
      <c r="H100" s="492">
        <f>4127-4127</f>
        <v>0</v>
      </c>
      <c r="I100" s="883">
        <v>1986</v>
      </c>
      <c r="J100" s="461">
        <f>14348032-14348032</f>
        <v>0</v>
      </c>
      <c r="K100" s="486"/>
    </row>
    <row r="101" spans="1:11" ht="25.5" x14ac:dyDescent="0.2">
      <c r="A101" s="384" t="s">
        <v>10547</v>
      </c>
      <c r="B101" s="382" t="s">
        <v>5459</v>
      </c>
      <c r="C101" s="879"/>
      <c r="D101" s="882"/>
      <c r="E101" s="485">
        <v>44</v>
      </c>
      <c r="F101" s="196" t="s">
        <v>11560</v>
      </c>
      <c r="G101" s="382" t="s">
        <v>543</v>
      </c>
      <c r="H101" s="461">
        <v>33.1</v>
      </c>
      <c r="I101" s="885"/>
      <c r="J101" s="461">
        <v>1063227</v>
      </c>
      <c r="K101" s="486">
        <v>705630.1</v>
      </c>
    </row>
    <row r="102" spans="1:11" x14ac:dyDescent="0.2">
      <c r="A102" s="383" t="s">
        <v>610</v>
      </c>
      <c r="B102" s="382"/>
      <c r="C102" s="893" t="s">
        <v>12771</v>
      </c>
      <c r="D102" s="898">
        <v>8</v>
      </c>
      <c r="E102" s="485"/>
      <c r="F102" s="196"/>
      <c r="G102" s="382"/>
      <c r="H102" s="492">
        <f>4155-4155</f>
        <v>0</v>
      </c>
      <c r="I102" s="891">
        <v>1987</v>
      </c>
      <c r="J102" s="461">
        <f>13780428-13780428</f>
        <v>0</v>
      </c>
      <c r="K102" s="486"/>
    </row>
    <row r="103" spans="1:11" ht="12.75" customHeight="1" x14ac:dyDescent="0.2">
      <c r="A103" s="384" t="s">
        <v>611</v>
      </c>
      <c r="B103" s="382" t="s">
        <v>324</v>
      </c>
      <c r="C103" s="893"/>
      <c r="D103" s="898"/>
      <c r="E103" s="485">
        <v>7</v>
      </c>
      <c r="F103" s="196" t="s">
        <v>3078</v>
      </c>
      <c r="G103" s="382" t="s">
        <v>134</v>
      </c>
      <c r="H103" s="492">
        <v>48.8</v>
      </c>
      <c r="I103" s="891"/>
      <c r="J103" s="461">
        <v>161849.22262334535</v>
      </c>
      <c r="K103" s="486">
        <v>1011791.37</v>
      </c>
    </row>
    <row r="104" spans="1:11" x14ac:dyDescent="0.2">
      <c r="A104" s="383" t="s">
        <v>612</v>
      </c>
      <c r="B104" s="382"/>
      <c r="C104" s="893" t="s">
        <v>12772</v>
      </c>
      <c r="D104" s="898">
        <v>10</v>
      </c>
      <c r="E104" s="485"/>
      <c r="F104" s="196"/>
      <c r="G104" s="382"/>
      <c r="H104" s="492">
        <f>4216-4216</f>
        <v>0</v>
      </c>
      <c r="I104" s="891">
        <v>1988</v>
      </c>
      <c r="J104" s="461">
        <f>15100136-15100136</f>
        <v>0</v>
      </c>
      <c r="K104" s="486"/>
    </row>
    <row r="105" spans="1:11" ht="12.75" customHeight="1" x14ac:dyDescent="0.2">
      <c r="A105" s="384" t="s">
        <v>613</v>
      </c>
      <c r="B105" s="382" t="s">
        <v>324</v>
      </c>
      <c r="C105" s="893"/>
      <c r="D105" s="898"/>
      <c r="E105" s="485">
        <v>28</v>
      </c>
      <c r="F105" s="196" t="s">
        <v>3079</v>
      </c>
      <c r="G105" s="382" t="s">
        <v>543</v>
      </c>
      <c r="H105" s="492">
        <v>50.4</v>
      </c>
      <c r="I105" s="891"/>
      <c r="J105" s="461">
        <v>180513.5294117647</v>
      </c>
      <c r="K105" s="486">
        <v>1040978.82</v>
      </c>
    </row>
    <row r="106" spans="1:11" x14ac:dyDescent="0.2">
      <c r="A106" s="384" t="s">
        <v>614</v>
      </c>
      <c r="B106" s="382" t="s">
        <v>324</v>
      </c>
      <c r="C106" s="893"/>
      <c r="D106" s="898"/>
      <c r="E106" s="485">
        <v>30</v>
      </c>
      <c r="F106" s="196"/>
      <c r="G106" s="382"/>
      <c r="H106" s="492">
        <v>51.1</v>
      </c>
      <c r="I106" s="891"/>
      <c r="J106" s="461">
        <v>183020.66176470587</v>
      </c>
      <c r="K106" s="486"/>
    </row>
    <row r="107" spans="1:11" x14ac:dyDescent="0.2">
      <c r="A107" s="384" t="s">
        <v>615</v>
      </c>
      <c r="B107" s="382" t="s">
        <v>324</v>
      </c>
      <c r="C107" s="893"/>
      <c r="D107" s="898"/>
      <c r="E107" s="485">
        <v>42</v>
      </c>
      <c r="F107" s="196"/>
      <c r="G107" s="382"/>
      <c r="H107" s="492">
        <v>38.4</v>
      </c>
      <c r="I107" s="891"/>
      <c r="J107" s="461">
        <v>137534.11764705883</v>
      </c>
      <c r="K107" s="486"/>
    </row>
    <row r="108" spans="1:11" x14ac:dyDescent="0.2">
      <c r="A108" s="383" t="s">
        <v>616</v>
      </c>
      <c r="B108" s="382"/>
      <c r="C108" s="893" t="s">
        <v>12773</v>
      </c>
      <c r="D108" s="898">
        <v>14</v>
      </c>
      <c r="E108" s="485"/>
      <c r="F108" s="196"/>
      <c r="G108" s="382"/>
      <c r="H108" s="492">
        <f>4171-4171</f>
        <v>0</v>
      </c>
      <c r="I108" s="891">
        <v>1987</v>
      </c>
      <c r="J108" s="461">
        <f>16193688-16193688</f>
        <v>0</v>
      </c>
      <c r="K108" s="486"/>
    </row>
    <row r="109" spans="1:11" ht="12.75" customHeight="1" x14ac:dyDescent="0.2">
      <c r="A109" s="384" t="s">
        <v>617</v>
      </c>
      <c r="B109" s="382" t="s">
        <v>324</v>
      </c>
      <c r="C109" s="893"/>
      <c r="D109" s="898"/>
      <c r="E109" s="485">
        <v>54</v>
      </c>
      <c r="F109" s="196" t="s">
        <v>3080</v>
      </c>
      <c r="G109" s="382"/>
      <c r="H109" s="492">
        <v>56.5</v>
      </c>
      <c r="I109" s="891"/>
      <c r="J109" s="461">
        <v>219358.27667226084</v>
      </c>
      <c r="K109" s="486">
        <v>1166970.31</v>
      </c>
    </row>
    <row r="110" spans="1:11" x14ac:dyDescent="0.2">
      <c r="A110" s="383" t="s">
        <v>618</v>
      </c>
      <c r="B110" s="382"/>
      <c r="C110" s="877" t="s">
        <v>12774</v>
      </c>
      <c r="D110" s="880">
        <v>1</v>
      </c>
      <c r="E110" s="485"/>
      <c r="F110" s="196"/>
      <c r="G110" s="382"/>
      <c r="H110" s="492">
        <f>9811-9811</f>
        <v>0</v>
      </c>
      <c r="I110" s="883">
        <v>1987</v>
      </c>
      <c r="J110" s="461">
        <f>44187340-44187340</f>
        <v>0</v>
      </c>
      <c r="K110" s="486"/>
    </row>
    <row r="111" spans="1:11" ht="12.75" customHeight="1" x14ac:dyDescent="0.2">
      <c r="A111" s="384" t="s">
        <v>619</v>
      </c>
      <c r="B111" s="382" t="s">
        <v>324</v>
      </c>
      <c r="C111" s="878"/>
      <c r="D111" s="881"/>
      <c r="E111" s="485">
        <v>1</v>
      </c>
      <c r="F111" s="196"/>
      <c r="G111" s="382"/>
      <c r="H111" s="492">
        <v>57.4</v>
      </c>
      <c r="I111" s="884"/>
      <c r="J111" s="461">
        <v>258521.38579145857</v>
      </c>
      <c r="K111" s="486"/>
    </row>
    <row r="112" spans="1:11" x14ac:dyDescent="0.2">
      <c r="A112" s="384" t="s">
        <v>620</v>
      </c>
      <c r="B112" s="382" t="s">
        <v>324</v>
      </c>
      <c r="C112" s="878"/>
      <c r="D112" s="881"/>
      <c r="E112" s="485">
        <v>22</v>
      </c>
      <c r="F112" s="196"/>
      <c r="G112" s="382"/>
      <c r="H112" s="492">
        <v>52.8</v>
      </c>
      <c r="I112" s="884"/>
      <c r="J112" s="461">
        <v>237803.64407297931</v>
      </c>
      <c r="K112" s="486"/>
    </row>
    <row r="113" spans="1:11" x14ac:dyDescent="0.2">
      <c r="A113" s="384" t="s">
        <v>621</v>
      </c>
      <c r="B113" s="382" t="s">
        <v>324</v>
      </c>
      <c r="C113" s="878"/>
      <c r="D113" s="881"/>
      <c r="E113" s="485">
        <v>42</v>
      </c>
      <c r="F113" s="196"/>
      <c r="G113" s="382"/>
      <c r="H113" s="492">
        <v>43.5</v>
      </c>
      <c r="I113" s="884"/>
      <c r="J113" s="461">
        <v>195917.77494648864</v>
      </c>
      <c r="K113" s="486"/>
    </row>
    <row r="114" spans="1:11" x14ac:dyDescent="0.2">
      <c r="A114" s="383" t="s">
        <v>622</v>
      </c>
      <c r="B114" s="382"/>
      <c r="C114" s="893" t="s">
        <v>12775</v>
      </c>
      <c r="D114" s="898">
        <v>4</v>
      </c>
      <c r="E114" s="485"/>
      <c r="F114" s="196"/>
      <c r="G114" s="382"/>
      <c r="H114" s="492">
        <f>7234-7234</f>
        <v>0</v>
      </c>
      <c r="I114" s="891">
        <v>1989</v>
      </c>
      <c r="J114" s="461">
        <f>27664012-27664012</f>
        <v>0</v>
      </c>
      <c r="K114" s="486"/>
    </row>
    <row r="115" spans="1:11" ht="12.75" customHeight="1" x14ac:dyDescent="0.2">
      <c r="A115" s="384" t="s">
        <v>623</v>
      </c>
      <c r="B115" s="382" t="s">
        <v>324</v>
      </c>
      <c r="C115" s="893"/>
      <c r="D115" s="898"/>
      <c r="E115" s="485">
        <v>24</v>
      </c>
      <c r="F115" s="196" t="s">
        <v>539</v>
      </c>
      <c r="G115" s="382"/>
      <c r="H115" s="492">
        <v>50.7</v>
      </c>
      <c r="I115" s="891"/>
      <c r="J115" s="461">
        <v>193885.09814763616</v>
      </c>
      <c r="K115" s="486">
        <v>1047175.13</v>
      </c>
    </row>
    <row r="116" spans="1:11" x14ac:dyDescent="0.2">
      <c r="A116" s="384" t="s">
        <v>624</v>
      </c>
      <c r="B116" s="382" t="s">
        <v>324</v>
      </c>
      <c r="C116" s="893"/>
      <c r="D116" s="898"/>
      <c r="E116" s="485">
        <v>70</v>
      </c>
      <c r="F116" s="196"/>
      <c r="G116" s="382"/>
      <c r="H116" s="492">
        <v>50.6</v>
      </c>
      <c r="I116" s="891"/>
      <c r="J116" s="461">
        <v>193502.68178048107</v>
      </c>
      <c r="K116" s="486"/>
    </row>
    <row r="117" spans="1:11" x14ac:dyDescent="0.2">
      <c r="A117" s="383" t="s">
        <v>625</v>
      </c>
      <c r="B117" s="382"/>
      <c r="C117" s="877" t="s">
        <v>12776</v>
      </c>
      <c r="D117" s="880">
        <v>21</v>
      </c>
      <c r="E117" s="485"/>
      <c r="F117" s="196"/>
      <c r="G117" s="382"/>
      <c r="H117" s="492">
        <f>7880-7880</f>
        <v>0</v>
      </c>
      <c r="I117" s="883">
        <v>1965</v>
      </c>
      <c r="J117" s="461">
        <f>13565327-13565327</f>
        <v>0</v>
      </c>
      <c r="K117" s="486"/>
    </row>
    <row r="118" spans="1:11" ht="12.75" customHeight="1" x14ac:dyDescent="0.2">
      <c r="A118" s="384" t="s">
        <v>626</v>
      </c>
      <c r="B118" s="382" t="s">
        <v>324</v>
      </c>
      <c r="C118" s="878"/>
      <c r="D118" s="881"/>
      <c r="E118" s="485">
        <v>60</v>
      </c>
      <c r="F118" s="196" t="s">
        <v>3081</v>
      </c>
      <c r="G118" s="382" t="s">
        <v>143</v>
      </c>
      <c r="H118" s="492">
        <v>60.6</v>
      </c>
      <c r="I118" s="884"/>
      <c r="J118" s="461">
        <v>102944.99423857867</v>
      </c>
      <c r="K118" s="486">
        <v>1149247.49</v>
      </c>
    </row>
    <row r="119" spans="1:11" x14ac:dyDescent="0.2">
      <c r="A119" s="384" t="s">
        <v>627</v>
      </c>
      <c r="B119" s="382" t="s">
        <v>324</v>
      </c>
      <c r="C119" s="878"/>
      <c r="D119" s="881"/>
      <c r="E119" s="485">
        <v>130</v>
      </c>
      <c r="F119" s="196"/>
      <c r="G119" s="382"/>
      <c r="H119" s="492">
        <v>42.3</v>
      </c>
      <c r="I119" s="884"/>
      <c r="J119" s="461">
        <v>72818.950774111669</v>
      </c>
      <c r="K119" s="486"/>
    </row>
    <row r="120" spans="1:11" x14ac:dyDescent="0.2">
      <c r="A120" s="384" t="s">
        <v>10661</v>
      </c>
      <c r="B120" s="382" t="s">
        <v>324</v>
      </c>
      <c r="C120" s="878"/>
      <c r="D120" s="881"/>
      <c r="E120" s="382">
        <v>91</v>
      </c>
      <c r="F120" s="196" t="s">
        <v>11561</v>
      </c>
      <c r="G120" s="382" t="s">
        <v>11562</v>
      </c>
      <c r="H120" s="461">
        <v>28.8</v>
      </c>
      <c r="I120" s="884"/>
      <c r="J120" s="461">
        <v>927907.2</v>
      </c>
      <c r="K120" s="486">
        <v>552352.31999999995</v>
      </c>
    </row>
    <row r="121" spans="1:11" x14ac:dyDescent="0.2">
      <c r="A121" s="384" t="s">
        <v>12372</v>
      </c>
      <c r="B121" s="382" t="s">
        <v>324</v>
      </c>
      <c r="C121" s="878"/>
      <c r="D121" s="881"/>
      <c r="E121" s="485">
        <v>28</v>
      </c>
      <c r="F121" s="196" t="s">
        <v>12373</v>
      </c>
      <c r="G121" s="382" t="s">
        <v>134</v>
      </c>
      <c r="H121" s="461">
        <v>28.4</v>
      </c>
      <c r="I121" s="884"/>
      <c r="J121" s="461">
        <v>992324.4</v>
      </c>
      <c r="K121" s="486">
        <v>544680.76</v>
      </c>
    </row>
    <row r="122" spans="1:11" x14ac:dyDescent="0.2">
      <c r="A122" s="384" t="s">
        <v>12462</v>
      </c>
      <c r="B122" s="382" t="s">
        <v>324</v>
      </c>
      <c r="C122" s="878"/>
      <c r="D122" s="881"/>
      <c r="E122" s="485">
        <v>58</v>
      </c>
      <c r="F122" s="196" t="s">
        <v>12463</v>
      </c>
      <c r="G122" s="382" t="s">
        <v>143</v>
      </c>
      <c r="H122" s="461">
        <v>30.1</v>
      </c>
      <c r="I122" s="884"/>
      <c r="J122" s="461">
        <v>1051724.1000000001</v>
      </c>
      <c r="K122" s="486">
        <v>573902.55000000005</v>
      </c>
    </row>
    <row r="123" spans="1:11" ht="24" x14ac:dyDescent="0.2">
      <c r="A123" s="384" t="s">
        <v>12539</v>
      </c>
      <c r="B123" s="196" t="s">
        <v>12407</v>
      </c>
      <c r="C123" s="878"/>
      <c r="D123" s="881"/>
      <c r="E123" s="485">
        <v>95</v>
      </c>
      <c r="F123" s="40" t="s">
        <v>12541</v>
      </c>
      <c r="G123" s="382" t="s">
        <v>133</v>
      </c>
      <c r="H123" s="461">
        <v>29.1</v>
      </c>
      <c r="I123" s="884"/>
      <c r="J123" s="461">
        <v>1016783.1</v>
      </c>
      <c r="K123" s="486">
        <v>551982.48</v>
      </c>
    </row>
    <row r="124" spans="1:11" ht="24" x14ac:dyDescent="0.2">
      <c r="A124" s="384" t="s">
        <v>12540</v>
      </c>
      <c r="B124" s="196" t="s">
        <v>12407</v>
      </c>
      <c r="C124" s="879"/>
      <c r="D124" s="882"/>
      <c r="E124" s="485">
        <v>83</v>
      </c>
      <c r="F124" s="40" t="s">
        <v>12542</v>
      </c>
      <c r="G124" s="382" t="s">
        <v>543</v>
      </c>
      <c r="H124" s="461">
        <v>32.4</v>
      </c>
      <c r="I124" s="885"/>
      <c r="J124" s="461">
        <v>1126427.96</v>
      </c>
      <c r="K124" s="486">
        <v>642169.93999999994</v>
      </c>
    </row>
    <row r="125" spans="1:11" x14ac:dyDescent="0.2">
      <c r="A125" s="383" t="s">
        <v>628</v>
      </c>
      <c r="B125" s="382"/>
      <c r="C125" s="877" t="s">
        <v>12777</v>
      </c>
      <c r="D125" s="880">
        <v>23</v>
      </c>
      <c r="E125" s="485"/>
      <c r="F125" s="196"/>
      <c r="G125" s="382"/>
      <c r="H125" s="492">
        <f>7738-7738</f>
        <v>0</v>
      </c>
      <c r="I125" s="883">
        <v>1966</v>
      </c>
      <c r="J125" s="461">
        <f>16550707-16550707</f>
        <v>0</v>
      </c>
      <c r="K125" s="486"/>
    </row>
    <row r="126" spans="1:11" ht="12.75" customHeight="1" x14ac:dyDescent="0.2">
      <c r="A126" s="384" t="s">
        <v>629</v>
      </c>
      <c r="B126" s="382" t="s">
        <v>324</v>
      </c>
      <c r="C126" s="878"/>
      <c r="D126" s="881"/>
      <c r="E126" s="485">
        <v>8</v>
      </c>
      <c r="F126" s="196" t="s">
        <v>4158</v>
      </c>
      <c r="G126" s="382" t="s">
        <v>134</v>
      </c>
      <c r="H126" s="492">
        <v>30.1</v>
      </c>
      <c r="I126" s="884"/>
      <c r="J126" s="461">
        <v>62675</v>
      </c>
      <c r="K126" s="486">
        <v>590637.79</v>
      </c>
    </row>
    <row r="127" spans="1:11" x14ac:dyDescent="0.2">
      <c r="A127" s="384" t="s">
        <v>630</v>
      </c>
      <c r="B127" s="382" t="s">
        <v>308</v>
      </c>
      <c r="C127" s="878"/>
      <c r="D127" s="881"/>
      <c r="E127" s="485">
        <v>19</v>
      </c>
      <c r="F127" s="196"/>
      <c r="G127" s="382"/>
      <c r="H127" s="492">
        <v>41.4</v>
      </c>
      <c r="I127" s="884"/>
      <c r="J127" s="461">
        <v>88549.918557766854</v>
      </c>
      <c r="K127" s="486"/>
    </row>
    <row r="128" spans="1:11" x14ac:dyDescent="0.2">
      <c r="A128" s="384" t="s">
        <v>631</v>
      </c>
      <c r="B128" s="382" t="s">
        <v>308</v>
      </c>
      <c r="C128" s="878"/>
      <c r="D128" s="881"/>
      <c r="E128" s="485">
        <v>35</v>
      </c>
      <c r="F128" s="196"/>
      <c r="G128" s="382"/>
      <c r="H128" s="492">
        <v>43.6</v>
      </c>
      <c r="I128" s="884"/>
      <c r="J128" s="461">
        <v>93255.469785474284</v>
      </c>
      <c r="K128" s="486"/>
    </row>
    <row r="129" spans="1:11" x14ac:dyDescent="0.2">
      <c r="A129" s="384" t="s">
        <v>632</v>
      </c>
      <c r="B129" s="382" t="s">
        <v>308</v>
      </c>
      <c r="C129" s="878"/>
      <c r="D129" s="881"/>
      <c r="E129" s="485">
        <v>101</v>
      </c>
      <c r="F129" s="196" t="s">
        <v>542</v>
      </c>
      <c r="G129" s="382"/>
      <c r="H129" s="492">
        <v>30.4</v>
      </c>
      <c r="I129" s="884"/>
      <c r="J129" s="461">
        <v>65022.162419229768</v>
      </c>
      <c r="K129" s="486">
        <v>602529.81999999995</v>
      </c>
    </row>
    <row r="130" spans="1:11" x14ac:dyDescent="0.2">
      <c r="A130" s="384" t="s">
        <v>633</v>
      </c>
      <c r="B130" s="382" t="s">
        <v>308</v>
      </c>
      <c r="C130" s="878"/>
      <c r="D130" s="881"/>
      <c r="E130" s="485">
        <v>111</v>
      </c>
      <c r="F130" s="196"/>
      <c r="G130" s="382"/>
      <c r="H130" s="492">
        <v>43.5</v>
      </c>
      <c r="I130" s="884"/>
      <c r="J130" s="461">
        <v>93041.581093305766</v>
      </c>
      <c r="K130" s="486"/>
    </row>
    <row r="131" spans="1:11" x14ac:dyDescent="0.2">
      <c r="A131" s="384" t="s">
        <v>634</v>
      </c>
      <c r="B131" s="382" t="s">
        <v>308</v>
      </c>
      <c r="C131" s="878"/>
      <c r="D131" s="881"/>
      <c r="E131" s="472" t="s">
        <v>540</v>
      </c>
      <c r="F131" s="196"/>
      <c r="G131" s="382" t="s">
        <v>543</v>
      </c>
      <c r="H131" s="492">
        <v>15.4</v>
      </c>
      <c r="I131" s="884"/>
      <c r="J131" s="461">
        <v>32938.858593951925</v>
      </c>
      <c r="K131" s="486"/>
    </row>
    <row r="132" spans="1:11" x14ac:dyDescent="0.2">
      <c r="A132" s="384" t="s">
        <v>635</v>
      </c>
      <c r="B132" s="382" t="s">
        <v>308</v>
      </c>
      <c r="C132" s="878"/>
      <c r="D132" s="881"/>
      <c r="E132" s="472" t="s">
        <v>541</v>
      </c>
      <c r="F132" s="196"/>
      <c r="G132" s="382" t="s">
        <v>543</v>
      </c>
      <c r="H132" s="492">
        <v>10</v>
      </c>
      <c r="I132" s="884"/>
      <c r="J132" s="461">
        <v>21388.869216851897</v>
      </c>
      <c r="K132" s="486"/>
    </row>
    <row r="133" spans="1:11" x14ac:dyDescent="0.2">
      <c r="A133" s="384" t="s">
        <v>636</v>
      </c>
      <c r="B133" s="382" t="s">
        <v>308</v>
      </c>
      <c r="C133" s="878"/>
      <c r="D133" s="881"/>
      <c r="E133" s="472">
        <v>139</v>
      </c>
      <c r="F133" s="196"/>
      <c r="G133" s="382"/>
      <c r="H133" s="492">
        <v>36.299999999999997</v>
      </c>
      <c r="I133" s="884"/>
      <c r="J133" s="461">
        <v>77641.59525717239</v>
      </c>
      <c r="K133" s="486"/>
    </row>
    <row r="134" spans="1:11" x14ac:dyDescent="0.2">
      <c r="A134" s="384" t="s">
        <v>637</v>
      </c>
      <c r="B134" s="382" t="s">
        <v>308</v>
      </c>
      <c r="C134" s="878"/>
      <c r="D134" s="881"/>
      <c r="E134" s="472">
        <v>150</v>
      </c>
      <c r="F134" s="196"/>
      <c r="G134" s="382"/>
      <c r="H134" s="492">
        <v>42.8</v>
      </c>
      <c r="I134" s="884"/>
      <c r="J134" s="461">
        <v>91544.360248126119</v>
      </c>
      <c r="K134" s="486"/>
    </row>
    <row r="135" spans="1:11" x14ac:dyDescent="0.2">
      <c r="A135" s="384" t="s">
        <v>3545</v>
      </c>
      <c r="B135" s="382" t="s">
        <v>308</v>
      </c>
      <c r="C135" s="878"/>
      <c r="D135" s="881"/>
      <c r="E135" s="472">
        <v>80</v>
      </c>
      <c r="F135" s="293" t="s">
        <v>3817</v>
      </c>
      <c r="G135" s="382" t="s">
        <v>543</v>
      </c>
      <c r="H135" s="492">
        <v>41.8</v>
      </c>
      <c r="I135" s="884"/>
      <c r="J135" s="461">
        <v>1000000</v>
      </c>
      <c r="K135" s="486">
        <v>804038.06</v>
      </c>
    </row>
    <row r="136" spans="1:11" x14ac:dyDescent="0.2">
      <c r="A136" s="384" t="s">
        <v>11909</v>
      </c>
      <c r="B136" s="382" t="s">
        <v>308</v>
      </c>
      <c r="C136" s="878"/>
      <c r="D136" s="881"/>
      <c r="E136" s="472">
        <v>115</v>
      </c>
      <c r="F136" s="40" t="s">
        <v>11910</v>
      </c>
      <c r="G136" s="382" t="s">
        <v>143</v>
      </c>
      <c r="H136" s="461">
        <v>28.9</v>
      </c>
      <c r="I136" s="884"/>
      <c r="J136" s="461">
        <v>955347</v>
      </c>
      <c r="K136" s="486">
        <v>552106.41</v>
      </c>
    </row>
    <row r="137" spans="1:11" x14ac:dyDescent="0.2">
      <c r="A137" s="384" t="s">
        <v>11911</v>
      </c>
      <c r="B137" s="382" t="s">
        <v>308</v>
      </c>
      <c r="C137" s="878"/>
      <c r="D137" s="881"/>
      <c r="E137" s="472">
        <v>79</v>
      </c>
      <c r="F137" s="40" t="s">
        <v>11912</v>
      </c>
      <c r="G137" s="382" t="s">
        <v>543</v>
      </c>
      <c r="H137" s="461">
        <v>33</v>
      </c>
      <c r="I137" s="884"/>
      <c r="J137" s="461">
        <v>1090881</v>
      </c>
      <c r="K137" s="486">
        <v>654061.98</v>
      </c>
    </row>
    <row r="138" spans="1:11" x14ac:dyDescent="0.2">
      <c r="A138" s="383" t="s">
        <v>638</v>
      </c>
      <c r="B138" s="382"/>
      <c r="C138" s="893" t="s">
        <v>12778</v>
      </c>
      <c r="D138" s="898">
        <v>17</v>
      </c>
      <c r="E138" s="485"/>
      <c r="F138" s="196"/>
      <c r="G138" s="382"/>
      <c r="H138" s="492">
        <f>1571-1571</f>
        <v>0</v>
      </c>
      <c r="I138" s="891">
        <v>1965</v>
      </c>
      <c r="J138" s="461">
        <f>2397500-2397500</f>
        <v>0</v>
      </c>
      <c r="K138" s="486"/>
    </row>
    <row r="139" spans="1:11" ht="12.75" customHeight="1" x14ac:dyDescent="0.2">
      <c r="A139" s="384" t="s">
        <v>3580</v>
      </c>
      <c r="B139" s="382" t="s">
        <v>324</v>
      </c>
      <c r="C139" s="893"/>
      <c r="D139" s="898"/>
      <c r="E139" s="485">
        <v>35</v>
      </c>
      <c r="F139" s="499"/>
      <c r="G139" s="499"/>
      <c r="H139" s="492">
        <v>41.3</v>
      </c>
      <c r="I139" s="891"/>
      <c r="J139" s="461">
        <f>2397500/1571*H139</f>
        <v>63027.848504137488</v>
      </c>
      <c r="K139" s="486"/>
    </row>
    <row r="140" spans="1:11" x14ac:dyDescent="0.2">
      <c r="A140" s="383" t="s">
        <v>639</v>
      </c>
      <c r="B140" s="382"/>
      <c r="C140" s="877" t="s">
        <v>12779</v>
      </c>
      <c r="D140" s="880">
        <v>19</v>
      </c>
      <c r="E140" s="485"/>
      <c r="F140" s="196"/>
      <c r="G140" s="382"/>
      <c r="H140" s="492">
        <f>4796-4796</f>
        <v>0</v>
      </c>
      <c r="I140" s="883">
        <v>1968</v>
      </c>
      <c r="J140" s="461">
        <f>7611400-7611400</f>
        <v>0</v>
      </c>
      <c r="K140" s="486"/>
    </row>
    <row r="141" spans="1:11" ht="12.75" customHeight="1" x14ac:dyDescent="0.2">
      <c r="A141" s="384" t="s">
        <v>640</v>
      </c>
      <c r="B141" s="382" t="s">
        <v>324</v>
      </c>
      <c r="C141" s="878"/>
      <c r="D141" s="881"/>
      <c r="E141" s="485">
        <v>14</v>
      </c>
      <c r="F141" s="196" t="s">
        <v>11563</v>
      </c>
      <c r="G141" s="382" t="s">
        <v>11564</v>
      </c>
      <c r="H141" s="492">
        <v>48.7</v>
      </c>
      <c r="I141" s="884"/>
      <c r="J141" s="461">
        <v>77288.402835696426</v>
      </c>
      <c r="K141" s="486">
        <v>1356394.83</v>
      </c>
    </row>
    <row r="142" spans="1:11" ht="12.75" customHeight="1" x14ac:dyDescent="0.2">
      <c r="A142" s="382" t="s">
        <v>12374</v>
      </c>
      <c r="B142" s="382" t="s">
        <v>324</v>
      </c>
      <c r="C142" s="879"/>
      <c r="D142" s="882"/>
      <c r="E142" s="472">
        <v>15</v>
      </c>
      <c r="F142" s="196" t="s">
        <v>12375</v>
      </c>
      <c r="G142" s="382" t="s">
        <v>133</v>
      </c>
      <c r="H142" s="461">
        <v>30.1</v>
      </c>
      <c r="I142" s="885"/>
      <c r="J142" s="461">
        <v>1051724.1000000001</v>
      </c>
      <c r="K142" s="486">
        <v>725351</v>
      </c>
    </row>
    <row r="143" spans="1:11" x14ac:dyDescent="0.2">
      <c r="A143" s="383" t="s">
        <v>641</v>
      </c>
      <c r="B143" s="382"/>
      <c r="C143" s="877" t="s">
        <v>12780</v>
      </c>
      <c r="D143" s="880">
        <v>48</v>
      </c>
      <c r="E143" s="485"/>
      <c r="F143" s="196"/>
      <c r="G143" s="382"/>
      <c r="H143" s="492">
        <f>5807-5807</f>
        <v>0</v>
      </c>
      <c r="I143" s="883">
        <v>1973</v>
      </c>
      <c r="J143" s="461">
        <f>12560596-12560596</f>
        <v>0</v>
      </c>
      <c r="K143" s="486"/>
    </row>
    <row r="144" spans="1:11" ht="12.75" customHeight="1" x14ac:dyDescent="0.2">
      <c r="A144" s="384" t="s">
        <v>1538</v>
      </c>
      <c r="B144" s="382" t="s">
        <v>324</v>
      </c>
      <c r="C144" s="878"/>
      <c r="D144" s="881"/>
      <c r="E144" s="485">
        <v>74</v>
      </c>
      <c r="F144" s="196"/>
      <c r="G144" s="382"/>
      <c r="H144" s="492">
        <v>59.2</v>
      </c>
      <c r="I144" s="884"/>
      <c r="J144" s="461">
        <v>128050.20148097124</v>
      </c>
      <c r="K144" s="486"/>
    </row>
    <row r="145" spans="1:11" x14ac:dyDescent="0.2">
      <c r="A145" s="384" t="s">
        <v>12464</v>
      </c>
      <c r="B145" s="382" t="s">
        <v>324</v>
      </c>
      <c r="C145" s="879"/>
      <c r="D145" s="882"/>
      <c r="E145" s="472" t="s">
        <v>5493</v>
      </c>
      <c r="F145" s="196" t="s">
        <v>12465</v>
      </c>
      <c r="G145" s="382" t="s">
        <v>538</v>
      </c>
      <c r="H145" s="461">
        <v>31.8</v>
      </c>
      <c r="I145" s="885"/>
      <c r="J145" s="461">
        <v>1111123.8</v>
      </c>
      <c r="K145" s="486">
        <v>565723.59</v>
      </c>
    </row>
    <row r="146" spans="1:11" x14ac:dyDescent="0.2">
      <c r="A146" s="383" t="s">
        <v>642</v>
      </c>
      <c r="B146" s="382"/>
      <c r="C146" s="893" t="s">
        <v>12781</v>
      </c>
      <c r="D146" s="898">
        <v>56</v>
      </c>
      <c r="E146" s="485"/>
      <c r="F146" s="196"/>
      <c r="G146" s="382"/>
      <c r="H146" s="492">
        <f>1713-1713</f>
        <v>0</v>
      </c>
      <c r="I146" s="891">
        <v>1961</v>
      </c>
      <c r="J146" s="461">
        <f>4161500-4161500</f>
        <v>0</v>
      </c>
      <c r="K146" s="486"/>
    </row>
    <row r="147" spans="1:11" ht="12.75" customHeight="1" x14ac:dyDescent="0.2">
      <c r="A147" s="384" t="s">
        <v>3579</v>
      </c>
      <c r="B147" s="382" t="s">
        <v>324</v>
      </c>
      <c r="C147" s="893"/>
      <c r="D147" s="898"/>
      <c r="E147" s="485">
        <v>16</v>
      </c>
      <c r="F147" s="499"/>
      <c r="G147" s="499"/>
      <c r="H147" s="492">
        <v>90.8</v>
      </c>
      <c r="I147" s="891"/>
      <c r="J147" s="461">
        <f>4161500/1713*H147</f>
        <v>220586.22300058376</v>
      </c>
      <c r="K147" s="486"/>
    </row>
    <row r="148" spans="1:11" ht="16.5" customHeight="1" x14ac:dyDescent="0.2">
      <c r="A148" s="383" t="s">
        <v>643</v>
      </c>
      <c r="B148" s="382"/>
      <c r="C148" s="877" t="s">
        <v>12782</v>
      </c>
      <c r="D148" s="880">
        <v>64</v>
      </c>
      <c r="E148" s="485"/>
      <c r="F148" s="196" t="s">
        <v>5430</v>
      </c>
      <c r="G148" s="382" t="s">
        <v>140</v>
      </c>
      <c r="H148" s="492">
        <f>1675.4-1675.4</f>
        <v>0</v>
      </c>
      <c r="I148" s="883">
        <v>1960</v>
      </c>
      <c r="J148" s="461">
        <f>3717100-3717100</f>
        <v>0</v>
      </c>
      <c r="K148" s="486">
        <v>21093771.870000001</v>
      </c>
    </row>
    <row r="149" spans="1:11" ht="12.75" customHeight="1" x14ac:dyDescent="0.2">
      <c r="A149" s="384" t="s">
        <v>2732</v>
      </c>
      <c r="B149" s="382" t="s">
        <v>324</v>
      </c>
      <c r="C149" s="878"/>
      <c r="D149" s="881"/>
      <c r="E149" s="485">
        <v>201</v>
      </c>
      <c r="F149" s="385"/>
      <c r="G149" s="385"/>
      <c r="H149" s="461">
        <v>29</v>
      </c>
      <c r="I149" s="884"/>
      <c r="J149" s="461">
        <f t="shared" ref="J149:J178" si="1">3717100/1675.4*H149</f>
        <v>64340.396323266083</v>
      </c>
      <c r="K149" s="486"/>
    </row>
    <row r="150" spans="1:11" ht="13.5" customHeight="1" x14ac:dyDescent="0.2">
      <c r="A150" s="384" t="s">
        <v>2856</v>
      </c>
      <c r="B150" s="382" t="s">
        <v>324</v>
      </c>
      <c r="C150" s="878"/>
      <c r="D150" s="881"/>
      <c r="E150" s="485">
        <v>202</v>
      </c>
      <c r="F150" s="196"/>
      <c r="G150" s="385"/>
      <c r="H150" s="461">
        <v>21.3</v>
      </c>
      <c r="I150" s="884"/>
      <c r="J150" s="461">
        <f t="shared" si="1"/>
        <v>47256.911782260948</v>
      </c>
      <c r="K150" s="486"/>
    </row>
    <row r="151" spans="1:11" ht="12.75" customHeight="1" x14ac:dyDescent="0.2">
      <c r="A151" s="384" t="s">
        <v>3357</v>
      </c>
      <c r="B151" s="382" t="s">
        <v>324</v>
      </c>
      <c r="C151" s="878"/>
      <c r="D151" s="881"/>
      <c r="E151" s="485">
        <v>204</v>
      </c>
      <c r="F151" s="385"/>
      <c r="G151" s="385"/>
      <c r="H151" s="461">
        <v>26.3</v>
      </c>
      <c r="I151" s="884"/>
      <c r="J151" s="461">
        <f t="shared" si="1"/>
        <v>58350.083562134416</v>
      </c>
      <c r="K151" s="486"/>
    </row>
    <row r="152" spans="1:11" x14ac:dyDescent="0.2">
      <c r="A152" s="384" t="s">
        <v>3358</v>
      </c>
      <c r="B152" s="382" t="s">
        <v>324</v>
      </c>
      <c r="C152" s="878"/>
      <c r="D152" s="881"/>
      <c r="E152" s="472" t="s">
        <v>11565</v>
      </c>
      <c r="F152" s="196"/>
      <c r="G152" s="382"/>
      <c r="H152" s="461">
        <v>26.8</v>
      </c>
      <c r="I152" s="884"/>
      <c r="J152" s="461">
        <f t="shared" si="1"/>
        <v>59459.40074012176</v>
      </c>
      <c r="K152" s="486"/>
    </row>
    <row r="153" spans="1:11" x14ac:dyDescent="0.2">
      <c r="A153" s="384" t="s">
        <v>3557</v>
      </c>
      <c r="B153" s="382" t="s">
        <v>324</v>
      </c>
      <c r="C153" s="878"/>
      <c r="D153" s="881"/>
      <c r="E153" s="485">
        <v>206</v>
      </c>
      <c r="F153" s="196"/>
      <c r="G153" s="382"/>
      <c r="H153" s="461">
        <v>23.5</v>
      </c>
      <c r="I153" s="884"/>
      <c r="J153" s="461">
        <f t="shared" si="1"/>
        <v>52137.90736540527</v>
      </c>
      <c r="K153" s="486"/>
    </row>
    <row r="154" spans="1:11" x14ac:dyDescent="0.2">
      <c r="A154" s="384" t="s">
        <v>3559</v>
      </c>
      <c r="B154" s="382" t="s">
        <v>324</v>
      </c>
      <c r="C154" s="878"/>
      <c r="D154" s="881"/>
      <c r="E154" s="485">
        <v>208</v>
      </c>
      <c r="F154" s="196"/>
      <c r="G154" s="382"/>
      <c r="H154" s="461">
        <v>26.8</v>
      </c>
      <c r="I154" s="884"/>
      <c r="J154" s="461">
        <f t="shared" si="1"/>
        <v>59459.40074012176</v>
      </c>
      <c r="K154" s="486"/>
    </row>
    <row r="155" spans="1:11" x14ac:dyDescent="0.2">
      <c r="A155" s="384" t="s">
        <v>3560</v>
      </c>
      <c r="B155" s="382" t="s">
        <v>324</v>
      </c>
      <c r="C155" s="878"/>
      <c r="D155" s="881"/>
      <c r="E155" s="485">
        <v>210</v>
      </c>
      <c r="F155" s="385"/>
      <c r="G155" s="385"/>
      <c r="H155" s="461">
        <v>25.7</v>
      </c>
      <c r="I155" s="884"/>
      <c r="J155" s="461">
        <f t="shared" si="1"/>
        <v>57018.902948549592</v>
      </c>
      <c r="K155" s="486"/>
    </row>
    <row r="156" spans="1:11" x14ac:dyDescent="0.2">
      <c r="A156" s="384" t="s">
        <v>3561</v>
      </c>
      <c r="B156" s="382" t="s">
        <v>324</v>
      </c>
      <c r="C156" s="878"/>
      <c r="D156" s="881"/>
      <c r="E156" s="485">
        <v>212</v>
      </c>
      <c r="F156" s="385"/>
      <c r="G156" s="385"/>
      <c r="H156" s="461">
        <v>25.5</v>
      </c>
      <c r="I156" s="884"/>
      <c r="J156" s="461">
        <f t="shared" si="1"/>
        <v>56575.176077354656</v>
      </c>
      <c r="K156" s="486"/>
    </row>
    <row r="157" spans="1:11" x14ac:dyDescent="0.2">
      <c r="A157" s="384" t="s">
        <v>3562</v>
      </c>
      <c r="B157" s="382" t="s">
        <v>324</v>
      </c>
      <c r="C157" s="878"/>
      <c r="D157" s="881"/>
      <c r="E157" s="485">
        <v>214</v>
      </c>
      <c r="F157" s="385"/>
      <c r="G157" s="385"/>
      <c r="H157" s="461">
        <v>25</v>
      </c>
      <c r="I157" s="884"/>
      <c r="J157" s="461">
        <f t="shared" si="1"/>
        <v>55465.858899367311</v>
      </c>
      <c r="K157" s="486"/>
    </row>
    <row r="158" spans="1:11" x14ac:dyDescent="0.2">
      <c r="A158" s="384" t="s">
        <v>3563</v>
      </c>
      <c r="B158" s="382" t="s">
        <v>324</v>
      </c>
      <c r="C158" s="878"/>
      <c r="D158" s="881"/>
      <c r="E158" s="485">
        <v>217</v>
      </c>
      <c r="F158" s="385"/>
      <c r="G158" s="385"/>
      <c r="H158" s="461">
        <v>25.7</v>
      </c>
      <c r="I158" s="884"/>
      <c r="J158" s="461">
        <f t="shared" si="1"/>
        <v>57018.902948549592</v>
      </c>
      <c r="K158" s="486"/>
    </row>
    <row r="159" spans="1:11" x14ac:dyDescent="0.2">
      <c r="A159" s="384" t="s">
        <v>3564</v>
      </c>
      <c r="B159" s="382" t="s">
        <v>324</v>
      </c>
      <c r="C159" s="878"/>
      <c r="D159" s="881"/>
      <c r="E159" s="485">
        <v>301</v>
      </c>
      <c r="F159" s="385"/>
      <c r="G159" s="385"/>
      <c r="H159" s="461">
        <v>19.8</v>
      </c>
      <c r="I159" s="884"/>
      <c r="J159" s="461">
        <f t="shared" si="1"/>
        <v>43928.960248298914</v>
      </c>
      <c r="K159" s="486"/>
    </row>
    <row r="160" spans="1:11" x14ac:dyDescent="0.2">
      <c r="A160" s="384" t="s">
        <v>3565</v>
      </c>
      <c r="B160" s="382" t="s">
        <v>324</v>
      </c>
      <c r="C160" s="878"/>
      <c r="D160" s="881"/>
      <c r="E160" s="472" t="s">
        <v>3558</v>
      </c>
      <c r="F160" s="82"/>
      <c r="G160" s="382"/>
      <c r="H160" s="461">
        <v>8</v>
      </c>
      <c r="I160" s="884"/>
      <c r="J160" s="461">
        <f t="shared" si="1"/>
        <v>17749.074847797539</v>
      </c>
      <c r="K160" s="486"/>
    </row>
    <row r="161" spans="1:11" x14ac:dyDescent="0.2">
      <c r="A161" s="384" t="s">
        <v>3566</v>
      </c>
      <c r="B161" s="382" t="s">
        <v>324</v>
      </c>
      <c r="C161" s="878"/>
      <c r="D161" s="881"/>
      <c r="E161" s="485">
        <v>303</v>
      </c>
      <c r="F161" s="385"/>
      <c r="G161" s="385"/>
      <c r="H161" s="461">
        <v>22.4</v>
      </c>
      <c r="I161" s="884"/>
      <c r="J161" s="461">
        <f t="shared" si="1"/>
        <v>49697.409573833109</v>
      </c>
      <c r="K161" s="486"/>
    </row>
    <row r="162" spans="1:11" x14ac:dyDescent="0.2">
      <c r="A162" s="384" t="s">
        <v>3567</v>
      </c>
      <c r="B162" s="382" t="s">
        <v>324</v>
      </c>
      <c r="C162" s="878"/>
      <c r="D162" s="881"/>
      <c r="E162" s="485">
        <v>304</v>
      </c>
      <c r="F162" s="385"/>
      <c r="G162" s="385"/>
      <c r="H162" s="461">
        <v>26.5</v>
      </c>
      <c r="I162" s="884"/>
      <c r="J162" s="461">
        <f t="shared" si="1"/>
        <v>58793.810433329352</v>
      </c>
      <c r="K162" s="486"/>
    </row>
    <row r="163" spans="1:11" x14ac:dyDescent="0.2">
      <c r="A163" s="384" t="s">
        <v>3568</v>
      </c>
      <c r="B163" s="382" t="s">
        <v>324</v>
      </c>
      <c r="C163" s="878"/>
      <c r="D163" s="881"/>
      <c r="E163" s="485">
        <v>305</v>
      </c>
      <c r="F163" s="385"/>
      <c r="G163" s="385"/>
      <c r="H163" s="461">
        <v>27.5</v>
      </c>
      <c r="I163" s="884"/>
      <c r="J163" s="461">
        <f t="shared" si="1"/>
        <v>61012.444789304041</v>
      </c>
      <c r="K163" s="486"/>
    </row>
    <row r="164" spans="1:11" x14ac:dyDescent="0.2">
      <c r="A164" s="384" t="s">
        <v>3569</v>
      </c>
      <c r="B164" s="382" t="s">
        <v>324</v>
      </c>
      <c r="C164" s="878"/>
      <c r="D164" s="881"/>
      <c r="E164" s="485">
        <v>306</v>
      </c>
      <c r="F164" s="82"/>
      <c r="G164" s="382"/>
      <c r="H164" s="461">
        <v>24.6</v>
      </c>
      <c r="I164" s="884"/>
      <c r="J164" s="461">
        <f t="shared" si="1"/>
        <v>54578.405156977438</v>
      </c>
      <c r="K164" s="486"/>
    </row>
    <row r="165" spans="1:11" x14ac:dyDescent="0.2">
      <c r="A165" s="384" t="s">
        <v>3570</v>
      </c>
      <c r="B165" s="382" t="s">
        <v>324</v>
      </c>
      <c r="C165" s="878"/>
      <c r="D165" s="881"/>
      <c r="E165" s="485">
        <v>310</v>
      </c>
      <c r="F165" s="385"/>
      <c r="G165" s="385"/>
      <c r="H165" s="461">
        <v>27.1</v>
      </c>
      <c r="I165" s="884"/>
      <c r="J165" s="461">
        <f t="shared" si="1"/>
        <v>60124.991046914169</v>
      </c>
      <c r="K165" s="486"/>
    </row>
    <row r="166" spans="1:11" x14ac:dyDescent="0.2">
      <c r="A166" s="384" t="s">
        <v>3571</v>
      </c>
      <c r="B166" s="382" t="s">
        <v>324</v>
      </c>
      <c r="C166" s="878"/>
      <c r="D166" s="881"/>
      <c r="E166" s="485">
        <v>311</v>
      </c>
      <c r="F166" s="122"/>
      <c r="G166" s="382"/>
      <c r="H166" s="461">
        <v>21.5</v>
      </c>
      <c r="I166" s="884"/>
      <c r="J166" s="461">
        <f t="shared" si="1"/>
        <v>47700.638653455884</v>
      </c>
      <c r="K166" s="486"/>
    </row>
    <row r="167" spans="1:11" x14ac:dyDescent="0.2">
      <c r="A167" s="384" t="s">
        <v>3572</v>
      </c>
      <c r="B167" s="382" t="s">
        <v>324</v>
      </c>
      <c r="C167" s="878"/>
      <c r="D167" s="881"/>
      <c r="E167" s="485">
        <v>312</v>
      </c>
      <c r="F167" s="385"/>
      <c r="G167" s="385"/>
      <c r="H167" s="461">
        <v>24.7</v>
      </c>
      <c r="I167" s="884"/>
      <c r="J167" s="461">
        <f t="shared" si="1"/>
        <v>54800.268592574903</v>
      </c>
      <c r="K167" s="486"/>
    </row>
    <row r="168" spans="1:11" x14ac:dyDescent="0.2">
      <c r="A168" s="384" t="s">
        <v>3573</v>
      </c>
      <c r="B168" s="382" t="s">
        <v>324</v>
      </c>
      <c r="C168" s="878"/>
      <c r="D168" s="881"/>
      <c r="E168" s="485">
        <v>313</v>
      </c>
      <c r="F168" s="385"/>
      <c r="G168" s="385"/>
      <c r="H168" s="461">
        <v>26.7</v>
      </c>
      <c r="I168" s="884"/>
      <c r="J168" s="461">
        <f t="shared" si="1"/>
        <v>59237.537304524289</v>
      </c>
      <c r="K168" s="486"/>
    </row>
    <row r="169" spans="1:11" x14ac:dyDescent="0.2">
      <c r="A169" s="384" t="s">
        <v>3574</v>
      </c>
      <c r="B169" s="382" t="s">
        <v>324</v>
      </c>
      <c r="C169" s="878"/>
      <c r="D169" s="881"/>
      <c r="E169" s="485">
        <v>314</v>
      </c>
      <c r="F169" s="385"/>
      <c r="G169" s="385"/>
      <c r="H169" s="461">
        <v>22.1</v>
      </c>
      <c r="I169" s="884"/>
      <c r="J169" s="461">
        <f t="shared" si="1"/>
        <v>49031.819267040708</v>
      </c>
      <c r="K169" s="486"/>
    </row>
    <row r="170" spans="1:11" x14ac:dyDescent="0.2">
      <c r="A170" s="384" t="s">
        <v>3575</v>
      </c>
      <c r="B170" s="382" t="s">
        <v>324</v>
      </c>
      <c r="C170" s="878"/>
      <c r="D170" s="881"/>
      <c r="E170" s="485">
        <v>316</v>
      </c>
      <c r="F170" s="3"/>
      <c r="G170" s="385"/>
      <c r="H170" s="461">
        <v>26.2</v>
      </c>
      <c r="I170" s="884"/>
      <c r="J170" s="461">
        <f t="shared" si="1"/>
        <v>58128.220126536937</v>
      </c>
      <c r="K170" s="486"/>
    </row>
    <row r="171" spans="1:11" x14ac:dyDescent="0.2">
      <c r="A171" s="384" t="s">
        <v>3576</v>
      </c>
      <c r="B171" s="382" t="s">
        <v>324</v>
      </c>
      <c r="C171" s="878"/>
      <c r="D171" s="881"/>
      <c r="E171" s="485">
        <v>317</v>
      </c>
      <c r="F171" s="385"/>
      <c r="G171" s="385"/>
      <c r="H171" s="461">
        <v>25.4</v>
      </c>
      <c r="I171" s="884"/>
      <c r="J171" s="461">
        <f t="shared" si="1"/>
        <v>56353.312641757184</v>
      </c>
      <c r="K171" s="486"/>
    </row>
    <row r="172" spans="1:11" x14ac:dyDescent="0.2">
      <c r="A172" s="384" t="s">
        <v>3577</v>
      </c>
      <c r="B172" s="382" t="s">
        <v>324</v>
      </c>
      <c r="C172" s="878"/>
      <c r="D172" s="881"/>
      <c r="E172" s="485">
        <v>319</v>
      </c>
      <c r="F172" s="385"/>
      <c r="G172" s="385"/>
      <c r="H172" s="461">
        <v>25.7</v>
      </c>
      <c r="I172" s="884"/>
      <c r="J172" s="461">
        <f t="shared" si="1"/>
        <v>57018.902948549592</v>
      </c>
      <c r="K172" s="486"/>
    </row>
    <row r="173" spans="1:11" x14ac:dyDescent="0.2">
      <c r="A173" s="384" t="s">
        <v>3578</v>
      </c>
      <c r="B173" s="382" t="s">
        <v>324</v>
      </c>
      <c r="C173" s="878"/>
      <c r="D173" s="881"/>
      <c r="E173" s="485">
        <v>320</v>
      </c>
      <c r="F173" s="385"/>
      <c r="G173" s="385"/>
      <c r="H173" s="461">
        <v>26.9</v>
      </c>
      <c r="I173" s="884"/>
      <c r="J173" s="461">
        <f t="shared" si="1"/>
        <v>59681.264175719225</v>
      </c>
      <c r="K173" s="486"/>
    </row>
    <row r="174" spans="1:11" x14ac:dyDescent="0.2">
      <c r="A174" s="384" t="s">
        <v>6258</v>
      </c>
      <c r="B174" s="382" t="s">
        <v>324</v>
      </c>
      <c r="C174" s="878"/>
      <c r="D174" s="881"/>
      <c r="E174" s="485">
        <v>219</v>
      </c>
      <c r="F174" s="385"/>
      <c r="G174" s="385"/>
      <c r="H174" s="492"/>
      <c r="I174" s="884"/>
      <c r="J174" s="461">
        <f t="shared" si="1"/>
        <v>0</v>
      </c>
      <c r="K174" s="486"/>
    </row>
    <row r="175" spans="1:11" x14ac:dyDescent="0.2">
      <c r="A175" s="384" t="s">
        <v>6802</v>
      </c>
      <c r="B175" s="382" t="s">
        <v>308</v>
      </c>
      <c r="C175" s="878"/>
      <c r="D175" s="881"/>
      <c r="E175" s="485">
        <v>218</v>
      </c>
      <c r="F175" s="385"/>
      <c r="G175" s="385"/>
      <c r="H175" s="461">
        <v>26.2</v>
      </c>
      <c r="I175" s="884"/>
      <c r="J175" s="461">
        <f t="shared" si="1"/>
        <v>58128.220126536937</v>
      </c>
      <c r="K175" s="486"/>
    </row>
    <row r="176" spans="1:11" x14ac:dyDescent="0.2">
      <c r="A176" s="384" t="s">
        <v>7767</v>
      </c>
      <c r="B176" s="382" t="s">
        <v>308</v>
      </c>
      <c r="C176" s="878"/>
      <c r="D176" s="881"/>
      <c r="E176" s="485">
        <v>220</v>
      </c>
      <c r="F176" s="480"/>
      <c r="G176" s="480"/>
      <c r="H176" s="461">
        <v>18.399999999999999</v>
      </c>
      <c r="I176" s="884"/>
      <c r="J176" s="461">
        <f t="shared" si="1"/>
        <v>40822.872149934337</v>
      </c>
      <c r="K176" s="486"/>
    </row>
    <row r="177" spans="1:11" x14ac:dyDescent="0.2">
      <c r="A177" s="384" t="s">
        <v>9252</v>
      </c>
      <c r="B177" s="382" t="s">
        <v>308</v>
      </c>
      <c r="C177" s="878"/>
      <c r="D177" s="881"/>
      <c r="E177" s="472">
        <v>207</v>
      </c>
      <c r="F177" s="385"/>
      <c r="G177" s="385"/>
      <c r="H177" s="461">
        <v>26.7</v>
      </c>
      <c r="I177" s="884"/>
      <c r="J177" s="461">
        <f t="shared" si="1"/>
        <v>59237.537304524289</v>
      </c>
      <c r="K177" s="486"/>
    </row>
    <row r="178" spans="1:11" x14ac:dyDescent="0.2">
      <c r="A178" s="384" t="s">
        <v>10945</v>
      </c>
      <c r="B178" s="382" t="s">
        <v>308</v>
      </c>
      <c r="C178" s="879"/>
      <c r="D178" s="882"/>
      <c r="E178" s="472">
        <v>322</v>
      </c>
      <c r="F178" s="480"/>
      <c r="G178" s="480"/>
      <c r="H178" s="461">
        <v>18.8</v>
      </c>
      <c r="I178" s="885"/>
      <c r="J178" s="461">
        <f t="shared" si="1"/>
        <v>41710.325892324217</v>
      </c>
      <c r="K178" s="486"/>
    </row>
    <row r="179" spans="1:11" x14ac:dyDescent="0.2">
      <c r="A179" s="383" t="s">
        <v>644</v>
      </c>
      <c r="B179" s="382"/>
      <c r="C179" s="893" t="s">
        <v>12783</v>
      </c>
      <c r="D179" s="898">
        <v>68</v>
      </c>
      <c r="E179" s="485"/>
      <c r="F179" s="196"/>
      <c r="G179" s="382"/>
      <c r="H179" s="492">
        <f>1247-1247</f>
        <v>0</v>
      </c>
      <c r="I179" s="891">
        <v>1961</v>
      </c>
      <c r="J179" s="461">
        <f>3021044-3021044</f>
        <v>0</v>
      </c>
      <c r="K179" s="486"/>
    </row>
    <row r="180" spans="1:11" ht="12.75" customHeight="1" x14ac:dyDescent="0.2">
      <c r="A180" s="450" t="s">
        <v>645</v>
      </c>
      <c r="B180" s="382" t="s">
        <v>324</v>
      </c>
      <c r="C180" s="893"/>
      <c r="D180" s="898"/>
      <c r="E180" s="485">
        <v>19</v>
      </c>
      <c r="F180" s="196"/>
      <c r="G180" s="382"/>
      <c r="H180" s="492">
        <v>40.6</v>
      </c>
      <c r="I180" s="891"/>
      <c r="J180" s="461">
        <v>98358.139534883725</v>
      </c>
      <c r="K180" s="486"/>
    </row>
    <row r="181" spans="1:11" x14ac:dyDescent="0.2">
      <c r="A181" s="466" t="s">
        <v>646</v>
      </c>
      <c r="B181" s="382"/>
      <c r="C181" s="877" t="s">
        <v>12784</v>
      </c>
      <c r="D181" s="880">
        <v>70</v>
      </c>
      <c r="E181" s="485"/>
      <c r="F181" s="40"/>
      <c r="G181" s="382"/>
      <c r="H181" s="461">
        <f>1383-1383</f>
        <v>0</v>
      </c>
      <c r="I181" s="883">
        <v>1961</v>
      </c>
      <c r="J181" s="461">
        <f>3003824-3003824</f>
        <v>0</v>
      </c>
      <c r="K181" s="486"/>
    </row>
    <row r="182" spans="1:11" ht="12.75" customHeight="1" x14ac:dyDescent="0.2">
      <c r="A182" s="384" t="s">
        <v>10546</v>
      </c>
      <c r="B182" s="385" t="s">
        <v>5459</v>
      </c>
      <c r="C182" s="878"/>
      <c r="D182" s="881"/>
      <c r="E182" s="485">
        <v>1</v>
      </c>
      <c r="F182" s="196" t="s">
        <v>11566</v>
      </c>
      <c r="G182" s="382" t="s">
        <v>143</v>
      </c>
      <c r="H182" s="461">
        <v>32.6</v>
      </c>
      <c r="I182" s="884"/>
      <c r="J182" s="461">
        <v>1050339.3999999999</v>
      </c>
      <c r="K182" s="486">
        <v>478751.86</v>
      </c>
    </row>
    <row r="183" spans="1:11" x14ac:dyDescent="0.2">
      <c r="A183" s="384" t="s">
        <v>10663</v>
      </c>
      <c r="B183" s="382" t="s">
        <v>308</v>
      </c>
      <c r="C183" s="879"/>
      <c r="D183" s="882"/>
      <c r="E183" s="485">
        <v>8</v>
      </c>
      <c r="F183" s="196" t="s">
        <v>10666</v>
      </c>
      <c r="G183" s="382" t="s">
        <v>543</v>
      </c>
      <c r="H183" s="461">
        <v>43.8</v>
      </c>
      <c r="I183" s="885"/>
      <c r="J183" s="461">
        <v>1053227</v>
      </c>
      <c r="K183" s="486">
        <v>842508.78</v>
      </c>
    </row>
    <row r="184" spans="1:11" ht="12.75" customHeight="1" x14ac:dyDescent="0.2">
      <c r="A184" s="383" t="s">
        <v>647</v>
      </c>
      <c r="B184" s="382"/>
      <c r="C184" s="893" t="s">
        <v>12785</v>
      </c>
      <c r="D184" s="898">
        <v>72</v>
      </c>
      <c r="E184" s="485"/>
      <c r="F184" s="196"/>
      <c r="G184" s="382"/>
      <c r="H184" s="492">
        <f>1352-1352</f>
        <v>0</v>
      </c>
      <c r="I184" s="891">
        <v>1962</v>
      </c>
      <c r="J184" s="461">
        <f>2502804-2502804</f>
        <v>0</v>
      </c>
      <c r="K184" s="486"/>
    </row>
    <row r="185" spans="1:11" ht="12.75" customHeight="1" x14ac:dyDescent="0.2">
      <c r="A185" s="384" t="s">
        <v>648</v>
      </c>
      <c r="B185" s="382" t="s">
        <v>324</v>
      </c>
      <c r="C185" s="893"/>
      <c r="D185" s="898"/>
      <c r="E185" s="485">
        <v>12</v>
      </c>
      <c r="F185" s="196"/>
      <c r="G185" s="382"/>
      <c r="H185" s="492">
        <v>40.5</v>
      </c>
      <c r="I185" s="891"/>
      <c r="J185" s="461">
        <v>74972.928994082831</v>
      </c>
      <c r="K185" s="486"/>
    </row>
    <row r="186" spans="1:11" x14ac:dyDescent="0.2">
      <c r="A186" s="383" t="s">
        <v>649</v>
      </c>
      <c r="B186" s="382"/>
      <c r="C186" s="877" t="s">
        <v>12786</v>
      </c>
      <c r="D186" s="880">
        <v>76</v>
      </c>
      <c r="E186" s="485"/>
      <c r="F186" s="196"/>
      <c r="G186" s="382"/>
      <c r="H186" s="492">
        <f>1998-1998</f>
        <v>0</v>
      </c>
      <c r="I186" s="883">
        <v>1995</v>
      </c>
      <c r="J186" s="461">
        <f>3583582-3583582</f>
        <v>0</v>
      </c>
      <c r="K186" s="486"/>
    </row>
    <row r="187" spans="1:11" ht="12.75" customHeight="1" x14ac:dyDescent="0.2">
      <c r="A187" s="384" t="s">
        <v>12787</v>
      </c>
      <c r="B187" s="382" t="s">
        <v>308</v>
      </c>
      <c r="C187" s="878"/>
      <c r="D187" s="881"/>
      <c r="E187" s="485">
        <v>29</v>
      </c>
      <c r="F187" s="196" t="s">
        <v>12788</v>
      </c>
      <c r="G187" s="382" t="s">
        <v>543</v>
      </c>
      <c r="H187" s="461">
        <f>23.6</f>
        <v>23.6</v>
      </c>
      <c r="I187" s="884"/>
      <c r="J187" s="461">
        <f>735398</f>
        <v>735398</v>
      </c>
      <c r="K187" s="486">
        <f>467753.41</f>
        <v>467753.41</v>
      </c>
    </row>
    <row r="188" spans="1:11" x14ac:dyDescent="0.2">
      <c r="A188" s="384" t="s">
        <v>650</v>
      </c>
      <c r="B188" s="382" t="s">
        <v>308</v>
      </c>
      <c r="C188" s="878"/>
      <c r="D188" s="881"/>
      <c r="E188" s="485">
        <v>46</v>
      </c>
      <c r="F188" s="196" t="s">
        <v>4159</v>
      </c>
      <c r="G188" s="382" t="s">
        <v>538</v>
      </c>
      <c r="H188" s="492">
        <v>31.4</v>
      </c>
      <c r="I188" s="884"/>
      <c r="J188" s="461">
        <v>334152</v>
      </c>
      <c r="K188" s="486">
        <v>599866.48</v>
      </c>
    </row>
    <row r="189" spans="1:11" ht="12.75" customHeight="1" x14ac:dyDescent="0.2">
      <c r="A189" s="384" t="s">
        <v>11913</v>
      </c>
      <c r="B189" s="382" t="s">
        <v>308</v>
      </c>
      <c r="C189" s="878"/>
      <c r="D189" s="881"/>
      <c r="E189" s="485">
        <v>8</v>
      </c>
      <c r="F189" s="40" t="s">
        <v>11914</v>
      </c>
      <c r="G189" s="382" t="s">
        <v>543</v>
      </c>
      <c r="H189" s="461">
        <v>31</v>
      </c>
      <c r="I189" s="884"/>
      <c r="J189" s="461">
        <v>1024767</v>
      </c>
      <c r="K189" s="486">
        <v>592764.64</v>
      </c>
    </row>
    <row r="190" spans="1:11" x14ac:dyDescent="0.2">
      <c r="A190" s="383" t="s">
        <v>651</v>
      </c>
      <c r="B190" s="382"/>
      <c r="C190" s="877" t="s">
        <v>12789</v>
      </c>
      <c r="D190" s="880">
        <v>78</v>
      </c>
      <c r="E190" s="485"/>
      <c r="F190" s="196"/>
      <c r="G190" s="382"/>
      <c r="H190" s="492">
        <f>2530-2530</f>
        <v>0</v>
      </c>
      <c r="I190" s="883">
        <v>1963</v>
      </c>
      <c r="J190" s="461">
        <f>4446204-4446204</f>
        <v>0</v>
      </c>
      <c r="K190" s="486"/>
    </row>
    <row r="191" spans="1:11" x14ac:dyDescent="0.2">
      <c r="A191" s="384" t="s">
        <v>652</v>
      </c>
      <c r="B191" s="382" t="s">
        <v>324</v>
      </c>
      <c r="C191" s="878"/>
      <c r="D191" s="881"/>
      <c r="E191" s="485">
        <v>8</v>
      </c>
      <c r="F191" s="196"/>
      <c r="G191" s="382"/>
      <c r="H191" s="492">
        <v>53.4</v>
      </c>
      <c r="I191" s="884"/>
      <c r="J191" s="461">
        <v>93844.695652173905</v>
      </c>
      <c r="K191" s="486"/>
    </row>
    <row r="192" spans="1:11" ht="12.75" customHeight="1" x14ac:dyDescent="0.2">
      <c r="A192" s="384" t="s">
        <v>11731</v>
      </c>
      <c r="B192" s="196" t="s">
        <v>5459</v>
      </c>
      <c r="C192" s="879"/>
      <c r="D192" s="882"/>
      <c r="E192" s="485">
        <v>23</v>
      </c>
      <c r="F192" s="196" t="s">
        <v>11732</v>
      </c>
      <c r="G192" s="382" t="s">
        <v>143</v>
      </c>
      <c r="H192" s="461">
        <v>30.3</v>
      </c>
      <c r="I192" s="885"/>
      <c r="J192" s="461">
        <v>991710</v>
      </c>
      <c r="K192" s="486">
        <v>578852.05000000005</v>
      </c>
    </row>
    <row r="193" spans="1:11" x14ac:dyDescent="0.2">
      <c r="A193" s="383" t="s">
        <v>653</v>
      </c>
      <c r="B193" s="382"/>
      <c r="C193" s="877" t="s">
        <v>12790</v>
      </c>
      <c r="D193" s="880">
        <v>80</v>
      </c>
      <c r="E193" s="485"/>
      <c r="F193" s="196"/>
      <c r="G193" s="382"/>
      <c r="H193" s="492">
        <f>1350-1350</f>
        <v>0</v>
      </c>
      <c r="I193" s="883">
        <v>1961</v>
      </c>
      <c r="J193" s="461">
        <f>1209336-1209336</f>
        <v>0</v>
      </c>
      <c r="K193" s="486"/>
    </row>
    <row r="194" spans="1:11" ht="12.75" customHeight="1" x14ac:dyDescent="0.2">
      <c r="A194" s="384" t="s">
        <v>1539</v>
      </c>
      <c r="B194" s="382" t="s">
        <v>324</v>
      </c>
      <c r="C194" s="879"/>
      <c r="D194" s="882"/>
      <c r="E194" s="485">
        <v>22</v>
      </c>
      <c r="F194" s="196"/>
      <c r="G194" s="382"/>
      <c r="H194" s="492">
        <v>55.7</v>
      </c>
      <c r="I194" s="885"/>
      <c r="J194" s="461">
        <v>49894.822222222225</v>
      </c>
      <c r="K194" s="486"/>
    </row>
    <row r="195" spans="1:11" ht="12.75" customHeight="1" x14ac:dyDescent="0.2">
      <c r="A195" s="383" t="s">
        <v>654</v>
      </c>
      <c r="B195" s="382"/>
      <c r="C195" s="877" t="s">
        <v>12791</v>
      </c>
      <c r="D195" s="880">
        <v>82</v>
      </c>
      <c r="E195" s="485"/>
      <c r="F195" s="196"/>
      <c r="G195" s="382"/>
      <c r="H195" s="492">
        <f>2651-2651</f>
        <v>0</v>
      </c>
      <c r="I195" s="883">
        <v>1965</v>
      </c>
      <c r="J195" s="461">
        <f>4371256-4371256</f>
        <v>0</v>
      </c>
      <c r="K195" s="486"/>
    </row>
    <row r="196" spans="1:11" x14ac:dyDescent="0.2">
      <c r="A196" s="384" t="s">
        <v>655</v>
      </c>
      <c r="B196" s="382" t="s">
        <v>324</v>
      </c>
      <c r="C196" s="878"/>
      <c r="D196" s="881"/>
      <c r="E196" s="485">
        <v>15</v>
      </c>
      <c r="F196" s="196" t="s">
        <v>3082</v>
      </c>
      <c r="G196" s="382"/>
      <c r="H196" s="492">
        <v>29.6</v>
      </c>
      <c r="I196" s="884"/>
      <c r="J196" s="461">
        <v>48808.178046020374</v>
      </c>
      <c r="K196" s="486">
        <v>565479.23</v>
      </c>
    </row>
    <row r="197" spans="1:11" ht="12.75" customHeight="1" x14ac:dyDescent="0.2">
      <c r="A197" s="384" t="s">
        <v>656</v>
      </c>
      <c r="B197" s="382" t="s">
        <v>324</v>
      </c>
      <c r="C197" s="878"/>
      <c r="D197" s="881"/>
      <c r="E197" s="485">
        <v>30</v>
      </c>
      <c r="F197" s="196" t="s">
        <v>3083</v>
      </c>
      <c r="G197" s="382"/>
      <c r="H197" s="492">
        <v>41.4</v>
      </c>
      <c r="I197" s="884"/>
      <c r="J197" s="461">
        <v>68265.492267069028</v>
      </c>
      <c r="K197" s="486">
        <v>766700.19</v>
      </c>
    </row>
    <row r="198" spans="1:11" x14ac:dyDescent="0.2">
      <c r="A198" s="384" t="s">
        <v>11915</v>
      </c>
      <c r="B198" s="382" t="s">
        <v>308</v>
      </c>
      <c r="C198" s="879"/>
      <c r="D198" s="882"/>
      <c r="E198" s="485">
        <v>11</v>
      </c>
      <c r="F198" s="40" t="s">
        <v>11916</v>
      </c>
      <c r="G198" s="382" t="s">
        <v>538</v>
      </c>
      <c r="H198" s="461">
        <v>30.9</v>
      </c>
      <c r="I198" s="885"/>
      <c r="J198" s="461">
        <v>1021461.3</v>
      </c>
      <c r="K198" s="486">
        <v>600547.81999999995</v>
      </c>
    </row>
    <row r="199" spans="1:11" x14ac:dyDescent="0.2">
      <c r="A199" s="383" t="s">
        <v>657</v>
      </c>
      <c r="B199" s="382"/>
      <c r="C199" s="878" t="s">
        <v>12793</v>
      </c>
      <c r="D199" s="880">
        <v>84</v>
      </c>
      <c r="E199" s="485"/>
      <c r="F199" s="196"/>
      <c r="G199" s="382"/>
      <c r="H199" s="492">
        <f>2826.3-2826.3</f>
        <v>0</v>
      </c>
      <c r="I199" s="883">
        <v>1963</v>
      </c>
      <c r="J199" s="461">
        <f>3806679-3806679</f>
        <v>0</v>
      </c>
      <c r="K199" s="486"/>
    </row>
    <row r="200" spans="1:11" x14ac:dyDescent="0.2">
      <c r="A200" s="384" t="s">
        <v>658</v>
      </c>
      <c r="B200" s="382" t="s">
        <v>324</v>
      </c>
      <c r="C200" s="879"/>
      <c r="D200" s="882"/>
      <c r="E200" s="485">
        <v>4</v>
      </c>
      <c r="F200" s="196" t="s">
        <v>3086</v>
      </c>
      <c r="G200" s="382" t="s">
        <v>543</v>
      </c>
      <c r="H200" s="492">
        <v>55.7</v>
      </c>
      <c r="I200" s="885"/>
      <c r="J200" s="461">
        <v>1200000</v>
      </c>
      <c r="K200" s="486">
        <v>1067004.3700000001</v>
      </c>
    </row>
    <row r="201" spans="1:11" ht="24.75" customHeight="1" x14ac:dyDescent="0.2">
      <c r="A201" s="383" t="s">
        <v>677</v>
      </c>
      <c r="B201" s="382" t="s">
        <v>11567</v>
      </c>
      <c r="C201" s="617" t="s">
        <v>12794</v>
      </c>
      <c r="D201" s="619">
        <v>7</v>
      </c>
      <c r="E201" s="485"/>
      <c r="F201" s="196" t="s">
        <v>188</v>
      </c>
      <c r="G201" s="382" t="s">
        <v>3088</v>
      </c>
      <c r="H201" s="492">
        <v>69.099999999999994</v>
      </c>
      <c r="I201" s="618">
        <v>1984</v>
      </c>
      <c r="J201" s="461">
        <f>101516</f>
        <v>101516</v>
      </c>
      <c r="K201" s="486">
        <v>765936.88</v>
      </c>
    </row>
    <row r="202" spans="1:11" ht="27" customHeight="1" x14ac:dyDescent="0.2">
      <c r="A202" s="383" t="s">
        <v>678</v>
      </c>
      <c r="B202" s="382" t="s">
        <v>323</v>
      </c>
      <c r="C202" s="617" t="s">
        <v>12795</v>
      </c>
      <c r="D202" s="619">
        <v>9</v>
      </c>
      <c r="E202" s="485"/>
      <c r="F202" s="196" t="s">
        <v>189</v>
      </c>
      <c r="G202" s="382"/>
      <c r="H202" s="492">
        <v>104.8</v>
      </c>
      <c r="I202" s="618">
        <v>1986</v>
      </c>
      <c r="J202" s="461">
        <v>94300</v>
      </c>
      <c r="K202" s="486">
        <v>834953.13</v>
      </c>
    </row>
    <row r="203" spans="1:11" ht="25.5" x14ac:dyDescent="0.2">
      <c r="A203" s="383" t="s">
        <v>679</v>
      </c>
      <c r="B203" s="382" t="s">
        <v>11567</v>
      </c>
      <c r="C203" s="617" t="s">
        <v>12796</v>
      </c>
      <c r="D203" s="619">
        <v>15</v>
      </c>
      <c r="E203" s="485"/>
      <c r="F203" s="196" t="s">
        <v>190</v>
      </c>
      <c r="G203" s="382"/>
      <c r="H203" s="492">
        <v>54.6</v>
      </c>
      <c r="I203" s="618">
        <v>1984</v>
      </c>
      <c r="J203" s="461">
        <v>87248</v>
      </c>
      <c r="K203" s="486">
        <v>435004.21</v>
      </c>
    </row>
    <row r="204" spans="1:11" x14ac:dyDescent="0.2">
      <c r="A204" s="383" t="s">
        <v>659</v>
      </c>
      <c r="B204" s="382"/>
      <c r="C204" s="877" t="s">
        <v>12797</v>
      </c>
      <c r="D204" s="880">
        <v>31</v>
      </c>
      <c r="E204" s="485"/>
      <c r="F204" s="196"/>
      <c r="G204" s="382"/>
      <c r="H204" s="492">
        <f>3590-3590</f>
        <v>0</v>
      </c>
      <c r="I204" s="883">
        <v>1967</v>
      </c>
      <c r="J204" s="461">
        <f>5702900+738420 -5702900-738420</f>
        <v>0</v>
      </c>
      <c r="K204" s="486"/>
    </row>
    <row r="205" spans="1:11" ht="26.25" customHeight="1" x14ac:dyDescent="0.2">
      <c r="A205" s="384" t="s">
        <v>1917</v>
      </c>
      <c r="B205" s="382" t="s">
        <v>308</v>
      </c>
      <c r="C205" s="878"/>
      <c r="D205" s="881"/>
      <c r="E205" s="485">
        <v>28</v>
      </c>
      <c r="F205" s="196" t="s">
        <v>26</v>
      </c>
      <c r="G205" s="382"/>
      <c r="H205" s="492">
        <v>41.7</v>
      </c>
      <c r="I205" s="884"/>
      <c r="J205" s="461">
        <v>662331.90250696382</v>
      </c>
      <c r="K205" s="486">
        <v>802114.53</v>
      </c>
    </row>
    <row r="206" spans="1:11" ht="12.75" customHeight="1" x14ac:dyDescent="0.2">
      <c r="A206" s="384" t="s">
        <v>10662</v>
      </c>
      <c r="B206" s="382" t="s">
        <v>5459</v>
      </c>
      <c r="C206" s="878"/>
      <c r="D206" s="881"/>
      <c r="E206" s="485">
        <v>38</v>
      </c>
      <c r="F206" s="196" t="s">
        <v>11568</v>
      </c>
      <c r="G206" s="382" t="s">
        <v>143</v>
      </c>
      <c r="H206" s="461">
        <v>42.6</v>
      </c>
      <c r="I206" s="884"/>
      <c r="J206" s="461">
        <v>1063227</v>
      </c>
      <c r="K206" s="486">
        <v>788923.39</v>
      </c>
    </row>
    <row r="207" spans="1:11" ht="12.75" customHeight="1" x14ac:dyDescent="0.2">
      <c r="A207" s="383" t="s">
        <v>660</v>
      </c>
      <c r="B207" s="382"/>
      <c r="C207" s="893" t="s">
        <v>12798</v>
      </c>
      <c r="D207" s="898">
        <v>33</v>
      </c>
      <c r="E207" s="485"/>
      <c r="F207" s="196"/>
      <c r="G207" s="382"/>
      <c r="H207" s="492">
        <f>3765-3765</f>
        <v>0</v>
      </c>
      <c r="I207" s="891">
        <v>1967</v>
      </c>
      <c r="J207" s="461">
        <f>5927900-5927900</f>
        <v>0</v>
      </c>
      <c r="K207" s="486"/>
    </row>
    <row r="208" spans="1:11" x14ac:dyDescent="0.2">
      <c r="A208" s="384" t="s">
        <v>1918</v>
      </c>
      <c r="B208" s="382" t="s">
        <v>324</v>
      </c>
      <c r="C208" s="893"/>
      <c r="D208" s="898"/>
      <c r="E208" s="485">
        <v>5</v>
      </c>
      <c r="F208" s="196" t="s">
        <v>284</v>
      </c>
      <c r="G208" s="382"/>
      <c r="H208" s="492">
        <v>51.5</v>
      </c>
      <c r="I208" s="891"/>
      <c r="J208" s="461">
        <v>81085.48472775564</v>
      </c>
      <c r="K208" s="486">
        <v>986548.03</v>
      </c>
    </row>
    <row r="209" spans="1:11" ht="12.75" customHeight="1" x14ac:dyDescent="0.2">
      <c r="A209" s="383" t="s">
        <v>661</v>
      </c>
      <c r="B209" s="382"/>
      <c r="C209" s="877" t="s">
        <v>12799</v>
      </c>
      <c r="D209" s="880">
        <v>35</v>
      </c>
      <c r="E209" s="485"/>
      <c r="F209" s="196"/>
      <c r="G209" s="382"/>
      <c r="H209" s="492">
        <f>4375-4375</f>
        <v>0</v>
      </c>
      <c r="I209" s="883">
        <v>1971</v>
      </c>
      <c r="J209" s="461">
        <f>7985800-7985800</f>
        <v>0</v>
      </c>
      <c r="K209" s="486"/>
    </row>
    <row r="210" spans="1:11" x14ac:dyDescent="0.2">
      <c r="A210" s="384" t="s">
        <v>662</v>
      </c>
      <c r="B210" s="382" t="s">
        <v>308</v>
      </c>
      <c r="C210" s="878"/>
      <c r="D210" s="881"/>
      <c r="E210" s="485">
        <v>3</v>
      </c>
      <c r="F210" s="196"/>
      <c r="G210" s="382"/>
      <c r="H210" s="492">
        <v>54.6</v>
      </c>
      <c r="I210" s="884"/>
      <c r="J210" s="461">
        <v>99662.784</v>
      </c>
      <c r="K210" s="486"/>
    </row>
    <row r="211" spans="1:11" ht="12.75" customHeight="1" x14ac:dyDescent="0.2">
      <c r="A211" s="384" t="s">
        <v>663</v>
      </c>
      <c r="B211" s="382" t="s">
        <v>308</v>
      </c>
      <c r="C211" s="878"/>
      <c r="D211" s="881"/>
      <c r="E211" s="485">
        <v>22</v>
      </c>
      <c r="F211" s="40" t="s">
        <v>11917</v>
      </c>
      <c r="G211" s="382" t="s">
        <v>11918</v>
      </c>
      <c r="H211" s="461">
        <v>30.5</v>
      </c>
      <c r="I211" s="884"/>
      <c r="J211" s="461">
        <v>55307.36914285714</v>
      </c>
      <c r="K211" s="486">
        <v>582671.69999999995</v>
      </c>
    </row>
    <row r="212" spans="1:11" x14ac:dyDescent="0.2">
      <c r="A212" s="384" t="s">
        <v>664</v>
      </c>
      <c r="B212" s="382" t="s">
        <v>308</v>
      </c>
      <c r="C212" s="878"/>
      <c r="D212" s="881"/>
      <c r="E212" s="472" t="s">
        <v>416</v>
      </c>
      <c r="F212" s="196"/>
      <c r="G212" s="382"/>
      <c r="H212" s="492">
        <v>21.6</v>
      </c>
      <c r="I212" s="884"/>
      <c r="J212" s="461">
        <v>39427.035428571427</v>
      </c>
      <c r="K212" s="486"/>
    </row>
    <row r="213" spans="1:11" x14ac:dyDescent="0.2">
      <c r="A213" s="384" t="s">
        <v>665</v>
      </c>
      <c r="B213" s="382" t="s">
        <v>308</v>
      </c>
      <c r="C213" s="878"/>
      <c r="D213" s="881"/>
      <c r="E213" s="485">
        <v>48</v>
      </c>
      <c r="F213" s="196"/>
      <c r="G213" s="382"/>
      <c r="H213" s="492">
        <v>44.7</v>
      </c>
      <c r="I213" s="884"/>
      <c r="J213" s="461">
        <v>81592.059428571432</v>
      </c>
      <c r="K213" s="486"/>
    </row>
    <row r="214" spans="1:11" ht="12.75" customHeight="1" x14ac:dyDescent="0.2">
      <c r="A214" s="384" t="s">
        <v>6110</v>
      </c>
      <c r="B214" s="382" t="s">
        <v>308</v>
      </c>
      <c r="C214" s="878"/>
      <c r="D214" s="881"/>
      <c r="E214" s="485">
        <v>52</v>
      </c>
      <c r="F214" s="196" t="s">
        <v>417</v>
      </c>
      <c r="G214" s="382"/>
      <c r="H214" s="492">
        <v>41.3</v>
      </c>
      <c r="I214" s="884"/>
      <c r="J214" s="461">
        <v>75385.95199999999</v>
      </c>
      <c r="K214" s="486">
        <v>794420.38</v>
      </c>
    </row>
    <row r="215" spans="1:11" ht="24" x14ac:dyDescent="0.2">
      <c r="A215" s="384" t="s">
        <v>10548</v>
      </c>
      <c r="B215" s="196" t="s">
        <v>5459</v>
      </c>
      <c r="C215" s="878"/>
      <c r="D215" s="881"/>
      <c r="E215" s="485">
        <v>77</v>
      </c>
      <c r="F215" s="196" t="s">
        <v>11569</v>
      </c>
      <c r="G215" s="382" t="s">
        <v>3077</v>
      </c>
      <c r="H215" s="461">
        <v>29.6</v>
      </c>
      <c r="I215" s="884"/>
      <c r="J215" s="461"/>
      <c r="K215" s="486">
        <v>568547.62</v>
      </c>
    </row>
    <row r="216" spans="1:11" x14ac:dyDescent="0.2">
      <c r="A216" s="384" t="s">
        <v>11919</v>
      </c>
      <c r="B216" s="196" t="s">
        <v>11920</v>
      </c>
      <c r="C216" s="879"/>
      <c r="D216" s="882"/>
      <c r="E216" s="485">
        <v>10</v>
      </c>
      <c r="F216" s="40" t="s">
        <v>11921</v>
      </c>
      <c r="G216" s="382" t="s">
        <v>134</v>
      </c>
      <c r="H216" s="461">
        <v>28.5</v>
      </c>
      <c r="I216" s="885"/>
      <c r="J216" s="461">
        <v>4027</v>
      </c>
      <c r="K216" s="486">
        <v>564871.71</v>
      </c>
    </row>
    <row r="217" spans="1:11" x14ac:dyDescent="0.2">
      <c r="A217" s="383" t="s">
        <v>666</v>
      </c>
      <c r="B217" s="382"/>
      <c r="C217" s="893" t="s">
        <v>12800</v>
      </c>
      <c r="D217" s="898">
        <v>37</v>
      </c>
      <c r="E217" s="472"/>
      <c r="F217" s="196"/>
      <c r="G217" s="382"/>
      <c r="H217" s="492">
        <f>4871-4871</f>
        <v>0</v>
      </c>
      <c r="I217" s="891">
        <v>1972</v>
      </c>
      <c r="J217" s="461">
        <f>7916911-7916911</f>
        <v>0</v>
      </c>
      <c r="K217" s="486"/>
    </row>
    <row r="218" spans="1:11" x14ac:dyDescent="0.2">
      <c r="A218" s="384" t="s">
        <v>667</v>
      </c>
      <c r="B218" s="382" t="s">
        <v>324</v>
      </c>
      <c r="C218" s="893"/>
      <c r="D218" s="898"/>
      <c r="E218" s="472" t="s">
        <v>410</v>
      </c>
      <c r="F218" s="196"/>
      <c r="G218" s="382"/>
      <c r="H218" s="492">
        <v>22</v>
      </c>
      <c r="I218" s="891"/>
      <c r="J218" s="461">
        <v>35756.937384520628</v>
      </c>
      <c r="K218" s="486"/>
    </row>
    <row r="219" spans="1:11" ht="12.75" customHeight="1" x14ac:dyDescent="0.2">
      <c r="A219" s="384" t="s">
        <v>668</v>
      </c>
      <c r="B219" s="382" t="s">
        <v>324</v>
      </c>
      <c r="C219" s="893"/>
      <c r="D219" s="898"/>
      <c r="E219" s="472" t="s">
        <v>418</v>
      </c>
      <c r="F219" s="294"/>
      <c r="G219" s="382"/>
      <c r="H219" s="492">
        <v>30</v>
      </c>
      <c r="I219" s="891"/>
      <c r="J219" s="461">
        <v>48759.460069800858</v>
      </c>
      <c r="K219" s="486"/>
    </row>
    <row r="220" spans="1:11" x14ac:dyDescent="0.2">
      <c r="A220" s="384" t="s">
        <v>669</v>
      </c>
      <c r="B220" s="382" t="s">
        <v>324</v>
      </c>
      <c r="C220" s="893"/>
      <c r="D220" s="898"/>
      <c r="E220" s="472">
        <v>3</v>
      </c>
      <c r="F220" s="196"/>
      <c r="G220" s="382"/>
      <c r="H220" s="492"/>
      <c r="I220" s="891"/>
      <c r="J220" s="461"/>
      <c r="K220" s="486"/>
    </row>
    <row r="221" spans="1:11" x14ac:dyDescent="0.2">
      <c r="A221" s="384" t="s">
        <v>670</v>
      </c>
      <c r="B221" s="382" t="s">
        <v>324</v>
      </c>
      <c r="C221" s="893"/>
      <c r="D221" s="898"/>
      <c r="E221" s="472" t="s">
        <v>251</v>
      </c>
      <c r="F221" s="196"/>
      <c r="G221" s="382"/>
      <c r="H221" s="492">
        <v>29.2</v>
      </c>
      <c r="I221" s="891"/>
      <c r="J221" s="461">
        <v>47459.207801272838</v>
      </c>
      <c r="K221" s="486"/>
    </row>
    <row r="222" spans="1:11" x14ac:dyDescent="0.2">
      <c r="A222" s="384" t="s">
        <v>671</v>
      </c>
      <c r="B222" s="382" t="s">
        <v>324</v>
      </c>
      <c r="C222" s="893"/>
      <c r="D222" s="898"/>
      <c r="E222" s="472" t="s">
        <v>419</v>
      </c>
      <c r="F222" s="196"/>
      <c r="G222" s="382"/>
      <c r="H222" s="492">
        <v>28.5</v>
      </c>
      <c r="I222" s="891"/>
      <c r="J222" s="461">
        <v>46321.487066310816</v>
      </c>
      <c r="K222" s="486"/>
    </row>
    <row r="223" spans="1:11" x14ac:dyDescent="0.2">
      <c r="A223" s="384" t="s">
        <v>672</v>
      </c>
      <c r="B223" s="382" t="s">
        <v>324</v>
      </c>
      <c r="C223" s="893"/>
      <c r="D223" s="898"/>
      <c r="E223" s="472" t="s">
        <v>252</v>
      </c>
      <c r="F223" s="196"/>
      <c r="G223" s="382"/>
      <c r="H223" s="492">
        <v>10.199999999999999</v>
      </c>
      <c r="I223" s="891"/>
      <c r="J223" s="461">
        <v>16578.21642373229</v>
      </c>
      <c r="K223" s="486"/>
    </row>
    <row r="224" spans="1:11" x14ac:dyDescent="0.2">
      <c r="A224" s="384" t="s">
        <v>673</v>
      </c>
      <c r="B224" s="382" t="s">
        <v>324</v>
      </c>
      <c r="C224" s="893"/>
      <c r="D224" s="898"/>
      <c r="E224" s="472" t="s">
        <v>420</v>
      </c>
      <c r="F224" s="196"/>
      <c r="G224" s="382"/>
      <c r="H224" s="492"/>
      <c r="I224" s="891"/>
      <c r="J224" s="461"/>
      <c r="K224" s="486"/>
    </row>
    <row r="225" spans="1:11" ht="25.5" x14ac:dyDescent="0.2">
      <c r="A225" s="384" t="s">
        <v>674</v>
      </c>
      <c r="B225" s="382" t="s">
        <v>5459</v>
      </c>
      <c r="C225" s="893"/>
      <c r="D225" s="898"/>
      <c r="E225" s="472">
        <v>41</v>
      </c>
      <c r="F225" s="40" t="s">
        <v>11570</v>
      </c>
      <c r="G225" s="467" t="s">
        <v>134</v>
      </c>
      <c r="H225" s="500">
        <v>43.7</v>
      </c>
      <c r="I225" s="891"/>
      <c r="J225" s="461"/>
      <c r="K225" s="486">
        <v>829116.6</v>
      </c>
    </row>
    <row r="226" spans="1:11" ht="12.75" customHeight="1" x14ac:dyDescent="0.2">
      <c r="A226" s="384" t="s">
        <v>675</v>
      </c>
      <c r="B226" s="382"/>
      <c r="C226" s="893"/>
      <c r="D226" s="898"/>
      <c r="E226" s="485">
        <v>53</v>
      </c>
      <c r="F226" s="196" t="s">
        <v>5428</v>
      </c>
      <c r="G226" s="382" t="s">
        <v>543</v>
      </c>
      <c r="H226" s="492">
        <v>29.8</v>
      </c>
      <c r="I226" s="891"/>
      <c r="J226" s="461">
        <v>309676</v>
      </c>
      <c r="K226" s="486">
        <v>576763.74</v>
      </c>
    </row>
    <row r="227" spans="1:11" x14ac:dyDescent="0.2">
      <c r="A227" s="384" t="s">
        <v>676</v>
      </c>
      <c r="B227" s="382"/>
      <c r="C227" s="893"/>
      <c r="D227" s="898"/>
      <c r="E227" s="485">
        <v>55</v>
      </c>
      <c r="F227" s="196"/>
      <c r="G227" s="382"/>
      <c r="H227" s="492">
        <v>47.2</v>
      </c>
      <c r="I227" s="891"/>
      <c r="J227" s="461">
        <v>76714.883843153366</v>
      </c>
      <c r="K227" s="486"/>
    </row>
    <row r="228" spans="1:11" ht="25.5" customHeight="1" x14ac:dyDescent="0.2">
      <c r="A228" s="383" t="s">
        <v>680</v>
      </c>
      <c r="B228" s="382" t="s">
        <v>324</v>
      </c>
      <c r="C228" s="617" t="s">
        <v>12801</v>
      </c>
      <c r="D228" s="619" t="s">
        <v>406</v>
      </c>
      <c r="E228" s="485">
        <v>4</v>
      </c>
      <c r="F228" s="196" t="s">
        <v>217</v>
      </c>
      <c r="G228" s="382"/>
      <c r="H228" s="492">
        <f>317-237.5</f>
        <v>79.5</v>
      </c>
      <c r="I228" s="618">
        <v>1991</v>
      </c>
      <c r="J228" s="461">
        <f>1214584/317*79.5</f>
        <v>304603.87381703471</v>
      </c>
      <c r="K228" s="486">
        <v>1002005.28</v>
      </c>
    </row>
    <row r="229" spans="1:11" x14ac:dyDescent="0.2">
      <c r="A229" s="383" t="s">
        <v>681</v>
      </c>
      <c r="B229" s="382"/>
      <c r="C229" s="893" t="s">
        <v>12802</v>
      </c>
      <c r="D229" s="898">
        <v>7</v>
      </c>
      <c r="E229" s="485"/>
      <c r="F229" s="196"/>
      <c r="G229" s="382"/>
      <c r="H229" s="492">
        <f>127-127</f>
        <v>0</v>
      </c>
      <c r="I229" s="891">
        <v>1959</v>
      </c>
      <c r="J229" s="461">
        <f>213364-213364</f>
        <v>0</v>
      </c>
      <c r="K229" s="486"/>
    </row>
    <row r="230" spans="1:11" x14ac:dyDescent="0.2">
      <c r="A230" s="384" t="s">
        <v>682</v>
      </c>
      <c r="B230" s="382" t="s">
        <v>324</v>
      </c>
      <c r="C230" s="893"/>
      <c r="D230" s="898"/>
      <c r="E230" s="485">
        <v>3</v>
      </c>
      <c r="F230" s="196" t="s">
        <v>210</v>
      </c>
      <c r="G230" s="382" t="s">
        <v>143</v>
      </c>
      <c r="H230" s="492">
        <v>62.9</v>
      </c>
      <c r="I230" s="891"/>
      <c r="J230" s="461">
        <v>105691.81102362204</v>
      </c>
      <c r="K230" s="486">
        <v>648735.68999999994</v>
      </c>
    </row>
    <row r="231" spans="1:11" ht="12.75" customHeight="1" x14ac:dyDescent="0.2">
      <c r="A231" s="384" t="s">
        <v>683</v>
      </c>
      <c r="B231" s="382" t="s">
        <v>324</v>
      </c>
      <c r="C231" s="893"/>
      <c r="D231" s="898"/>
      <c r="E231" s="485">
        <v>4</v>
      </c>
      <c r="F231" s="196" t="s">
        <v>211</v>
      </c>
      <c r="G231" s="382" t="s">
        <v>143</v>
      </c>
      <c r="H231" s="492">
        <v>30.3</v>
      </c>
      <c r="I231" s="891"/>
      <c r="J231" s="461">
        <v>50913.543307086613</v>
      </c>
      <c r="K231" s="486">
        <v>314004.65999999997</v>
      </c>
    </row>
    <row r="232" spans="1:11" ht="27" customHeight="1" x14ac:dyDescent="0.2">
      <c r="A232" s="383" t="s">
        <v>684</v>
      </c>
      <c r="B232" s="382" t="s">
        <v>11567</v>
      </c>
      <c r="C232" s="617" t="s">
        <v>12803</v>
      </c>
      <c r="D232" s="619">
        <v>8</v>
      </c>
      <c r="E232" s="485"/>
      <c r="F232" s="196" t="s">
        <v>3089</v>
      </c>
      <c r="G232" s="382" t="s">
        <v>3090</v>
      </c>
      <c r="H232" s="492">
        <v>51.5</v>
      </c>
      <c r="I232" s="618">
        <v>1958</v>
      </c>
      <c r="J232" s="461">
        <v>59040</v>
      </c>
      <c r="K232" s="486">
        <v>426864.44</v>
      </c>
    </row>
    <row r="233" spans="1:11" x14ac:dyDescent="0.2">
      <c r="A233" s="383" t="s">
        <v>685</v>
      </c>
      <c r="B233" s="382"/>
      <c r="C233" s="893" t="s">
        <v>12804</v>
      </c>
      <c r="D233" s="898">
        <v>11</v>
      </c>
      <c r="E233" s="485"/>
      <c r="F233" s="196"/>
      <c r="G233" s="382"/>
      <c r="H233" s="492">
        <f>120-120</f>
        <v>0</v>
      </c>
      <c r="I233" s="891">
        <v>1959</v>
      </c>
      <c r="J233" s="461">
        <f>248952-248952</f>
        <v>0</v>
      </c>
      <c r="K233" s="486"/>
    </row>
    <row r="234" spans="1:11" x14ac:dyDescent="0.2">
      <c r="A234" s="384" t="s">
        <v>1349</v>
      </c>
      <c r="B234" s="382" t="s">
        <v>308</v>
      </c>
      <c r="C234" s="893"/>
      <c r="D234" s="898"/>
      <c r="E234" s="485">
        <v>1</v>
      </c>
      <c r="F234" s="196" t="s">
        <v>11571</v>
      </c>
      <c r="G234" s="382" t="s">
        <v>143</v>
      </c>
      <c r="H234" s="492">
        <v>29.7</v>
      </c>
      <c r="I234" s="891"/>
      <c r="J234" s="461">
        <v>61627.5</v>
      </c>
      <c r="K234" s="486">
        <v>307786.74</v>
      </c>
    </row>
    <row r="235" spans="1:11" ht="12.75" customHeight="1" x14ac:dyDescent="0.2">
      <c r="A235" s="384" t="s">
        <v>1350</v>
      </c>
      <c r="B235" s="382" t="s">
        <v>308</v>
      </c>
      <c r="C235" s="893"/>
      <c r="D235" s="898"/>
      <c r="E235" s="485">
        <v>3</v>
      </c>
      <c r="F235" s="196" t="s">
        <v>208</v>
      </c>
      <c r="G235" s="382" t="s">
        <v>143</v>
      </c>
      <c r="H235" s="492">
        <v>30.4</v>
      </c>
      <c r="I235" s="891"/>
      <c r="J235" s="461">
        <v>63080</v>
      </c>
      <c r="K235" s="486">
        <v>315040.98</v>
      </c>
    </row>
    <row r="236" spans="1:11" ht="12.75" customHeight="1" x14ac:dyDescent="0.2">
      <c r="A236" s="384" t="s">
        <v>1351</v>
      </c>
      <c r="B236" s="382" t="s">
        <v>308</v>
      </c>
      <c r="C236" s="893"/>
      <c r="D236" s="898"/>
      <c r="E236" s="485">
        <v>4</v>
      </c>
      <c r="F236" s="196" t="s">
        <v>209</v>
      </c>
      <c r="G236" s="382" t="s">
        <v>143</v>
      </c>
      <c r="H236" s="492">
        <v>29.5</v>
      </c>
      <c r="I236" s="891"/>
      <c r="J236" s="461">
        <v>61212.5</v>
      </c>
      <c r="K236" s="486">
        <v>305714.11</v>
      </c>
    </row>
    <row r="237" spans="1:11" x14ac:dyDescent="0.2">
      <c r="A237" s="383" t="s">
        <v>686</v>
      </c>
      <c r="B237" s="382"/>
      <c r="C237" s="893" t="s">
        <v>12805</v>
      </c>
      <c r="D237" s="898">
        <v>13</v>
      </c>
      <c r="E237" s="485"/>
      <c r="F237" s="196"/>
      <c r="G237" s="382"/>
      <c r="H237" s="492">
        <f>130-130</f>
        <v>0</v>
      </c>
      <c r="I237" s="891">
        <v>1959</v>
      </c>
      <c r="J237" s="461">
        <f>254036-254036</f>
        <v>0</v>
      </c>
      <c r="K237" s="486"/>
    </row>
    <row r="238" spans="1:11" x14ac:dyDescent="0.2">
      <c r="A238" s="384" t="s">
        <v>687</v>
      </c>
      <c r="B238" s="382" t="s">
        <v>308</v>
      </c>
      <c r="C238" s="893"/>
      <c r="D238" s="898"/>
      <c r="E238" s="485">
        <v>1</v>
      </c>
      <c r="F238" s="196" t="s">
        <v>205</v>
      </c>
      <c r="G238" s="382" t="s">
        <v>143</v>
      </c>
      <c r="H238" s="492">
        <v>32.200000000000003</v>
      </c>
      <c r="I238" s="891"/>
      <c r="J238" s="461">
        <v>62913.846153846156</v>
      </c>
      <c r="K238" s="486">
        <v>333694.32</v>
      </c>
    </row>
    <row r="239" spans="1:11" ht="12.75" customHeight="1" x14ac:dyDescent="0.2">
      <c r="A239" s="384" t="s">
        <v>1352</v>
      </c>
      <c r="B239" s="382" t="s">
        <v>308</v>
      </c>
      <c r="C239" s="893"/>
      <c r="D239" s="898"/>
      <c r="E239" s="485">
        <v>3</v>
      </c>
      <c r="F239" s="196" t="s">
        <v>206</v>
      </c>
      <c r="G239" s="382" t="s">
        <v>143</v>
      </c>
      <c r="H239" s="492">
        <v>32.6</v>
      </c>
      <c r="I239" s="891"/>
      <c r="J239" s="461">
        <v>63695.384615384617</v>
      </c>
      <c r="K239" s="486">
        <v>337839.99</v>
      </c>
    </row>
    <row r="240" spans="1:11" ht="12.75" customHeight="1" x14ac:dyDescent="0.2">
      <c r="A240" s="384" t="s">
        <v>1353</v>
      </c>
      <c r="B240" s="382" t="s">
        <v>308</v>
      </c>
      <c r="C240" s="893"/>
      <c r="D240" s="898"/>
      <c r="E240" s="485">
        <v>4</v>
      </c>
      <c r="F240" s="196" t="s">
        <v>207</v>
      </c>
      <c r="G240" s="382" t="s">
        <v>143</v>
      </c>
      <c r="H240" s="492">
        <v>32.5</v>
      </c>
      <c r="I240" s="891"/>
      <c r="J240" s="461">
        <v>63500</v>
      </c>
      <c r="K240" s="486">
        <v>336803.68</v>
      </c>
    </row>
    <row r="241" spans="1:11" x14ac:dyDescent="0.2">
      <c r="A241" s="383" t="s">
        <v>688</v>
      </c>
      <c r="B241" s="382"/>
      <c r="C241" s="879" t="s">
        <v>12806</v>
      </c>
      <c r="D241" s="898">
        <v>14</v>
      </c>
      <c r="E241" s="485"/>
      <c r="F241" s="196"/>
      <c r="G241" s="382"/>
      <c r="H241" s="492">
        <f>257-257</f>
        <v>0</v>
      </c>
      <c r="I241" s="891">
        <v>1989</v>
      </c>
      <c r="J241" s="461">
        <f>1521756-1521756</f>
        <v>0</v>
      </c>
      <c r="K241" s="486"/>
    </row>
    <row r="242" spans="1:11" ht="12.75" customHeight="1" x14ac:dyDescent="0.2">
      <c r="A242" s="384" t="s">
        <v>689</v>
      </c>
      <c r="B242" s="382" t="s">
        <v>308</v>
      </c>
      <c r="C242" s="893"/>
      <c r="D242" s="898"/>
      <c r="E242" s="485">
        <v>1</v>
      </c>
      <c r="F242" s="196"/>
      <c r="G242" s="382"/>
      <c r="H242" s="492">
        <v>78.900000000000006</v>
      </c>
      <c r="I242" s="891"/>
      <c r="J242" s="461">
        <v>467198.52140077826</v>
      </c>
      <c r="K242" s="486"/>
    </row>
    <row r="243" spans="1:11" ht="12.75" customHeight="1" x14ac:dyDescent="0.2">
      <c r="A243" s="383" t="s">
        <v>690</v>
      </c>
      <c r="B243" s="382"/>
      <c r="C243" s="893" t="s">
        <v>12807</v>
      </c>
      <c r="D243" s="898">
        <v>20</v>
      </c>
      <c r="E243" s="485"/>
      <c r="F243" s="196"/>
      <c r="G243" s="382"/>
      <c r="H243" s="492">
        <f>197-197</f>
        <v>0</v>
      </c>
      <c r="I243" s="891">
        <v>1985</v>
      </c>
      <c r="J243" s="461">
        <f>126936-126936</f>
        <v>0</v>
      </c>
      <c r="K243" s="486"/>
    </row>
    <row r="244" spans="1:11" x14ac:dyDescent="0.2">
      <c r="A244" s="384" t="s">
        <v>691</v>
      </c>
      <c r="B244" s="382" t="s">
        <v>308</v>
      </c>
      <c r="C244" s="893"/>
      <c r="D244" s="898"/>
      <c r="E244" s="485">
        <v>3</v>
      </c>
      <c r="F244" s="196"/>
      <c r="G244" s="382" t="s">
        <v>143</v>
      </c>
      <c r="H244" s="492">
        <v>54.4</v>
      </c>
      <c r="I244" s="891"/>
      <c r="J244" s="461">
        <v>35042.436548223348</v>
      </c>
      <c r="K244" s="486"/>
    </row>
    <row r="245" spans="1:11" ht="12.75" customHeight="1" x14ac:dyDescent="0.2">
      <c r="A245" s="383" t="s">
        <v>692</v>
      </c>
      <c r="B245" s="382" t="s">
        <v>323</v>
      </c>
      <c r="C245" s="617" t="s">
        <v>12808</v>
      </c>
      <c r="D245" s="619">
        <v>21</v>
      </c>
      <c r="E245" s="485">
        <v>1</v>
      </c>
      <c r="F245" s="196" t="s">
        <v>3144</v>
      </c>
      <c r="G245" s="382" t="s">
        <v>143</v>
      </c>
      <c r="H245" s="492">
        <v>74.400000000000006</v>
      </c>
      <c r="I245" s="618">
        <v>1962</v>
      </c>
      <c r="J245" s="461">
        <v>76588</v>
      </c>
      <c r="K245" s="486">
        <v>616674.06999999995</v>
      </c>
    </row>
    <row r="246" spans="1:11" x14ac:dyDescent="0.2">
      <c r="A246" s="383" t="s">
        <v>693</v>
      </c>
      <c r="B246" s="382"/>
      <c r="C246" s="893" t="s">
        <v>12809</v>
      </c>
      <c r="D246" s="898">
        <v>4</v>
      </c>
      <c r="E246" s="485"/>
      <c r="F246" s="196"/>
      <c r="G246" s="382"/>
      <c r="H246" s="492">
        <f>823-823</f>
        <v>0</v>
      </c>
      <c r="I246" s="891">
        <v>1960</v>
      </c>
      <c r="J246" s="461">
        <f>1303308-1303308</f>
        <v>0</v>
      </c>
      <c r="K246" s="486"/>
    </row>
    <row r="247" spans="1:11" x14ac:dyDescent="0.2">
      <c r="A247" s="384" t="s">
        <v>1354</v>
      </c>
      <c r="B247" s="382" t="s">
        <v>308</v>
      </c>
      <c r="C247" s="893"/>
      <c r="D247" s="898"/>
      <c r="E247" s="485">
        <v>4</v>
      </c>
      <c r="F247" s="196"/>
      <c r="G247" s="382"/>
      <c r="H247" s="492">
        <v>56.4</v>
      </c>
      <c r="I247" s="891"/>
      <c r="J247" s="461">
        <v>89314.848116646419</v>
      </c>
      <c r="K247" s="486"/>
    </row>
    <row r="248" spans="1:11" ht="27.75" customHeight="1" x14ac:dyDescent="0.2">
      <c r="A248" s="383" t="s">
        <v>694</v>
      </c>
      <c r="B248" s="382" t="s">
        <v>308</v>
      </c>
      <c r="C248" s="617" t="s">
        <v>12810</v>
      </c>
      <c r="D248" s="619">
        <v>5</v>
      </c>
      <c r="E248" s="485">
        <v>2</v>
      </c>
      <c r="F248" s="196"/>
      <c r="G248" s="382" t="s">
        <v>143</v>
      </c>
      <c r="H248" s="492">
        <f>76-31.8</f>
        <v>44.2</v>
      </c>
      <c r="I248" s="618">
        <v>1992</v>
      </c>
      <c r="J248" s="461">
        <f>80196/76*44.2</f>
        <v>46640.30526315789</v>
      </c>
      <c r="K248" s="486"/>
    </row>
    <row r="249" spans="1:11" x14ac:dyDescent="0.2">
      <c r="A249" s="383" t="s">
        <v>695</v>
      </c>
      <c r="B249" s="382"/>
      <c r="C249" s="893" t="s">
        <v>12811</v>
      </c>
      <c r="D249" s="898">
        <v>6</v>
      </c>
      <c r="E249" s="485"/>
      <c r="F249" s="196"/>
      <c r="G249" s="382"/>
      <c r="H249" s="492">
        <f>1043-1043</f>
        <v>0</v>
      </c>
      <c r="I249" s="891">
        <v>1961</v>
      </c>
      <c r="J249" s="461">
        <f>1183752-1183752</f>
        <v>0</v>
      </c>
      <c r="K249" s="486"/>
    </row>
    <row r="250" spans="1:11" x14ac:dyDescent="0.2">
      <c r="A250" s="384" t="s">
        <v>1355</v>
      </c>
      <c r="B250" s="382" t="s">
        <v>308</v>
      </c>
      <c r="C250" s="893"/>
      <c r="D250" s="898"/>
      <c r="E250" s="485">
        <v>2</v>
      </c>
      <c r="F250" s="196"/>
      <c r="G250" s="382"/>
      <c r="H250" s="492">
        <v>36.700000000000003</v>
      </c>
      <c r="I250" s="891"/>
      <c r="J250" s="461">
        <v>41654.324065196553</v>
      </c>
      <c r="K250" s="486"/>
    </row>
    <row r="251" spans="1:11" x14ac:dyDescent="0.2">
      <c r="A251" s="384" t="s">
        <v>1356</v>
      </c>
      <c r="B251" s="382" t="s">
        <v>308</v>
      </c>
      <c r="C251" s="893"/>
      <c r="D251" s="898"/>
      <c r="E251" s="485">
        <v>3</v>
      </c>
      <c r="F251" s="196"/>
      <c r="G251" s="382"/>
      <c r="H251" s="492">
        <v>35.200000000000003</v>
      </c>
      <c r="I251" s="891"/>
      <c r="J251" s="461">
        <v>39951.831255992336</v>
      </c>
      <c r="K251" s="486"/>
    </row>
    <row r="252" spans="1:11" ht="12.75" customHeight="1" x14ac:dyDescent="0.2">
      <c r="A252" s="384" t="s">
        <v>1357</v>
      </c>
      <c r="B252" s="382" t="s">
        <v>308</v>
      </c>
      <c r="C252" s="893"/>
      <c r="D252" s="898"/>
      <c r="E252" s="485">
        <v>4</v>
      </c>
      <c r="F252" s="196" t="s">
        <v>11572</v>
      </c>
      <c r="G252" s="382"/>
      <c r="H252" s="492">
        <v>33</v>
      </c>
      <c r="I252" s="891"/>
      <c r="J252" s="461">
        <v>37454.841802492811</v>
      </c>
      <c r="K252" s="486">
        <v>435497.37</v>
      </c>
    </row>
    <row r="253" spans="1:11" x14ac:dyDescent="0.2">
      <c r="A253" s="384" t="s">
        <v>1358</v>
      </c>
      <c r="B253" s="382" t="s">
        <v>308</v>
      </c>
      <c r="C253" s="893"/>
      <c r="D253" s="898"/>
      <c r="E253" s="485">
        <v>5</v>
      </c>
      <c r="F253" s="196"/>
      <c r="G253" s="382"/>
      <c r="H253" s="492">
        <v>34.4</v>
      </c>
      <c r="I253" s="891"/>
      <c r="J253" s="461">
        <v>39043.835091083412</v>
      </c>
      <c r="K253" s="486"/>
    </row>
    <row r="254" spans="1:11" x14ac:dyDescent="0.2">
      <c r="A254" s="384" t="s">
        <v>1359</v>
      </c>
      <c r="B254" s="382" t="s">
        <v>308</v>
      </c>
      <c r="C254" s="893"/>
      <c r="D254" s="898"/>
      <c r="E254" s="485">
        <v>7</v>
      </c>
      <c r="F254" s="196"/>
      <c r="G254" s="382"/>
      <c r="H254" s="492">
        <v>37.6</v>
      </c>
      <c r="I254" s="891"/>
      <c r="J254" s="461">
        <v>42675.819750719078</v>
      </c>
      <c r="K254" s="486"/>
    </row>
    <row r="255" spans="1:11" x14ac:dyDescent="0.2">
      <c r="A255" s="384" t="s">
        <v>1360</v>
      </c>
      <c r="B255" s="382" t="s">
        <v>308</v>
      </c>
      <c r="C255" s="893"/>
      <c r="D255" s="898"/>
      <c r="E255" s="485">
        <v>8</v>
      </c>
      <c r="F255" s="196"/>
      <c r="G255" s="382"/>
      <c r="H255" s="492">
        <v>32.200000000000003</v>
      </c>
      <c r="I255" s="891"/>
      <c r="J255" s="461">
        <v>36546.845637583894</v>
      </c>
      <c r="K255" s="486"/>
    </row>
    <row r="256" spans="1:11" x14ac:dyDescent="0.2">
      <c r="A256" s="384" t="s">
        <v>1361</v>
      </c>
      <c r="B256" s="382" t="s">
        <v>308</v>
      </c>
      <c r="C256" s="893"/>
      <c r="D256" s="898"/>
      <c r="E256" s="485">
        <v>12</v>
      </c>
      <c r="F256" s="196"/>
      <c r="G256" s="382"/>
      <c r="H256" s="492">
        <v>36.5</v>
      </c>
      <c r="I256" s="891"/>
      <c r="J256" s="461">
        <v>41427.325023969323</v>
      </c>
      <c r="K256" s="486"/>
    </row>
    <row r="257" spans="1:11" x14ac:dyDescent="0.2">
      <c r="A257" s="384" t="s">
        <v>1362</v>
      </c>
      <c r="B257" s="382" t="s">
        <v>308</v>
      </c>
      <c r="C257" s="893"/>
      <c r="D257" s="898"/>
      <c r="E257" s="485">
        <v>14</v>
      </c>
      <c r="F257" s="196"/>
      <c r="G257" s="382"/>
      <c r="H257" s="492">
        <v>35.6</v>
      </c>
      <c r="I257" s="891"/>
      <c r="J257" s="461">
        <v>40405.829338446791</v>
      </c>
      <c r="K257" s="486"/>
    </row>
    <row r="258" spans="1:11" x14ac:dyDescent="0.2">
      <c r="A258" s="450" t="s">
        <v>1363</v>
      </c>
      <c r="B258" s="382" t="s">
        <v>308</v>
      </c>
      <c r="C258" s="893"/>
      <c r="D258" s="898"/>
      <c r="E258" s="485">
        <v>17</v>
      </c>
      <c r="F258" s="385"/>
      <c r="G258" s="480"/>
      <c r="H258" s="461">
        <v>15.1</v>
      </c>
      <c r="I258" s="891"/>
      <c r="J258" s="461">
        <f>34390.3547459252-J259</f>
        <v>17138.427612655792</v>
      </c>
      <c r="K258" s="486"/>
    </row>
    <row r="259" spans="1:11" x14ac:dyDescent="0.2">
      <c r="A259" s="754" t="s">
        <v>14201</v>
      </c>
      <c r="B259" s="382" t="s">
        <v>308</v>
      </c>
      <c r="C259" s="893"/>
      <c r="D259" s="898"/>
      <c r="E259" s="472" t="s">
        <v>12812</v>
      </c>
      <c r="F259" s="385"/>
      <c r="G259" s="480"/>
      <c r="H259" s="461">
        <f>30.3-15.1</f>
        <v>15.200000000000001</v>
      </c>
      <c r="I259" s="891"/>
      <c r="J259" s="461">
        <f>34390.3547459252/30.3*H259</f>
        <v>17251.927133269408</v>
      </c>
      <c r="K259" s="486"/>
    </row>
    <row r="260" spans="1:11" x14ac:dyDescent="0.2">
      <c r="A260" s="384" t="s">
        <v>1364</v>
      </c>
      <c r="B260" s="382" t="s">
        <v>308</v>
      </c>
      <c r="C260" s="893"/>
      <c r="D260" s="898"/>
      <c r="E260" s="485">
        <v>18</v>
      </c>
      <c r="F260" s="196"/>
      <c r="G260" s="382"/>
      <c r="H260" s="492">
        <v>29.7</v>
      </c>
      <c r="I260" s="891"/>
      <c r="J260" s="461">
        <v>33709.357622243529</v>
      </c>
      <c r="K260" s="486"/>
    </row>
    <row r="261" spans="1:11" x14ac:dyDescent="0.2">
      <c r="A261" s="384" t="s">
        <v>1365</v>
      </c>
      <c r="B261" s="382" t="s">
        <v>308</v>
      </c>
      <c r="C261" s="893"/>
      <c r="D261" s="898"/>
      <c r="E261" s="485">
        <v>22</v>
      </c>
      <c r="F261" s="196"/>
      <c r="G261" s="382"/>
      <c r="H261" s="492">
        <v>17.5</v>
      </c>
      <c r="I261" s="891"/>
      <c r="J261" s="461">
        <v>19862.416107382549</v>
      </c>
      <c r="K261" s="486"/>
    </row>
    <row r="262" spans="1:11" x14ac:dyDescent="0.2">
      <c r="A262" s="383" t="s">
        <v>696</v>
      </c>
      <c r="B262" s="382"/>
      <c r="C262" s="893" t="s">
        <v>12813</v>
      </c>
      <c r="D262" s="898">
        <v>8</v>
      </c>
      <c r="E262" s="485"/>
      <c r="F262" s="196"/>
      <c r="G262" s="382"/>
      <c r="H262" s="492">
        <f>831-831</f>
        <v>0</v>
      </c>
      <c r="I262" s="891">
        <v>1961</v>
      </c>
      <c r="J262" s="461">
        <f>1480100-1480100</f>
        <v>0</v>
      </c>
      <c r="K262" s="486"/>
    </row>
    <row r="263" spans="1:11" x14ac:dyDescent="0.2">
      <c r="A263" s="384" t="s">
        <v>1371</v>
      </c>
      <c r="B263" s="382" t="s">
        <v>308</v>
      </c>
      <c r="C263" s="893"/>
      <c r="D263" s="898"/>
      <c r="E263" s="485">
        <v>3</v>
      </c>
      <c r="F263" s="196" t="s">
        <v>2862</v>
      </c>
      <c r="G263" s="382"/>
      <c r="H263" s="492">
        <v>36.4</v>
      </c>
      <c r="I263" s="891"/>
      <c r="J263" s="461">
        <v>64832.298435619734</v>
      </c>
      <c r="K263" s="486">
        <v>480366.8</v>
      </c>
    </row>
    <row r="264" spans="1:11" ht="12.75" customHeight="1" x14ac:dyDescent="0.2">
      <c r="A264" s="384" t="s">
        <v>1366</v>
      </c>
      <c r="B264" s="382" t="s">
        <v>308</v>
      </c>
      <c r="C264" s="893"/>
      <c r="D264" s="898"/>
      <c r="E264" s="485">
        <v>7</v>
      </c>
      <c r="F264" s="196" t="s">
        <v>2860</v>
      </c>
      <c r="G264" s="382"/>
      <c r="H264" s="492">
        <v>38.4</v>
      </c>
      <c r="I264" s="891"/>
      <c r="J264" s="461">
        <v>68394.512635379098</v>
      </c>
      <c r="K264" s="486">
        <v>506760.58</v>
      </c>
    </row>
    <row r="265" spans="1:11" x14ac:dyDescent="0.2">
      <c r="A265" s="384" t="s">
        <v>1367</v>
      </c>
      <c r="B265" s="382" t="s">
        <v>308</v>
      </c>
      <c r="C265" s="893"/>
      <c r="D265" s="898"/>
      <c r="E265" s="485">
        <v>11</v>
      </c>
      <c r="F265" s="196" t="s">
        <v>2863</v>
      </c>
      <c r="G265" s="382"/>
      <c r="H265" s="492">
        <v>38.1</v>
      </c>
      <c r="I265" s="891"/>
      <c r="J265" s="461">
        <v>67860.180505415163</v>
      </c>
      <c r="K265" s="486">
        <v>502801.51</v>
      </c>
    </row>
    <row r="266" spans="1:11" x14ac:dyDescent="0.2">
      <c r="A266" s="384" t="s">
        <v>1368</v>
      </c>
      <c r="B266" s="382" t="s">
        <v>308</v>
      </c>
      <c r="C266" s="893"/>
      <c r="D266" s="898"/>
      <c r="E266" s="485">
        <v>12</v>
      </c>
      <c r="F266" s="196" t="s">
        <v>2858</v>
      </c>
      <c r="G266" s="382"/>
      <c r="H266" s="492">
        <v>35.9</v>
      </c>
      <c r="I266" s="891"/>
      <c r="J266" s="461">
        <v>63941.744885679902</v>
      </c>
      <c r="K266" s="486">
        <v>473768.35</v>
      </c>
    </row>
    <row r="267" spans="1:11" x14ac:dyDescent="0.2">
      <c r="A267" s="384" t="s">
        <v>1369</v>
      </c>
      <c r="B267" s="382" t="s">
        <v>308</v>
      </c>
      <c r="C267" s="893"/>
      <c r="D267" s="898"/>
      <c r="E267" s="485">
        <v>15</v>
      </c>
      <c r="F267" s="196" t="s">
        <v>11573</v>
      </c>
      <c r="G267" s="382"/>
      <c r="H267" s="492">
        <v>38.6</v>
      </c>
      <c r="I267" s="891"/>
      <c r="J267" s="461">
        <v>68750.734055355002</v>
      </c>
      <c r="K267" s="486">
        <v>509399.95</v>
      </c>
    </row>
    <row r="268" spans="1:11" x14ac:dyDescent="0.2">
      <c r="A268" s="384" t="s">
        <v>1370</v>
      </c>
      <c r="B268" s="382" t="s">
        <v>308</v>
      </c>
      <c r="C268" s="893"/>
      <c r="D268" s="898"/>
      <c r="E268" s="485">
        <v>17</v>
      </c>
      <c r="F268" s="196" t="s">
        <v>11574</v>
      </c>
      <c r="G268" s="382"/>
      <c r="H268" s="492">
        <v>17.8</v>
      </c>
      <c r="I268" s="891"/>
      <c r="J268" s="461">
        <v>61626.305655836346</v>
      </c>
      <c r="K268" s="486">
        <v>234904.64</v>
      </c>
    </row>
    <row r="269" spans="1:11" x14ac:dyDescent="0.2">
      <c r="A269" s="384" t="s">
        <v>1372</v>
      </c>
      <c r="B269" s="382" t="s">
        <v>308</v>
      </c>
      <c r="C269" s="893"/>
      <c r="D269" s="898"/>
      <c r="E269" s="485">
        <v>18</v>
      </c>
      <c r="F269" s="196" t="s">
        <v>11575</v>
      </c>
      <c r="G269" s="382"/>
      <c r="H269" s="492">
        <v>32.5</v>
      </c>
      <c r="I269" s="891"/>
      <c r="J269" s="461">
        <v>57885.980746089052</v>
      </c>
      <c r="K269" s="486">
        <v>428898.92</v>
      </c>
    </row>
    <row r="270" spans="1:11" x14ac:dyDescent="0.2">
      <c r="A270" s="384" t="s">
        <v>1373</v>
      </c>
      <c r="B270" s="382" t="s">
        <v>308</v>
      </c>
      <c r="C270" s="893"/>
      <c r="D270" s="898"/>
      <c r="E270" s="485">
        <v>19</v>
      </c>
      <c r="F270" s="196" t="s">
        <v>2859</v>
      </c>
      <c r="G270" s="382"/>
      <c r="H270" s="492">
        <v>17.2</v>
      </c>
      <c r="I270" s="891"/>
      <c r="J270" s="461">
        <v>30635.042117930203</v>
      </c>
      <c r="K270" s="486">
        <v>226986.51</v>
      </c>
    </row>
    <row r="271" spans="1:11" x14ac:dyDescent="0.2">
      <c r="A271" s="384" t="s">
        <v>1374</v>
      </c>
      <c r="B271" s="382" t="s">
        <v>308</v>
      </c>
      <c r="C271" s="893"/>
      <c r="D271" s="898"/>
      <c r="E271" s="485">
        <v>20</v>
      </c>
      <c r="F271" s="196" t="s">
        <v>11576</v>
      </c>
      <c r="G271" s="382"/>
      <c r="H271" s="492">
        <v>17.8</v>
      </c>
      <c r="I271" s="891"/>
      <c r="J271" s="461">
        <v>60379.530685920574</v>
      </c>
      <c r="K271" s="486">
        <v>234904.64</v>
      </c>
    </row>
    <row r="272" spans="1:11" ht="12.75" customHeight="1" x14ac:dyDescent="0.2">
      <c r="A272" s="384" t="s">
        <v>1375</v>
      </c>
      <c r="B272" s="382" t="s">
        <v>308</v>
      </c>
      <c r="C272" s="893"/>
      <c r="D272" s="898"/>
      <c r="E272" s="485">
        <v>22</v>
      </c>
      <c r="F272" s="196" t="s">
        <v>2861</v>
      </c>
      <c r="G272" s="382"/>
      <c r="H272" s="492">
        <v>17.5</v>
      </c>
      <c r="I272" s="891"/>
      <c r="J272" s="461">
        <v>31169.374247894106</v>
      </c>
      <c r="K272" s="486">
        <v>230945.57</v>
      </c>
    </row>
    <row r="273" spans="1:11" x14ac:dyDescent="0.2">
      <c r="A273" s="383" t="s">
        <v>697</v>
      </c>
      <c r="B273" s="382"/>
      <c r="C273" s="893" t="s">
        <v>12814</v>
      </c>
      <c r="D273" s="898">
        <v>9</v>
      </c>
      <c r="E273" s="485"/>
      <c r="F273" s="196"/>
      <c r="G273" s="382"/>
      <c r="H273" s="492">
        <f>75-75</f>
        <v>0</v>
      </c>
      <c r="I273" s="891">
        <v>1962</v>
      </c>
      <c r="J273" s="461">
        <f>89216-89216</f>
        <v>0</v>
      </c>
      <c r="K273" s="486"/>
    </row>
    <row r="274" spans="1:11" x14ac:dyDescent="0.2">
      <c r="A274" s="384" t="s">
        <v>698</v>
      </c>
      <c r="B274" s="382" t="s">
        <v>308</v>
      </c>
      <c r="C274" s="893"/>
      <c r="D274" s="898"/>
      <c r="E274" s="485">
        <v>1</v>
      </c>
      <c r="F274" s="196" t="s">
        <v>215</v>
      </c>
      <c r="G274" s="382" t="s">
        <v>143</v>
      </c>
      <c r="H274" s="492">
        <v>38.6</v>
      </c>
      <c r="I274" s="891"/>
      <c r="J274" s="461">
        <v>45908.266666666663</v>
      </c>
      <c r="K274" s="486">
        <v>426944.18</v>
      </c>
    </row>
    <row r="275" spans="1:11" ht="12.75" customHeight="1" x14ac:dyDescent="0.2">
      <c r="A275" s="384" t="s">
        <v>1376</v>
      </c>
      <c r="B275" s="382" t="s">
        <v>308</v>
      </c>
      <c r="C275" s="893"/>
      <c r="D275" s="898"/>
      <c r="E275" s="485">
        <v>2</v>
      </c>
      <c r="F275" s="196" t="s">
        <v>11577</v>
      </c>
      <c r="G275" s="382" t="s">
        <v>143</v>
      </c>
      <c r="H275" s="492">
        <v>36.299999999999997</v>
      </c>
      <c r="I275" s="891"/>
      <c r="J275" s="461">
        <v>43172.799999999996</v>
      </c>
      <c r="K275" s="486">
        <v>401504.5</v>
      </c>
    </row>
    <row r="276" spans="1:11" ht="25.5" x14ac:dyDescent="0.2">
      <c r="A276" s="383" t="s">
        <v>699</v>
      </c>
      <c r="B276" s="382"/>
      <c r="C276" s="877" t="s">
        <v>12815</v>
      </c>
      <c r="D276" s="880">
        <v>10</v>
      </c>
      <c r="E276" s="485"/>
      <c r="F276" s="196" t="s">
        <v>2864</v>
      </c>
      <c r="G276" s="382" t="s">
        <v>2865</v>
      </c>
      <c r="H276" s="492">
        <f>757-757</f>
        <v>0</v>
      </c>
      <c r="I276" s="883">
        <v>1962</v>
      </c>
      <c r="J276" s="461">
        <f>1116184-1116184</f>
        <v>0</v>
      </c>
      <c r="K276" s="486"/>
    </row>
    <row r="277" spans="1:11" x14ac:dyDescent="0.2">
      <c r="A277" s="384" t="s">
        <v>700</v>
      </c>
      <c r="B277" s="382" t="s">
        <v>308</v>
      </c>
      <c r="C277" s="878"/>
      <c r="D277" s="881"/>
      <c r="E277" s="485">
        <v>1</v>
      </c>
      <c r="F277" s="196" t="s">
        <v>2866</v>
      </c>
      <c r="G277" s="382"/>
      <c r="H277" s="492">
        <v>29.6</v>
      </c>
      <c r="I277" s="884"/>
      <c r="J277" s="461">
        <v>43645.336856010566</v>
      </c>
      <c r="K277" s="486">
        <v>390627.94</v>
      </c>
    </row>
    <row r="278" spans="1:11" ht="27.75" customHeight="1" x14ac:dyDescent="0.2">
      <c r="A278" s="384" t="s">
        <v>701</v>
      </c>
      <c r="B278" s="382" t="s">
        <v>308</v>
      </c>
      <c r="C278" s="878"/>
      <c r="D278" s="881"/>
      <c r="E278" s="485">
        <v>2</v>
      </c>
      <c r="F278" s="196" t="s">
        <v>2867</v>
      </c>
      <c r="G278" s="382"/>
      <c r="H278" s="492">
        <v>36.299999999999997</v>
      </c>
      <c r="I278" s="884"/>
      <c r="J278" s="461">
        <v>53524.517833553495</v>
      </c>
      <c r="K278" s="486">
        <v>479047.11</v>
      </c>
    </row>
    <row r="279" spans="1:11" x14ac:dyDescent="0.2">
      <c r="A279" s="384" t="s">
        <v>1377</v>
      </c>
      <c r="B279" s="382" t="s">
        <v>308</v>
      </c>
      <c r="C279" s="878"/>
      <c r="D279" s="881"/>
      <c r="E279" s="485">
        <v>5</v>
      </c>
      <c r="F279" s="196" t="s">
        <v>2872</v>
      </c>
      <c r="G279" s="382"/>
      <c r="H279" s="492">
        <v>30.6</v>
      </c>
      <c r="I279" s="884"/>
      <c r="J279" s="461">
        <v>45119.841479524439</v>
      </c>
      <c r="K279" s="486">
        <v>403824.83</v>
      </c>
    </row>
    <row r="280" spans="1:11" x14ac:dyDescent="0.2">
      <c r="A280" s="384" t="s">
        <v>1378</v>
      </c>
      <c r="B280" s="382" t="s">
        <v>308</v>
      </c>
      <c r="C280" s="878"/>
      <c r="D280" s="881"/>
      <c r="E280" s="485">
        <v>6</v>
      </c>
      <c r="F280" s="196" t="s">
        <v>2873</v>
      </c>
      <c r="G280" s="382"/>
      <c r="H280" s="492">
        <v>36.9</v>
      </c>
      <c r="I280" s="884"/>
      <c r="J280" s="461">
        <v>54409.220607661817</v>
      </c>
      <c r="K280" s="486">
        <v>486965.24</v>
      </c>
    </row>
    <row r="281" spans="1:11" x14ac:dyDescent="0.2">
      <c r="A281" s="384" t="s">
        <v>1379</v>
      </c>
      <c r="B281" s="382" t="s">
        <v>308</v>
      </c>
      <c r="C281" s="878"/>
      <c r="D281" s="881"/>
      <c r="E281" s="485">
        <v>8</v>
      </c>
      <c r="F281" s="196" t="s">
        <v>2868</v>
      </c>
      <c r="G281" s="382"/>
      <c r="H281" s="492">
        <v>33</v>
      </c>
      <c r="I281" s="884"/>
      <c r="J281" s="461">
        <v>48658.652575957727</v>
      </c>
      <c r="K281" s="486">
        <v>435497.37</v>
      </c>
    </row>
    <row r="282" spans="1:11" x14ac:dyDescent="0.2">
      <c r="A282" s="384" t="s">
        <v>1380</v>
      </c>
      <c r="B282" s="382" t="s">
        <v>308</v>
      </c>
      <c r="C282" s="878"/>
      <c r="D282" s="881"/>
      <c r="E282" s="485">
        <v>10</v>
      </c>
      <c r="F282" s="196" t="s">
        <v>2869</v>
      </c>
      <c r="G282" s="382"/>
      <c r="H282" s="492">
        <v>34.299999999999997</v>
      </c>
      <c r="I282" s="884"/>
      <c r="J282" s="461">
        <v>50575.50858652575</v>
      </c>
      <c r="K282" s="486">
        <v>452653.33</v>
      </c>
    </row>
    <row r="283" spans="1:11" x14ac:dyDescent="0.2">
      <c r="A283" s="384" t="s">
        <v>1381</v>
      </c>
      <c r="B283" s="382" t="s">
        <v>308</v>
      </c>
      <c r="C283" s="878"/>
      <c r="D283" s="881"/>
      <c r="E283" s="485">
        <v>11</v>
      </c>
      <c r="F283" s="196" t="s">
        <v>2870</v>
      </c>
      <c r="G283" s="382"/>
      <c r="H283" s="492">
        <v>34.5</v>
      </c>
      <c r="I283" s="884"/>
      <c r="J283" s="461">
        <v>50870.409511228529</v>
      </c>
      <c r="K283" s="486">
        <v>455292.7</v>
      </c>
    </row>
    <row r="284" spans="1:11" x14ac:dyDescent="0.2">
      <c r="A284" s="384" t="s">
        <v>1382</v>
      </c>
      <c r="B284" s="382" t="s">
        <v>308</v>
      </c>
      <c r="C284" s="878"/>
      <c r="D284" s="881"/>
      <c r="E284" s="485">
        <v>12</v>
      </c>
      <c r="F284" s="196" t="s">
        <v>11578</v>
      </c>
      <c r="G284" s="382"/>
      <c r="H284" s="492">
        <v>33.6</v>
      </c>
      <c r="I284" s="884"/>
      <c r="J284" s="461">
        <v>49543.355350066049</v>
      </c>
      <c r="K284" s="486">
        <v>443415.5</v>
      </c>
    </row>
    <row r="285" spans="1:11" x14ac:dyDescent="0.2">
      <c r="A285" s="384" t="s">
        <v>1383</v>
      </c>
      <c r="B285" s="382" t="s">
        <v>308</v>
      </c>
      <c r="C285" s="878"/>
      <c r="D285" s="881"/>
      <c r="E285" s="485">
        <v>13</v>
      </c>
      <c r="F285" s="196" t="s">
        <v>2871</v>
      </c>
      <c r="G285" s="382"/>
      <c r="H285" s="492">
        <v>31.6</v>
      </c>
      <c r="I285" s="884"/>
      <c r="J285" s="461">
        <v>49985.706737120207</v>
      </c>
      <c r="K285" s="486">
        <v>417021.72</v>
      </c>
    </row>
    <row r="286" spans="1:11" x14ac:dyDescent="0.2">
      <c r="A286" s="384" t="s">
        <v>1384</v>
      </c>
      <c r="B286" s="382" t="s">
        <v>308</v>
      </c>
      <c r="C286" s="878"/>
      <c r="D286" s="881"/>
      <c r="E286" s="485">
        <v>15</v>
      </c>
      <c r="F286" s="196" t="s">
        <v>2874</v>
      </c>
      <c r="G286" s="382"/>
      <c r="H286" s="492">
        <v>35.299999999999997</v>
      </c>
      <c r="I286" s="884"/>
      <c r="J286" s="461">
        <v>52050.013210039622</v>
      </c>
      <c r="K286" s="486">
        <v>465850.22</v>
      </c>
    </row>
    <row r="287" spans="1:11" x14ac:dyDescent="0.2">
      <c r="A287" s="384" t="s">
        <v>1385</v>
      </c>
      <c r="B287" s="382" t="s">
        <v>308</v>
      </c>
      <c r="C287" s="878"/>
      <c r="D287" s="881"/>
      <c r="E287" s="485">
        <v>20</v>
      </c>
      <c r="F287" s="196" t="s">
        <v>2875</v>
      </c>
      <c r="G287" s="382"/>
      <c r="H287" s="492">
        <v>14.4</v>
      </c>
      <c r="I287" s="884"/>
      <c r="J287" s="461">
        <v>42908.08454425363</v>
      </c>
      <c r="K287" s="486">
        <v>190035.22</v>
      </c>
    </row>
    <row r="288" spans="1:11" ht="12.75" customHeight="1" x14ac:dyDescent="0.2">
      <c r="A288" s="451" t="s">
        <v>11922</v>
      </c>
      <c r="B288" s="382" t="s">
        <v>308</v>
      </c>
      <c r="C288" s="878"/>
      <c r="D288" s="881"/>
      <c r="E288" s="485">
        <v>18</v>
      </c>
      <c r="F288" s="196" t="s">
        <v>11923</v>
      </c>
      <c r="G288" s="382" t="s">
        <v>143</v>
      </c>
      <c r="H288" s="492">
        <v>28.6</v>
      </c>
      <c r="I288" s="884"/>
      <c r="J288" s="461">
        <f>1116184/757*H288</f>
        <v>42170.227741083232</v>
      </c>
      <c r="K288" s="486">
        <v>377431.05</v>
      </c>
    </row>
    <row r="289" spans="1:11" x14ac:dyDescent="0.2">
      <c r="A289" s="451" t="s">
        <v>11924</v>
      </c>
      <c r="B289" s="382" t="s">
        <v>308</v>
      </c>
      <c r="C289" s="879"/>
      <c r="D289" s="882"/>
      <c r="E289" s="485">
        <v>7</v>
      </c>
      <c r="F289" s="196" t="s">
        <v>11925</v>
      </c>
      <c r="G289" s="382" t="s">
        <v>143</v>
      </c>
      <c r="H289" s="461">
        <v>35.5</v>
      </c>
      <c r="I289" s="885"/>
      <c r="J289" s="461">
        <v>11614</v>
      </c>
      <c r="K289" s="486">
        <v>468489.59</v>
      </c>
    </row>
    <row r="290" spans="1:11" ht="25.5" x14ac:dyDescent="0.2">
      <c r="A290" s="383" t="s">
        <v>702</v>
      </c>
      <c r="B290" s="382" t="s">
        <v>308</v>
      </c>
      <c r="C290" s="617" t="s">
        <v>12816</v>
      </c>
      <c r="D290" s="619">
        <v>11</v>
      </c>
      <c r="E290" s="485">
        <v>2</v>
      </c>
      <c r="F290" s="196" t="s">
        <v>216</v>
      </c>
      <c r="G290" s="382" t="s">
        <v>143</v>
      </c>
      <c r="H290" s="492">
        <f>87-48.7</f>
        <v>38.299999999999997</v>
      </c>
      <c r="I290" s="618">
        <v>1962</v>
      </c>
      <c r="J290" s="461">
        <f>95448/87*38.3</f>
        <v>42019.062068965512</v>
      </c>
      <c r="K290" s="486">
        <v>423625.96</v>
      </c>
    </row>
    <row r="291" spans="1:11" ht="12.75" customHeight="1" x14ac:dyDescent="0.2">
      <c r="A291" s="383" t="s">
        <v>703</v>
      </c>
      <c r="B291" s="382"/>
      <c r="C291" s="893" t="s">
        <v>12817</v>
      </c>
      <c r="D291" s="898">
        <v>13</v>
      </c>
      <c r="E291" s="485"/>
      <c r="F291" s="196"/>
      <c r="G291" s="382"/>
      <c r="H291" s="492">
        <f>75-75</f>
        <v>0</v>
      </c>
      <c r="I291" s="891">
        <v>1962</v>
      </c>
      <c r="J291" s="461">
        <f>92004-92004</f>
        <v>0</v>
      </c>
      <c r="K291" s="486"/>
    </row>
    <row r="292" spans="1:11" x14ac:dyDescent="0.2">
      <c r="A292" s="384" t="s">
        <v>1386</v>
      </c>
      <c r="B292" s="382" t="s">
        <v>308</v>
      </c>
      <c r="C292" s="893"/>
      <c r="D292" s="898"/>
      <c r="E292" s="485">
        <v>1</v>
      </c>
      <c r="F292" s="196" t="s">
        <v>214</v>
      </c>
      <c r="G292" s="382" t="s">
        <v>143</v>
      </c>
      <c r="H292" s="492">
        <v>36.700000000000003</v>
      </c>
      <c r="I292" s="891"/>
      <c r="J292" s="461">
        <v>45018.666666666672</v>
      </c>
      <c r="K292" s="486">
        <v>405928.79</v>
      </c>
    </row>
    <row r="293" spans="1:11" ht="24.75" customHeight="1" x14ac:dyDescent="0.2">
      <c r="A293" s="383" t="s">
        <v>704</v>
      </c>
      <c r="B293" s="382" t="s">
        <v>11567</v>
      </c>
      <c r="C293" s="617" t="s">
        <v>12818</v>
      </c>
      <c r="D293" s="619">
        <v>15</v>
      </c>
      <c r="E293" s="485">
        <v>1</v>
      </c>
      <c r="F293" s="196" t="s">
        <v>12819</v>
      </c>
      <c r="G293" s="382"/>
      <c r="H293" s="492">
        <v>75.3</v>
      </c>
      <c r="I293" s="618">
        <v>1962</v>
      </c>
      <c r="J293" s="461">
        <v>91700</v>
      </c>
      <c r="K293" s="486">
        <v>780348.21</v>
      </c>
    </row>
    <row r="294" spans="1:11" ht="12.75" customHeight="1" x14ac:dyDescent="0.2">
      <c r="A294" s="383" t="s">
        <v>705</v>
      </c>
      <c r="B294" s="382"/>
      <c r="C294" s="893" t="s">
        <v>12820</v>
      </c>
      <c r="D294" s="898">
        <v>17</v>
      </c>
      <c r="E294" s="485"/>
      <c r="F294" s="196"/>
      <c r="G294" s="382"/>
      <c r="H294" s="492">
        <f>84-84</f>
        <v>0</v>
      </c>
      <c r="I294" s="891">
        <v>1962</v>
      </c>
      <c r="J294" s="461">
        <f>92004-92004</f>
        <v>0</v>
      </c>
      <c r="K294" s="486"/>
    </row>
    <row r="295" spans="1:11" ht="23.25" customHeight="1" x14ac:dyDescent="0.2">
      <c r="A295" s="384" t="s">
        <v>1387</v>
      </c>
      <c r="B295" s="382" t="s">
        <v>308</v>
      </c>
      <c r="C295" s="893"/>
      <c r="D295" s="898"/>
      <c r="E295" s="485">
        <v>1</v>
      </c>
      <c r="F295" s="196" t="s">
        <v>212</v>
      </c>
      <c r="G295" s="382" t="s">
        <v>143</v>
      </c>
      <c r="H295" s="492">
        <v>38.299999999999997</v>
      </c>
      <c r="I295" s="891"/>
      <c r="J295" s="461">
        <v>41947.619047619046</v>
      </c>
      <c r="K295" s="486">
        <v>423625.96</v>
      </c>
    </row>
    <row r="296" spans="1:11" ht="12.75" customHeight="1" x14ac:dyDescent="0.2">
      <c r="A296" s="384" t="s">
        <v>1388</v>
      </c>
      <c r="B296" s="382" t="s">
        <v>308</v>
      </c>
      <c r="C296" s="893"/>
      <c r="D296" s="898"/>
      <c r="E296" s="485">
        <v>2</v>
      </c>
      <c r="F296" s="196" t="s">
        <v>213</v>
      </c>
      <c r="G296" s="382" t="s">
        <v>143</v>
      </c>
      <c r="H296" s="492">
        <v>46.1</v>
      </c>
      <c r="I296" s="891"/>
      <c r="J296" s="461">
        <v>50490.476190476191</v>
      </c>
      <c r="K296" s="486">
        <v>495663.97</v>
      </c>
    </row>
    <row r="297" spans="1:11" x14ac:dyDescent="0.2">
      <c r="A297" s="383" t="s">
        <v>706</v>
      </c>
      <c r="B297" s="382"/>
      <c r="C297" s="893" t="s">
        <v>12821</v>
      </c>
      <c r="D297" s="898">
        <v>15</v>
      </c>
      <c r="E297" s="485"/>
      <c r="F297" s="196"/>
      <c r="G297" s="382"/>
      <c r="H297" s="492">
        <f>394-394</f>
        <v>0</v>
      </c>
      <c r="I297" s="891">
        <v>1982</v>
      </c>
      <c r="J297" s="461">
        <f>265680-265680</f>
        <v>0</v>
      </c>
      <c r="K297" s="486"/>
    </row>
    <row r="298" spans="1:11" x14ac:dyDescent="0.2">
      <c r="A298" s="384" t="s">
        <v>707</v>
      </c>
      <c r="B298" s="382" t="s">
        <v>308</v>
      </c>
      <c r="C298" s="893"/>
      <c r="D298" s="898"/>
      <c r="E298" s="485">
        <v>1</v>
      </c>
      <c r="F298" s="196" t="s">
        <v>218</v>
      </c>
      <c r="G298" s="382"/>
      <c r="H298" s="492">
        <v>17.7</v>
      </c>
      <c r="I298" s="891"/>
      <c r="J298" s="461">
        <v>11936.269035532996</v>
      </c>
      <c r="K298" s="486">
        <v>250720.85</v>
      </c>
    </row>
    <row r="299" spans="1:11" ht="12.75" customHeight="1" x14ac:dyDescent="0.2">
      <c r="A299" s="384" t="s">
        <v>708</v>
      </c>
      <c r="B299" s="382" t="s">
        <v>308</v>
      </c>
      <c r="C299" s="893"/>
      <c r="D299" s="898"/>
      <c r="E299" s="485">
        <v>2</v>
      </c>
      <c r="F299" s="196" t="s">
        <v>11579</v>
      </c>
      <c r="G299" s="382"/>
      <c r="H299" s="492">
        <v>16.399999999999999</v>
      </c>
      <c r="I299" s="891"/>
      <c r="J299" s="461">
        <v>11059.593908629442</v>
      </c>
      <c r="K299" s="486">
        <v>232306.33</v>
      </c>
    </row>
    <row r="300" spans="1:11" x14ac:dyDescent="0.2">
      <c r="A300" s="384" t="s">
        <v>1389</v>
      </c>
      <c r="B300" s="382" t="s">
        <v>308</v>
      </c>
      <c r="C300" s="893"/>
      <c r="D300" s="898"/>
      <c r="E300" s="485">
        <v>3</v>
      </c>
      <c r="F300" s="196" t="s">
        <v>11580</v>
      </c>
      <c r="G300" s="382"/>
      <c r="H300" s="492">
        <v>21.4</v>
      </c>
      <c r="I300" s="891"/>
      <c r="J300" s="461">
        <v>14431.421319796955</v>
      </c>
      <c r="K300" s="486">
        <v>303131.43</v>
      </c>
    </row>
    <row r="301" spans="1:11" x14ac:dyDescent="0.2">
      <c r="A301" s="384" t="s">
        <v>1390</v>
      </c>
      <c r="B301" s="382" t="s">
        <v>308</v>
      </c>
      <c r="C301" s="893"/>
      <c r="D301" s="898"/>
      <c r="E301" s="485">
        <v>4</v>
      </c>
      <c r="F301" s="196" t="s">
        <v>219</v>
      </c>
      <c r="G301" s="382"/>
      <c r="H301" s="492">
        <v>43</v>
      </c>
      <c r="I301" s="891"/>
      <c r="J301" s="461">
        <v>28997.715736040609</v>
      </c>
      <c r="K301" s="486">
        <v>592091.07999999996</v>
      </c>
    </row>
    <row r="302" spans="1:11" x14ac:dyDescent="0.2">
      <c r="A302" s="384" t="s">
        <v>1391</v>
      </c>
      <c r="B302" s="382" t="s">
        <v>308</v>
      </c>
      <c r="C302" s="893"/>
      <c r="D302" s="898"/>
      <c r="E302" s="485">
        <v>5</v>
      </c>
      <c r="F302" s="196" t="s">
        <v>11581</v>
      </c>
      <c r="G302" s="499"/>
      <c r="H302" s="492">
        <v>18.2</v>
      </c>
      <c r="I302" s="891"/>
      <c r="J302" s="461">
        <v>12273.451776649747</v>
      </c>
      <c r="K302" s="486">
        <v>257803.36</v>
      </c>
    </row>
    <row r="303" spans="1:11" x14ac:dyDescent="0.2">
      <c r="A303" s="384" t="s">
        <v>1392</v>
      </c>
      <c r="B303" s="382" t="s">
        <v>308</v>
      </c>
      <c r="C303" s="893"/>
      <c r="D303" s="898"/>
      <c r="E303" s="485">
        <v>6</v>
      </c>
      <c r="F303" s="196" t="s">
        <v>11582</v>
      </c>
      <c r="G303" s="382"/>
      <c r="H303" s="492">
        <v>18.399999999999999</v>
      </c>
      <c r="I303" s="891"/>
      <c r="J303" s="461">
        <v>12408.324873096446</v>
      </c>
      <c r="K303" s="486">
        <v>260636.37</v>
      </c>
    </row>
    <row r="304" spans="1:11" x14ac:dyDescent="0.2">
      <c r="A304" s="384" t="s">
        <v>1393</v>
      </c>
      <c r="B304" s="382" t="s">
        <v>308</v>
      </c>
      <c r="C304" s="893"/>
      <c r="D304" s="898"/>
      <c r="E304" s="485">
        <v>7</v>
      </c>
      <c r="F304" s="196" t="s">
        <v>11583</v>
      </c>
      <c r="G304" s="382"/>
      <c r="H304" s="492">
        <v>23</v>
      </c>
      <c r="I304" s="891"/>
      <c r="J304" s="461">
        <v>15510.40609137056</v>
      </c>
      <c r="K304" s="486">
        <v>325795.46000000002</v>
      </c>
    </row>
    <row r="305" spans="1:11" x14ac:dyDescent="0.2">
      <c r="A305" s="384" t="s">
        <v>1394</v>
      </c>
      <c r="B305" s="382" t="s">
        <v>308</v>
      </c>
      <c r="C305" s="893"/>
      <c r="D305" s="898"/>
      <c r="E305" s="485">
        <v>8</v>
      </c>
      <c r="F305" s="196" t="s">
        <v>11584</v>
      </c>
      <c r="G305" s="382"/>
      <c r="H305" s="492">
        <v>44.2</v>
      </c>
      <c r="I305" s="891"/>
      <c r="J305" s="461">
        <v>29806.954314720817</v>
      </c>
      <c r="K305" s="486">
        <v>608614.55000000005</v>
      </c>
    </row>
    <row r="306" spans="1:11" x14ac:dyDescent="0.2">
      <c r="A306" s="384" t="s">
        <v>1395</v>
      </c>
      <c r="B306" s="382" t="s">
        <v>308</v>
      </c>
      <c r="C306" s="893"/>
      <c r="D306" s="898"/>
      <c r="E306" s="485">
        <v>9</v>
      </c>
      <c r="F306" s="196" t="s">
        <v>11585</v>
      </c>
      <c r="G306" s="382"/>
      <c r="H306" s="492">
        <v>18.2</v>
      </c>
      <c r="I306" s="891"/>
      <c r="J306" s="461">
        <v>12273.451776649747</v>
      </c>
      <c r="K306" s="486">
        <v>257803.26</v>
      </c>
    </row>
    <row r="307" spans="1:11" x14ac:dyDescent="0.2">
      <c r="A307" s="384" t="s">
        <v>1396</v>
      </c>
      <c r="B307" s="382" t="s">
        <v>308</v>
      </c>
      <c r="C307" s="893"/>
      <c r="D307" s="898"/>
      <c r="E307" s="485">
        <v>10</v>
      </c>
      <c r="F307" s="196" t="s">
        <v>11586</v>
      </c>
      <c r="G307" s="382"/>
      <c r="H307" s="492">
        <v>18.3</v>
      </c>
      <c r="I307" s="891"/>
      <c r="J307" s="461">
        <v>12340.888324873098</v>
      </c>
      <c r="K307" s="486">
        <v>259219.87</v>
      </c>
    </row>
    <row r="308" spans="1:11" ht="12.75" customHeight="1" x14ac:dyDescent="0.2">
      <c r="A308" s="384" t="s">
        <v>1397</v>
      </c>
      <c r="B308" s="382" t="s">
        <v>308</v>
      </c>
      <c r="C308" s="893"/>
      <c r="D308" s="898"/>
      <c r="E308" s="485">
        <v>11</v>
      </c>
      <c r="F308" s="196" t="s">
        <v>220</v>
      </c>
      <c r="G308" s="382"/>
      <c r="H308" s="492">
        <v>21.5</v>
      </c>
      <c r="I308" s="891"/>
      <c r="J308" s="461">
        <v>14498.857868020305</v>
      </c>
      <c r="K308" s="486">
        <v>304547.93</v>
      </c>
    </row>
    <row r="309" spans="1:11" x14ac:dyDescent="0.2">
      <c r="A309" s="384" t="s">
        <v>1398</v>
      </c>
      <c r="B309" s="382" t="s">
        <v>308</v>
      </c>
      <c r="C309" s="893"/>
      <c r="D309" s="898"/>
      <c r="E309" s="485">
        <v>12</v>
      </c>
      <c r="F309" s="196" t="s">
        <v>11587</v>
      </c>
      <c r="G309" s="382"/>
      <c r="H309" s="492">
        <v>26.2</v>
      </c>
      <c r="I309" s="891"/>
      <c r="J309" s="461">
        <v>17668.375634517768</v>
      </c>
      <c r="K309" s="486">
        <v>371123.52</v>
      </c>
    </row>
    <row r="310" spans="1:11" x14ac:dyDescent="0.2">
      <c r="A310" s="384" t="s">
        <v>1399</v>
      </c>
      <c r="B310" s="382" t="s">
        <v>308</v>
      </c>
      <c r="C310" s="893"/>
      <c r="D310" s="898"/>
      <c r="E310" s="485">
        <v>13</v>
      </c>
      <c r="F310" s="196" t="s">
        <v>11588</v>
      </c>
      <c r="G310" s="382"/>
      <c r="H310" s="492">
        <v>18</v>
      </c>
      <c r="I310" s="891"/>
      <c r="J310" s="461">
        <v>12138.578680203047</v>
      </c>
      <c r="K310" s="486">
        <v>254970.36</v>
      </c>
    </row>
    <row r="311" spans="1:11" ht="12.75" customHeight="1" x14ac:dyDescent="0.2">
      <c r="A311" s="383" t="s">
        <v>709</v>
      </c>
      <c r="B311" s="382"/>
      <c r="C311" s="893" t="s">
        <v>12822</v>
      </c>
      <c r="D311" s="898">
        <v>1</v>
      </c>
      <c r="E311" s="485"/>
      <c r="F311" s="196"/>
      <c r="G311" s="382"/>
      <c r="H311" s="492">
        <f>88.3-88.3</f>
        <v>0</v>
      </c>
      <c r="I311" s="891">
        <v>1967</v>
      </c>
      <c r="J311" s="461">
        <f>140200-140200</f>
        <v>0</v>
      </c>
      <c r="K311" s="486"/>
    </row>
    <row r="312" spans="1:11" x14ac:dyDescent="0.2">
      <c r="A312" s="384" t="s">
        <v>710</v>
      </c>
      <c r="B312" s="382" t="s">
        <v>308</v>
      </c>
      <c r="C312" s="893"/>
      <c r="D312" s="898"/>
      <c r="E312" s="485">
        <v>1</v>
      </c>
      <c r="F312" s="196" t="s">
        <v>221</v>
      </c>
      <c r="G312" s="382" t="s">
        <v>143</v>
      </c>
      <c r="H312" s="492">
        <v>48.4</v>
      </c>
      <c r="I312" s="891"/>
      <c r="J312" s="486">
        <v>76848.02</v>
      </c>
      <c r="K312" s="486">
        <v>501578.4</v>
      </c>
    </row>
    <row r="313" spans="1:11" ht="12.75" customHeight="1" x14ac:dyDescent="0.2">
      <c r="A313" s="384" t="s">
        <v>711</v>
      </c>
      <c r="B313" s="382" t="s">
        <v>308</v>
      </c>
      <c r="C313" s="893"/>
      <c r="D313" s="898"/>
      <c r="E313" s="485">
        <v>2</v>
      </c>
      <c r="F313" s="196" t="s">
        <v>222</v>
      </c>
      <c r="G313" s="382" t="s">
        <v>143</v>
      </c>
      <c r="H313" s="492">
        <v>39.9</v>
      </c>
      <c r="I313" s="891"/>
      <c r="J313" s="486">
        <v>63551.98</v>
      </c>
      <c r="K313" s="486">
        <v>413491.28</v>
      </c>
    </row>
    <row r="314" spans="1:11" x14ac:dyDescent="0.2">
      <c r="A314" s="383" t="s">
        <v>712</v>
      </c>
      <c r="B314" s="382"/>
      <c r="C314" s="893" t="s">
        <v>12823</v>
      </c>
      <c r="D314" s="898" t="s">
        <v>407</v>
      </c>
      <c r="E314" s="485"/>
      <c r="F314" s="196"/>
      <c r="G314" s="382"/>
      <c r="H314" s="492">
        <f>776-776</f>
        <v>0</v>
      </c>
      <c r="I314" s="891">
        <v>1971</v>
      </c>
      <c r="J314" s="461">
        <f>2168736-2168736</f>
        <v>0</v>
      </c>
      <c r="K314" s="486"/>
    </row>
    <row r="315" spans="1:11" x14ac:dyDescent="0.2">
      <c r="A315" s="384" t="s">
        <v>1400</v>
      </c>
      <c r="B315" s="382" t="s">
        <v>308</v>
      </c>
      <c r="C315" s="893"/>
      <c r="D315" s="898"/>
      <c r="E315" s="485">
        <v>2</v>
      </c>
      <c r="F315" s="196"/>
      <c r="G315" s="382"/>
      <c r="H315" s="492">
        <v>39.799999999999997</v>
      </c>
      <c r="I315" s="891"/>
      <c r="J315" s="461">
        <v>111229.71649484536</v>
      </c>
      <c r="K315" s="486"/>
    </row>
    <row r="316" spans="1:11" ht="12.75" customHeight="1" x14ac:dyDescent="0.2">
      <c r="A316" s="384" t="s">
        <v>1401</v>
      </c>
      <c r="B316" s="382" t="s">
        <v>308</v>
      </c>
      <c r="C316" s="893"/>
      <c r="D316" s="898"/>
      <c r="E316" s="485">
        <v>4</v>
      </c>
      <c r="F316" s="196"/>
      <c r="G316" s="382"/>
      <c r="H316" s="492">
        <v>40.700000000000003</v>
      </c>
      <c r="I316" s="891"/>
      <c r="J316" s="461">
        <v>113744.9613402062</v>
      </c>
      <c r="K316" s="486"/>
    </row>
    <row r="317" spans="1:11" x14ac:dyDescent="0.2">
      <c r="A317" s="384" t="s">
        <v>1402</v>
      </c>
      <c r="B317" s="382" t="s">
        <v>308</v>
      </c>
      <c r="C317" s="893"/>
      <c r="D317" s="898"/>
      <c r="E317" s="485">
        <v>7</v>
      </c>
      <c r="F317" s="196"/>
      <c r="G317" s="382"/>
      <c r="H317" s="492">
        <v>40.299999999999997</v>
      </c>
      <c r="I317" s="891"/>
      <c r="J317" s="461">
        <v>112627.07474226804</v>
      </c>
      <c r="K317" s="486"/>
    </row>
    <row r="318" spans="1:11" ht="12.75" customHeight="1" x14ac:dyDescent="0.2">
      <c r="A318" s="384" t="s">
        <v>1403</v>
      </c>
      <c r="B318" s="382" t="s">
        <v>308</v>
      </c>
      <c r="C318" s="893"/>
      <c r="D318" s="898"/>
      <c r="E318" s="485">
        <v>14</v>
      </c>
      <c r="F318" s="196" t="s">
        <v>223</v>
      </c>
      <c r="G318" s="382"/>
      <c r="H318" s="492">
        <v>49.1</v>
      </c>
      <c r="I318" s="891"/>
      <c r="J318" s="461">
        <v>137220.57989690723</v>
      </c>
      <c r="K318" s="486">
        <v>616127.91</v>
      </c>
    </row>
    <row r="319" spans="1:11" x14ac:dyDescent="0.2">
      <c r="A319" s="384" t="s">
        <v>1404</v>
      </c>
      <c r="B319" s="382" t="s">
        <v>308</v>
      </c>
      <c r="C319" s="893"/>
      <c r="D319" s="898"/>
      <c r="E319" s="485">
        <v>15</v>
      </c>
      <c r="F319" s="196"/>
      <c r="G319" s="382"/>
      <c r="H319" s="492">
        <v>28.6</v>
      </c>
      <c r="I319" s="891"/>
      <c r="J319" s="461">
        <v>79928.891752577329</v>
      </c>
      <c r="K319" s="486"/>
    </row>
    <row r="320" spans="1:11" x14ac:dyDescent="0.2">
      <c r="A320" s="383" t="s">
        <v>713</v>
      </c>
      <c r="B320" s="382"/>
      <c r="C320" s="893" t="s">
        <v>12824</v>
      </c>
      <c r="D320" s="898">
        <v>7</v>
      </c>
      <c r="E320" s="485"/>
      <c r="F320" s="196"/>
      <c r="G320" s="382"/>
      <c r="H320" s="492">
        <f>145.4-145.4</f>
        <v>0</v>
      </c>
      <c r="I320" s="891">
        <v>1969</v>
      </c>
      <c r="J320" s="461">
        <f>302252-302252</f>
        <v>0</v>
      </c>
      <c r="K320" s="486"/>
    </row>
    <row r="321" spans="1:11" ht="12.75" customHeight="1" x14ac:dyDescent="0.2">
      <c r="A321" s="384" t="s">
        <v>714</v>
      </c>
      <c r="B321" s="382" t="s">
        <v>308</v>
      </c>
      <c r="C321" s="893"/>
      <c r="D321" s="898"/>
      <c r="E321" s="485">
        <v>4</v>
      </c>
      <c r="F321" s="196"/>
      <c r="G321" s="382" t="s">
        <v>143</v>
      </c>
      <c r="H321" s="492">
        <v>27.3</v>
      </c>
      <c r="I321" s="891"/>
      <c r="J321" s="461">
        <v>56759.215955983491</v>
      </c>
      <c r="K321" s="486"/>
    </row>
    <row r="322" spans="1:11" ht="25.5" customHeight="1" x14ac:dyDescent="0.2">
      <c r="A322" s="383" t="s">
        <v>715</v>
      </c>
      <c r="B322" s="382" t="s">
        <v>11567</v>
      </c>
      <c r="C322" s="617" t="s">
        <v>12825</v>
      </c>
      <c r="D322" s="619">
        <v>18</v>
      </c>
      <c r="E322" s="485"/>
      <c r="F322" s="196" t="s">
        <v>191</v>
      </c>
      <c r="G322" s="382" t="s">
        <v>192</v>
      </c>
      <c r="H322" s="492">
        <v>65.599999999999994</v>
      </c>
      <c r="I322" s="618">
        <v>1984</v>
      </c>
      <c r="J322" s="461">
        <v>258500</v>
      </c>
      <c r="K322" s="486">
        <v>727141.23</v>
      </c>
    </row>
    <row r="323" spans="1:11" ht="25.5" x14ac:dyDescent="0.2">
      <c r="A323" s="383" t="s">
        <v>716</v>
      </c>
      <c r="B323" s="382"/>
      <c r="C323" s="893" t="s">
        <v>12826</v>
      </c>
      <c r="D323" s="898">
        <v>1</v>
      </c>
      <c r="E323" s="485"/>
      <c r="F323" s="196" t="s">
        <v>3120</v>
      </c>
      <c r="G323" s="382" t="s">
        <v>3121</v>
      </c>
      <c r="H323" s="492">
        <f>190.7-190.7</f>
        <v>0</v>
      </c>
      <c r="I323" s="891">
        <v>1940</v>
      </c>
      <c r="J323" s="461">
        <f>363900-363900</f>
        <v>0</v>
      </c>
      <c r="K323" s="486">
        <v>1638736.59</v>
      </c>
    </row>
    <row r="324" spans="1:11" x14ac:dyDescent="0.2">
      <c r="A324" s="384" t="s">
        <v>1405</v>
      </c>
      <c r="B324" s="382" t="s">
        <v>308</v>
      </c>
      <c r="C324" s="893"/>
      <c r="D324" s="898"/>
      <c r="E324" s="485">
        <v>1</v>
      </c>
      <c r="F324" s="196" t="s">
        <v>3118</v>
      </c>
      <c r="G324" s="382"/>
      <c r="H324" s="492">
        <v>50.8</v>
      </c>
      <c r="I324" s="891"/>
      <c r="J324" s="461">
        <v>96938.227582590451</v>
      </c>
      <c r="K324" s="486">
        <v>534275.79</v>
      </c>
    </row>
    <row r="325" spans="1:11" ht="27" customHeight="1" x14ac:dyDescent="0.2">
      <c r="A325" s="384" t="s">
        <v>1406</v>
      </c>
      <c r="B325" s="382" t="s">
        <v>308</v>
      </c>
      <c r="C325" s="893"/>
      <c r="D325" s="898"/>
      <c r="E325" s="485">
        <v>2</v>
      </c>
      <c r="F325" s="196" t="s">
        <v>11589</v>
      </c>
      <c r="G325" s="382"/>
      <c r="H325" s="492">
        <v>40.4</v>
      </c>
      <c r="I325" s="891"/>
      <c r="J325" s="461">
        <v>77092.606187729412</v>
      </c>
      <c r="K325" s="486">
        <v>434377.97</v>
      </c>
    </row>
    <row r="326" spans="1:11" x14ac:dyDescent="0.2">
      <c r="A326" s="384" t="s">
        <v>1407</v>
      </c>
      <c r="B326" s="382" t="s">
        <v>308</v>
      </c>
      <c r="C326" s="893"/>
      <c r="D326" s="898"/>
      <c r="E326" s="485">
        <v>3</v>
      </c>
      <c r="F326" s="196" t="s">
        <v>11590</v>
      </c>
      <c r="G326" s="382"/>
      <c r="H326" s="492">
        <v>29</v>
      </c>
      <c r="I326" s="891"/>
      <c r="J326" s="461">
        <v>55338.751966439435</v>
      </c>
      <c r="K326" s="486">
        <v>320761.17</v>
      </c>
    </row>
    <row r="327" spans="1:11" ht="12.75" customHeight="1" x14ac:dyDescent="0.2">
      <c r="A327" s="384" t="s">
        <v>1408</v>
      </c>
      <c r="B327" s="382" t="s">
        <v>308</v>
      </c>
      <c r="C327" s="893"/>
      <c r="D327" s="898"/>
      <c r="E327" s="485">
        <v>4</v>
      </c>
      <c r="F327" s="196" t="s">
        <v>11591</v>
      </c>
      <c r="G327" s="382"/>
      <c r="H327" s="492">
        <v>42.2</v>
      </c>
      <c r="I327" s="891"/>
      <c r="J327" s="461">
        <v>80527.425275301532</v>
      </c>
      <c r="K327" s="486">
        <v>453731.45</v>
      </c>
    </row>
    <row r="328" spans="1:11" x14ac:dyDescent="0.2">
      <c r="A328" s="384" t="s">
        <v>1409</v>
      </c>
      <c r="B328" s="382" t="s">
        <v>308</v>
      </c>
      <c r="C328" s="893"/>
      <c r="D328" s="898"/>
      <c r="E328" s="485">
        <v>5</v>
      </c>
      <c r="F328" s="196" t="s">
        <v>3119</v>
      </c>
      <c r="G328" s="382"/>
      <c r="H328" s="492">
        <v>28.3</v>
      </c>
      <c r="I328" s="891"/>
      <c r="J328" s="461">
        <v>54002.988987939178</v>
      </c>
      <c r="K328" s="486">
        <v>313018.65999999997</v>
      </c>
    </row>
    <row r="329" spans="1:11" x14ac:dyDescent="0.2">
      <c r="A329" s="383" t="s">
        <v>717</v>
      </c>
      <c r="B329" s="382"/>
      <c r="C329" s="893" t="s">
        <v>12827</v>
      </c>
      <c r="D329" s="898">
        <v>3</v>
      </c>
      <c r="E329" s="485"/>
      <c r="F329" s="196"/>
      <c r="G329" s="382"/>
      <c r="H329" s="492">
        <f>130.6-130.6</f>
        <v>0</v>
      </c>
      <c r="I329" s="891">
        <v>1940</v>
      </c>
      <c r="J329" s="461">
        <f>245700-245700</f>
        <v>0</v>
      </c>
      <c r="K329" s="486"/>
    </row>
    <row r="330" spans="1:11" ht="12.75" customHeight="1" x14ac:dyDescent="0.2">
      <c r="A330" s="384" t="s">
        <v>718</v>
      </c>
      <c r="B330" s="382" t="s">
        <v>308</v>
      </c>
      <c r="C330" s="893"/>
      <c r="D330" s="898"/>
      <c r="E330" s="485">
        <v>2</v>
      </c>
      <c r="F330" s="196" t="s">
        <v>394</v>
      </c>
      <c r="G330" s="382"/>
      <c r="H330" s="492">
        <v>33.700000000000003</v>
      </c>
      <c r="I330" s="891"/>
      <c r="J330" s="461">
        <v>63400.382848392044</v>
      </c>
      <c r="K330" s="486">
        <v>372746.6</v>
      </c>
    </row>
    <row r="331" spans="1:11" ht="12.75" customHeight="1" x14ac:dyDescent="0.2">
      <c r="A331" s="384" t="s">
        <v>719</v>
      </c>
      <c r="B331" s="382" t="s">
        <v>308</v>
      </c>
      <c r="C331" s="893"/>
      <c r="D331" s="898"/>
      <c r="E331" s="485">
        <v>4</v>
      </c>
      <c r="F331" s="196" t="s">
        <v>11592</v>
      </c>
      <c r="G331" s="382"/>
      <c r="H331" s="492">
        <v>20.399999999999999</v>
      </c>
      <c r="I331" s="891"/>
      <c r="J331" s="461">
        <v>38378.866768759566</v>
      </c>
      <c r="K331" s="486">
        <v>225638.89</v>
      </c>
    </row>
    <row r="332" spans="1:11" x14ac:dyDescent="0.2">
      <c r="A332" s="384" t="s">
        <v>720</v>
      </c>
      <c r="B332" s="382" t="s">
        <v>308</v>
      </c>
      <c r="C332" s="893"/>
      <c r="D332" s="898"/>
      <c r="E332" s="485">
        <v>5</v>
      </c>
      <c r="F332" s="196" t="s">
        <v>395</v>
      </c>
      <c r="G332" s="382"/>
      <c r="H332" s="492">
        <v>33.799999999999997</v>
      </c>
      <c r="I332" s="891"/>
      <c r="J332" s="461">
        <v>63588.514548238891</v>
      </c>
      <c r="K332" s="486">
        <v>373852.67</v>
      </c>
    </row>
    <row r="333" spans="1:11" x14ac:dyDescent="0.2">
      <c r="A333" s="383" t="s">
        <v>721</v>
      </c>
      <c r="B333" s="382"/>
      <c r="C333" s="893" t="s">
        <v>12828</v>
      </c>
      <c r="D333" s="898">
        <v>5</v>
      </c>
      <c r="E333" s="485"/>
      <c r="F333" s="196" t="s">
        <v>3122</v>
      </c>
      <c r="G333" s="382"/>
      <c r="H333" s="492">
        <f>137.6-137.6</f>
        <v>0</v>
      </c>
      <c r="I333" s="891">
        <v>1940</v>
      </c>
      <c r="J333" s="461">
        <f>120500-120500</f>
        <v>0</v>
      </c>
      <c r="K333" s="486"/>
    </row>
    <row r="334" spans="1:11" x14ac:dyDescent="0.2">
      <c r="A334" s="384" t="s">
        <v>722</v>
      </c>
      <c r="B334" s="382" t="s">
        <v>308</v>
      </c>
      <c r="C334" s="893"/>
      <c r="D334" s="898"/>
      <c r="E334" s="485">
        <v>1</v>
      </c>
      <c r="F334" s="196" t="s">
        <v>11593</v>
      </c>
      <c r="G334" s="382"/>
      <c r="H334" s="492">
        <v>40.799999999999997</v>
      </c>
      <c r="I334" s="891"/>
      <c r="J334" s="461">
        <v>35729.651162790695</v>
      </c>
      <c r="K334" s="486">
        <v>438678.74</v>
      </c>
    </row>
    <row r="335" spans="1:11" ht="12.75" customHeight="1" x14ac:dyDescent="0.2">
      <c r="A335" s="384" t="s">
        <v>723</v>
      </c>
      <c r="B335" s="382" t="s">
        <v>308</v>
      </c>
      <c r="C335" s="893"/>
      <c r="D335" s="898"/>
      <c r="E335" s="485">
        <v>2</v>
      </c>
      <c r="F335" s="196" t="s">
        <v>11594</v>
      </c>
      <c r="G335" s="382"/>
      <c r="H335" s="492">
        <v>28.1</v>
      </c>
      <c r="I335" s="891"/>
      <c r="J335" s="461">
        <v>24607.921511627908</v>
      </c>
      <c r="K335" s="486">
        <v>310806.51</v>
      </c>
    </row>
    <row r="336" spans="1:11" x14ac:dyDescent="0.2">
      <c r="A336" s="384" t="s">
        <v>724</v>
      </c>
      <c r="B336" s="382" t="s">
        <v>308</v>
      </c>
      <c r="C336" s="893"/>
      <c r="D336" s="898"/>
      <c r="E336" s="485">
        <v>3</v>
      </c>
      <c r="F336" s="196" t="s">
        <v>11595</v>
      </c>
      <c r="G336" s="382"/>
      <c r="H336" s="492">
        <v>38.9</v>
      </c>
      <c r="I336" s="891"/>
      <c r="J336" s="461">
        <v>34065.770348837206</v>
      </c>
      <c r="K336" s="486">
        <v>427926.81</v>
      </c>
    </row>
    <row r="337" spans="1:11" ht="25.5" x14ac:dyDescent="0.2">
      <c r="A337" s="383" t="s">
        <v>725</v>
      </c>
      <c r="B337" s="382" t="s">
        <v>308</v>
      </c>
      <c r="C337" s="617" t="s">
        <v>12829</v>
      </c>
      <c r="D337" s="619">
        <v>15</v>
      </c>
      <c r="E337" s="485">
        <v>2</v>
      </c>
      <c r="F337" s="196" t="s">
        <v>3125</v>
      </c>
      <c r="G337" s="382" t="s">
        <v>196</v>
      </c>
      <c r="H337" s="492">
        <f>78.5-39.2</f>
        <v>39.299999999999997</v>
      </c>
      <c r="I337" s="618">
        <v>1951</v>
      </c>
      <c r="J337" s="461">
        <v>315400</v>
      </c>
      <c r="K337" s="486">
        <v>407273.37</v>
      </c>
    </row>
    <row r="338" spans="1:11" ht="25.5" customHeight="1" x14ac:dyDescent="0.2">
      <c r="A338" s="383" t="s">
        <v>726</v>
      </c>
      <c r="B338" s="382" t="s">
        <v>308</v>
      </c>
      <c r="C338" s="617" t="s">
        <v>12830</v>
      </c>
      <c r="D338" s="619">
        <v>17</v>
      </c>
      <c r="E338" s="485">
        <v>1</v>
      </c>
      <c r="F338" s="196" t="s">
        <v>3123</v>
      </c>
      <c r="G338" s="382" t="s">
        <v>196</v>
      </c>
      <c r="H338" s="492">
        <f>123-84</f>
        <v>39</v>
      </c>
      <c r="I338" s="618">
        <v>1967</v>
      </c>
      <c r="J338" s="461">
        <v>208300</v>
      </c>
      <c r="K338" s="486">
        <v>455137.41</v>
      </c>
    </row>
    <row r="339" spans="1:11" ht="25.5" x14ac:dyDescent="0.2">
      <c r="A339" s="383" t="s">
        <v>727</v>
      </c>
      <c r="B339" s="382" t="s">
        <v>308</v>
      </c>
      <c r="C339" s="617" t="s">
        <v>12831</v>
      </c>
      <c r="D339" s="619">
        <v>44</v>
      </c>
      <c r="E339" s="485">
        <v>1</v>
      </c>
      <c r="F339" s="196" t="s">
        <v>3124</v>
      </c>
      <c r="G339" s="382" t="s">
        <v>196</v>
      </c>
      <c r="H339" s="492">
        <f>144-70.3</f>
        <v>73.7</v>
      </c>
      <c r="I339" s="618">
        <v>1990</v>
      </c>
      <c r="J339" s="461">
        <v>965100</v>
      </c>
      <c r="K339" s="486">
        <v>857595.31</v>
      </c>
    </row>
    <row r="340" spans="1:11" x14ac:dyDescent="0.2">
      <c r="A340" s="386" t="s">
        <v>12400</v>
      </c>
      <c r="B340" s="382"/>
      <c r="C340" s="893" t="s">
        <v>12832</v>
      </c>
      <c r="D340" s="880">
        <v>68</v>
      </c>
      <c r="E340" s="485"/>
      <c r="F340" s="196" t="s">
        <v>12401</v>
      </c>
      <c r="G340" s="382" t="s">
        <v>196</v>
      </c>
      <c r="H340" s="461">
        <f>146-146</f>
        <v>0</v>
      </c>
      <c r="I340" s="883">
        <v>1990</v>
      </c>
      <c r="J340" s="461">
        <f>894500-894500</f>
        <v>0</v>
      </c>
      <c r="K340" s="486">
        <f>1166384.9-1166384.9</f>
        <v>0</v>
      </c>
    </row>
    <row r="341" spans="1:11" x14ac:dyDescent="0.2">
      <c r="A341" s="382" t="s">
        <v>12402</v>
      </c>
      <c r="B341" s="382" t="s">
        <v>308</v>
      </c>
      <c r="C341" s="893"/>
      <c r="D341" s="882"/>
      <c r="E341" s="485">
        <v>3</v>
      </c>
      <c r="F341" s="196" t="s">
        <v>12403</v>
      </c>
      <c r="G341" s="382" t="s">
        <v>143</v>
      </c>
      <c r="H341" s="461">
        <v>46.1</v>
      </c>
      <c r="I341" s="885"/>
      <c r="J341" s="461">
        <f t="shared" ref="J341" si="2">894500/146*H341</f>
        <v>282441.43835616438</v>
      </c>
      <c r="K341" s="486">
        <f>477743.06</f>
        <v>477743.06</v>
      </c>
    </row>
    <row r="342" spans="1:11" x14ac:dyDescent="0.2">
      <c r="A342" s="383" t="s">
        <v>728</v>
      </c>
      <c r="B342" s="382"/>
      <c r="C342" s="893" t="s">
        <v>12833</v>
      </c>
      <c r="D342" s="898">
        <v>70</v>
      </c>
      <c r="E342" s="485"/>
      <c r="F342" s="196"/>
      <c r="G342" s="382" t="s">
        <v>196</v>
      </c>
      <c r="H342" s="492">
        <f>149-149</f>
        <v>0</v>
      </c>
      <c r="I342" s="891">
        <v>1991</v>
      </c>
      <c r="J342" s="461">
        <f>876900-876900</f>
        <v>0</v>
      </c>
      <c r="K342" s="486"/>
    </row>
    <row r="343" spans="1:11" x14ac:dyDescent="0.2">
      <c r="A343" s="384" t="s">
        <v>1410</v>
      </c>
      <c r="B343" s="382" t="s">
        <v>308</v>
      </c>
      <c r="C343" s="893"/>
      <c r="D343" s="898"/>
      <c r="E343" s="485">
        <v>2</v>
      </c>
      <c r="F343" s="196"/>
      <c r="G343" s="382" t="s">
        <v>196</v>
      </c>
      <c r="H343" s="492">
        <v>48.7</v>
      </c>
      <c r="I343" s="891"/>
      <c r="J343" s="461">
        <v>286610.93959731545</v>
      </c>
      <c r="K343" s="486"/>
    </row>
    <row r="344" spans="1:11" ht="24" customHeight="1" x14ac:dyDescent="0.2">
      <c r="A344" s="383" t="s">
        <v>729</v>
      </c>
      <c r="B344" s="382" t="s">
        <v>11567</v>
      </c>
      <c r="C344" s="617" t="s">
        <v>12834</v>
      </c>
      <c r="D344" s="619">
        <v>19</v>
      </c>
      <c r="E344" s="485"/>
      <c r="F344" s="196" t="s">
        <v>11596</v>
      </c>
      <c r="G344" s="382"/>
      <c r="H344" s="492">
        <v>42.8</v>
      </c>
      <c r="I344" s="618">
        <v>1955</v>
      </c>
      <c r="J344" s="461">
        <v>91000</v>
      </c>
      <c r="K344" s="486">
        <v>460182.6</v>
      </c>
    </row>
    <row r="345" spans="1:11" x14ac:dyDescent="0.2">
      <c r="A345" s="383" t="s">
        <v>730</v>
      </c>
      <c r="B345" s="382"/>
      <c r="C345" s="877" t="s">
        <v>12835</v>
      </c>
      <c r="D345" s="880">
        <v>6</v>
      </c>
      <c r="E345" s="485"/>
      <c r="F345" s="196"/>
      <c r="G345" s="382"/>
      <c r="H345" s="461">
        <f>79-79</f>
        <v>0</v>
      </c>
      <c r="I345" s="883">
        <v>1952</v>
      </c>
      <c r="J345" s="461">
        <f>140.6*1000-140600</f>
        <v>0</v>
      </c>
      <c r="K345" s="486"/>
    </row>
    <row r="346" spans="1:11" x14ac:dyDescent="0.2">
      <c r="A346" s="384" t="s">
        <v>2731</v>
      </c>
      <c r="B346" s="382" t="s">
        <v>308</v>
      </c>
      <c r="C346" s="878"/>
      <c r="D346" s="881"/>
      <c r="E346" s="485">
        <v>2</v>
      </c>
      <c r="F346" s="196" t="s">
        <v>241</v>
      </c>
      <c r="G346" s="382"/>
      <c r="H346" s="461">
        <f>79-39.2</f>
        <v>39.799999999999997</v>
      </c>
      <c r="I346" s="884"/>
      <c r="J346" s="461">
        <f>140.6*1000/79*H346</f>
        <v>70833.924050632908</v>
      </c>
      <c r="K346" s="486">
        <v>412454.96</v>
      </c>
    </row>
    <row r="347" spans="1:11" ht="25.5" customHeight="1" x14ac:dyDescent="0.2">
      <c r="A347" s="383" t="s">
        <v>731</v>
      </c>
      <c r="B347" s="382" t="s">
        <v>11567</v>
      </c>
      <c r="C347" s="617" t="s">
        <v>12836</v>
      </c>
      <c r="D347" s="619">
        <v>9</v>
      </c>
      <c r="E347" s="485"/>
      <c r="F347" s="196" t="s">
        <v>242</v>
      </c>
      <c r="G347" s="382"/>
      <c r="H347" s="492">
        <v>32.9</v>
      </c>
      <c r="I347" s="618">
        <v>1954</v>
      </c>
      <c r="J347" s="461">
        <v>65100</v>
      </c>
      <c r="K347" s="486">
        <v>325029.63</v>
      </c>
    </row>
    <row r="348" spans="1:11" ht="25.5" x14ac:dyDescent="0.2">
      <c r="A348" s="383" t="s">
        <v>732</v>
      </c>
      <c r="B348" s="382" t="s">
        <v>308</v>
      </c>
      <c r="C348" s="617" t="s">
        <v>12837</v>
      </c>
      <c r="D348" s="619">
        <v>10</v>
      </c>
      <c r="E348" s="485">
        <v>2</v>
      </c>
      <c r="F348" s="196" t="s">
        <v>243</v>
      </c>
      <c r="G348" s="382"/>
      <c r="H348" s="492">
        <v>51.4</v>
      </c>
      <c r="I348" s="618">
        <v>1952</v>
      </c>
      <c r="J348" s="461">
        <v>140500</v>
      </c>
      <c r="K348" s="486">
        <v>532667.97</v>
      </c>
    </row>
    <row r="349" spans="1:11" ht="25.5" x14ac:dyDescent="0.2">
      <c r="A349" s="383" t="s">
        <v>733</v>
      </c>
      <c r="B349" s="382" t="s">
        <v>308</v>
      </c>
      <c r="C349" s="617" t="s">
        <v>12838</v>
      </c>
      <c r="D349" s="619">
        <v>13</v>
      </c>
      <c r="E349" s="485">
        <v>2</v>
      </c>
      <c r="F349" s="196"/>
      <c r="G349" s="382"/>
      <c r="H349" s="492">
        <v>38.200000000000003</v>
      </c>
      <c r="I349" s="618">
        <v>1952</v>
      </c>
      <c r="J349" s="461">
        <f>50800-25300</f>
        <v>25500</v>
      </c>
      <c r="K349" s="486"/>
    </row>
    <row r="350" spans="1:11" ht="23.25" customHeight="1" x14ac:dyDescent="0.2">
      <c r="A350" s="386" t="s">
        <v>734</v>
      </c>
      <c r="B350" s="382"/>
      <c r="C350" s="877" t="s">
        <v>12839</v>
      </c>
      <c r="D350" s="880">
        <v>28</v>
      </c>
      <c r="E350" s="485"/>
      <c r="F350" s="196"/>
      <c r="G350" s="382"/>
      <c r="H350" s="492">
        <f>2145-2145</f>
        <v>0</v>
      </c>
      <c r="I350" s="883">
        <v>1979</v>
      </c>
      <c r="J350" s="461">
        <f>6450400-6450400</f>
        <v>0</v>
      </c>
      <c r="K350" s="486"/>
    </row>
    <row r="351" spans="1:11" x14ac:dyDescent="0.2">
      <c r="A351" s="384" t="s">
        <v>1411</v>
      </c>
      <c r="B351" s="382" t="s">
        <v>308</v>
      </c>
      <c r="C351" s="878"/>
      <c r="D351" s="881"/>
      <c r="E351" s="485">
        <v>12</v>
      </c>
      <c r="F351" s="196"/>
      <c r="G351" s="382"/>
      <c r="H351" s="492">
        <v>43.6</v>
      </c>
      <c r="I351" s="884"/>
      <c r="J351" s="461">
        <v>131113.02564102566</v>
      </c>
      <c r="K351" s="486"/>
    </row>
    <row r="352" spans="1:11" ht="12.75" customHeight="1" x14ac:dyDescent="0.2">
      <c r="A352" s="384" t="s">
        <v>1412</v>
      </c>
      <c r="B352" s="382" t="s">
        <v>308</v>
      </c>
      <c r="C352" s="878"/>
      <c r="D352" s="881"/>
      <c r="E352" s="485">
        <v>14</v>
      </c>
      <c r="F352" s="196"/>
      <c r="G352" s="382"/>
      <c r="H352" s="492">
        <v>60.8</v>
      </c>
      <c r="I352" s="884"/>
      <c r="J352" s="461">
        <v>182836.51282051281</v>
      </c>
      <c r="K352" s="486"/>
    </row>
    <row r="353" spans="1:11" x14ac:dyDescent="0.2">
      <c r="A353" s="384" t="s">
        <v>1413</v>
      </c>
      <c r="B353" s="382" t="s">
        <v>308</v>
      </c>
      <c r="C353" s="878"/>
      <c r="D353" s="881"/>
      <c r="E353" s="485">
        <v>32</v>
      </c>
      <c r="F353" s="196"/>
      <c r="G353" s="382"/>
      <c r="H353" s="492">
        <v>50.7</v>
      </c>
      <c r="I353" s="884"/>
      <c r="J353" s="461">
        <v>152464</v>
      </c>
      <c r="K353" s="486"/>
    </row>
    <row r="354" spans="1:11" x14ac:dyDescent="0.2">
      <c r="A354" s="384" t="s">
        <v>11926</v>
      </c>
      <c r="B354" s="382" t="s">
        <v>308</v>
      </c>
      <c r="C354" s="879"/>
      <c r="D354" s="882"/>
      <c r="E354" s="485">
        <v>25</v>
      </c>
      <c r="F354" s="40" t="s">
        <v>11927</v>
      </c>
      <c r="G354" s="382" t="s">
        <v>543</v>
      </c>
      <c r="H354" s="461">
        <v>27.8</v>
      </c>
      <c r="I354" s="885"/>
      <c r="J354" s="461">
        <v>22644</v>
      </c>
      <c r="K354" s="486">
        <v>495022.65</v>
      </c>
    </row>
    <row r="355" spans="1:11" ht="24" customHeight="1" x14ac:dyDescent="0.2">
      <c r="A355" s="383" t="s">
        <v>735</v>
      </c>
      <c r="B355" s="382" t="s">
        <v>11567</v>
      </c>
      <c r="C355" s="617" t="s">
        <v>12840</v>
      </c>
      <c r="D355" s="619">
        <v>32</v>
      </c>
      <c r="E355" s="485"/>
      <c r="F355" s="196" t="s">
        <v>6784</v>
      </c>
      <c r="G355" s="382"/>
      <c r="H355" s="492">
        <v>32.700000000000003</v>
      </c>
      <c r="I355" s="618">
        <v>1954</v>
      </c>
      <c r="J355" s="461">
        <f>62.5*1000</f>
        <v>62500</v>
      </c>
      <c r="K355" s="486">
        <v>392575.27</v>
      </c>
    </row>
    <row r="356" spans="1:11" x14ac:dyDescent="0.2">
      <c r="A356" s="383" t="s">
        <v>11733</v>
      </c>
      <c r="B356" s="382"/>
      <c r="C356" s="877" t="s">
        <v>12841</v>
      </c>
      <c r="D356" s="880">
        <v>34</v>
      </c>
      <c r="E356" s="485"/>
      <c r="F356" s="196"/>
      <c r="G356" s="382"/>
      <c r="H356" s="492">
        <f>4650-4650</f>
        <v>0</v>
      </c>
      <c r="I356" s="883">
        <v>1989</v>
      </c>
      <c r="J356" s="461">
        <f>16798539-16798539</f>
        <v>0</v>
      </c>
      <c r="K356" s="486"/>
    </row>
    <row r="357" spans="1:11" ht="25.5" customHeight="1" x14ac:dyDescent="0.2">
      <c r="A357" s="384" t="s">
        <v>11734</v>
      </c>
      <c r="B357" s="385" t="s">
        <v>11735</v>
      </c>
      <c r="C357" s="878"/>
      <c r="D357" s="881"/>
      <c r="E357" s="451">
        <v>54</v>
      </c>
      <c r="F357" s="196" t="s">
        <v>11736</v>
      </c>
      <c r="G357" s="382" t="s">
        <v>143</v>
      </c>
      <c r="H357" s="461">
        <v>39.1</v>
      </c>
      <c r="I357" s="884"/>
      <c r="J357" s="462">
        <v>1090881</v>
      </c>
      <c r="K357" s="486">
        <v>782680.25</v>
      </c>
    </row>
    <row r="358" spans="1:11" ht="12.75" customHeight="1" x14ac:dyDescent="0.2">
      <c r="A358" s="384" t="s">
        <v>12398</v>
      </c>
      <c r="B358" s="382" t="s">
        <v>308</v>
      </c>
      <c r="C358" s="879"/>
      <c r="D358" s="882"/>
      <c r="E358" s="451">
        <v>28</v>
      </c>
      <c r="F358" s="196" t="s">
        <v>12399</v>
      </c>
      <c r="G358" s="382" t="s">
        <v>134</v>
      </c>
      <c r="H358" s="461">
        <v>55.7</v>
      </c>
      <c r="I358" s="885"/>
      <c r="J358" s="486">
        <f t="shared" ref="J358" si="3">16798539/4650*H358</f>
        <v>201221.2090967742</v>
      </c>
      <c r="K358" s="486">
        <v>1150446.8400000001</v>
      </c>
    </row>
    <row r="359" spans="1:11" ht="12.75" customHeight="1" x14ac:dyDescent="0.2">
      <c r="A359" s="383" t="s">
        <v>736</v>
      </c>
      <c r="B359" s="382"/>
      <c r="C359" s="893" t="s">
        <v>12842</v>
      </c>
      <c r="D359" s="898">
        <v>36</v>
      </c>
      <c r="E359" s="485"/>
      <c r="F359" s="196"/>
      <c r="G359" s="382"/>
      <c r="H359" s="492">
        <f>678-678</f>
        <v>0</v>
      </c>
      <c r="I359" s="883">
        <v>1988</v>
      </c>
      <c r="J359" s="461">
        <f>1693100-1693100</f>
        <v>0</v>
      </c>
      <c r="K359" s="486"/>
    </row>
    <row r="360" spans="1:11" x14ac:dyDescent="0.2">
      <c r="A360" s="384" t="s">
        <v>737</v>
      </c>
      <c r="B360" s="382" t="s">
        <v>308</v>
      </c>
      <c r="C360" s="893"/>
      <c r="D360" s="898"/>
      <c r="E360" s="451">
        <v>2</v>
      </c>
      <c r="F360" s="196" t="s">
        <v>35</v>
      </c>
      <c r="G360" s="382"/>
      <c r="H360" s="492">
        <v>50.6</v>
      </c>
      <c r="I360" s="884"/>
      <c r="J360" s="461">
        <v>126358.2005899705</v>
      </c>
      <c r="K360" s="486">
        <v>647234.21</v>
      </c>
    </row>
    <row r="361" spans="1:11" ht="12.75" customHeight="1" x14ac:dyDescent="0.2">
      <c r="A361" s="384" t="s">
        <v>738</v>
      </c>
      <c r="B361" s="382" t="s">
        <v>308</v>
      </c>
      <c r="C361" s="893"/>
      <c r="D361" s="898"/>
      <c r="E361" s="501" t="s">
        <v>2857</v>
      </c>
      <c r="F361" s="196"/>
      <c r="G361" s="382"/>
      <c r="H361" s="461">
        <v>23.8</v>
      </c>
      <c r="I361" s="884"/>
      <c r="J361" s="461">
        <v>199026.651917404</v>
      </c>
      <c r="K361" s="486"/>
    </row>
    <row r="362" spans="1:11" x14ac:dyDescent="0.2">
      <c r="A362" s="384" t="s">
        <v>739</v>
      </c>
      <c r="B362" s="382" t="s">
        <v>308</v>
      </c>
      <c r="C362" s="893"/>
      <c r="D362" s="898"/>
      <c r="E362" s="451">
        <v>10</v>
      </c>
      <c r="F362" s="196"/>
      <c r="G362" s="382"/>
      <c r="H362" s="492">
        <v>49.5</v>
      </c>
      <c r="I362" s="884"/>
      <c r="J362" s="461">
        <v>123611.2831858407</v>
      </c>
      <c r="K362" s="486"/>
    </row>
    <row r="363" spans="1:11" ht="25.5" customHeight="1" x14ac:dyDescent="0.2">
      <c r="A363" s="384" t="s">
        <v>740</v>
      </c>
      <c r="B363" s="382" t="s">
        <v>308</v>
      </c>
      <c r="C363" s="893"/>
      <c r="D363" s="898"/>
      <c r="E363" s="451">
        <v>12</v>
      </c>
      <c r="F363" s="196"/>
      <c r="G363" s="382"/>
      <c r="H363" s="492"/>
      <c r="I363" s="884"/>
      <c r="J363" s="461"/>
      <c r="K363" s="486"/>
    </row>
    <row r="364" spans="1:11" ht="12.75" customHeight="1" x14ac:dyDescent="0.2">
      <c r="A364" s="383" t="s">
        <v>741</v>
      </c>
      <c r="B364" s="382"/>
      <c r="C364" s="893" t="s">
        <v>12843</v>
      </c>
      <c r="D364" s="880">
        <v>38</v>
      </c>
      <c r="E364" s="485"/>
      <c r="F364" s="196"/>
      <c r="G364" s="382"/>
      <c r="H364" s="492">
        <f>5822-5822</f>
        <v>0</v>
      </c>
      <c r="I364" s="883">
        <v>1994</v>
      </c>
      <c r="J364" s="461">
        <f>9390300-9390300</f>
        <v>0</v>
      </c>
      <c r="K364" s="486"/>
    </row>
    <row r="365" spans="1:11" x14ac:dyDescent="0.2">
      <c r="A365" s="384" t="s">
        <v>1414</v>
      </c>
      <c r="B365" s="382" t="s">
        <v>308</v>
      </c>
      <c r="C365" s="893"/>
      <c r="D365" s="881"/>
      <c r="E365" s="472" t="s">
        <v>393</v>
      </c>
      <c r="F365" s="196"/>
      <c r="G365" s="382"/>
      <c r="H365" s="492">
        <v>28.85</v>
      </c>
      <c r="I365" s="884"/>
      <c r="J365" s="461">
        <v>46532.14616970114</v>
      </c>
      <c r="K365" s="486"/>
    </row>
    <row r="366" spans="1:11" ht="12.75" customHeight="1" x14ac:dyDescent="0.2">
      <c r="A366" s="384" t="s">
        <v>1415</v>
      </c>
      <c r="B366" s="382" t="s">
        <v>308</v>
      </c>
      <c r="C366" s="893"/>
      <c r="D366" s="881"/>
      <c r="E366" s="485">
        <v>50</v>
      </c>
      <c r="F366" s="196"/>
      <c r="G366" s="382"/>
      <c r="H366" s="492">
        <v>55.1</v>
      </c>
      <c r="I366" s="884"/>
      <c r="J366" s="461">
        <v>88870.754036413608</v>
      </c>
      <c r="K366" s="486"/>
    </row>
    <row r="367" spans="1:11" ht="15.75" customHeight="1" x14ac:dyDescent="0.2">
      <c r="A367" s="384" t="s">
        <v>1416</v>
      </c>
      <c r="B367" s="382" t="s">
        <v>308</v>
      </c>
      <c r="C367" s="893"/>
      <c r="D367" s="881"/>
      <c r="E367" s="485">
        <v>80</v>
      </c>
      <c r="F367" s="196"/>
      <c r="G367" s="382"/>
      <c r="H367" s="492">
        <v>58.1</v>
      </c>
      <c r="I367" s="884"/>
      <c r="J367" s="461">
        <v>93709.452078323608</v>
      </c>
      <c r="K367" s="486"/>
    </row>
    <row r="368" spans="1:11" ht="15.75" customHeight="1" x14ac:dyDescent="0.2">
      <c r="A368" s="384" t="s">
        <v>1417</v>
      </c>
      <c r="B368" s="382" t="s">
        <v>308</v>
      </c>
      <c r="C368" s="893"/>
      <c r="D368" s="881"/>
      <c r="E368" s="485">
        <v>100</v>
      </c>
      <c r="F368" s="243"/>
      <c r="G368" s="502"/>
      <c r="H368" s="492">
        <v>50.8</v>
      </c>
      <c r="I368" s="884"/>
      <c r="J368" s="461">
        <v>81935.286843009279</v>
      </c>
      <c r="K368" s="486"/>
    </row>
    <row r="369" spans="1:11" ht="12.75" customHeight="1" x14ac:dyDescent="0.2">
      <c r="A369" s="384" t="s">
        <v>4267</v>
      </c>
      <c r="B369" s="382" t="s">
        <v>308</v>
      </c>
      <c r="C369" s="893"/>
      <c r="D369" s="881"/>
      <c r="E369" s="485">
        <v>103</v>
      </c>
      <c r="F369" s="243"/>
      <c r="G369" s="502"/>
      <c r="H369" s="492">
        <v>30.1</v>
      </c>
      <c r="I369" s="884"/>
      <c r="J369" s="461">
        <v>48548.270353830303</v>
      </c>
      <c r="K369" s="486"/>
    </row>
    <row r="370" spans="1:11" ht="25.5" x14ac:dyDescent="0.2">
      <c r="A370" s="384" t="s">
        <v>10782</v>
      </c>
      <c r="B370" s="382" t="s">
        <v>10781</v>
      </c>
      <c r="C370" s="893"/>
      <c r="D370" s="881"/>
      <c r="E370" s="485">
        <v>13</v>
      </c>
      <c r="F370" s="243" t="s">
        <v>11597</v>
      </c>
      <c r="G370" s="502"/>
      <c r="H370" s="461">
        <v>31</v>
      </c>
      <c r="I370" s="884"/>
      <c r="J370" s="461"/>
      <c r="K370" s="486">
        <v>671931.82</v>
      </c>
    </row>
    <row r="371" spans="1:11" ht="12.75" customHeight="1" x14ac:dyDescent="0.2">
      <c r="A371" s="383" t="s">
        <v>742</v>
      </c>
      <c r="B371" s="382"/>
      <c r="C371" s="879" t="s">
        <v>12844</v>
      </c>
      <c r="D371" s="898">
        <v>40</v>
      </c>
      <c r="E371" s="485"/>
      <c r="F371" s="196"/>
      <c r="G371" s="382"/>
      <c r="H371" s="492">
        <f>138-138</f>
        <v>0</v>
      </c>
      <c r="I371" s="891">
        <v>1966</v>
      </c>
      <c r="J371" s="461">
        <f>423900-423900</f>
        <v>0</v>
      </c>
      <c r="K371" s="486"/>
    </row>
    <row r="372" spans="1:11" x14ac:dyDescent="0.2">
      <c r="A372" s="384" t="s">
        <v>743</v>
      </c>
      <c r="B372" s="382" t="s">
        <v>308</v>
      </c>
      <c r="C372" s="893"/>
      <c r="D372" s="898"/>
      <c r="E372" s="485">
        <v>1</v>
      </c>
      <c r="F372" s="196" t="s">
        <v>244</v>
      </c>
      <c r="G372" s="382"/>
      <c r="H372" s="492">
        <v>28.8</v>
      </c>
      <c r="I372" s="891"/>
      <c r="J372" s="461">
        <v>88466.086956521744</v>
      </c>
      <c r="K372" s="486">
        <v>298459.87</v>
      </c>
    </row>
    <row r="373" spans="1:11" x14ac:dyDescent="0.2">
      <c r="A373" s="384" t="s">
        <v>744</v>
      </c>
      <c r="B373" s="382" t="s">
        <v>308</v>
      </c>
      <c r="C373" s="893"/>
      <c r="D373" s="898"/>
      <c r="E373" s="485">
        <v>2</v>
      </c>
      <c r="F373" s="196" t="s">
        <v>245</v>
      </c>
      <c r="G373" s="382"/>
      <c r="H373" s="492">
        <v>28.2</v>
      </c>
      <c r="I373" s="891"/>
      <c r="J373" s="461">
        <v>86623.043478260865</v>
      </c>
      <c r="K373" s="486">
        <v>292241.96000000002</v>
      </c>
    </row>
    <row r="374" spans="1:11" ht="24" customHeight="1" x14ac:dyDescent="0.2">
      <c r="A374" s="383" t="s">
        <v>745</v>
      </c>
      <c r="B374" s="382" t="s">
        <v>308</v>
      </c>
      <c r="C374" s="617" t="s">
        <v>12845</v>
      </c>
      <c r="D374" s="619">
        <v>41</v>
      </c>
      <c r="E374" s="485">
        <v>1</v>
      </c>
      <c r="F374" s="196" t="s">
        <v>246</v>
      </c>
      <c r="G374" s="382"/>
      <c r="H374" s="492">
        <v>39.1</v>
      </c>
      <c r="I374" s="618">
        <v>1952</v>
      </c>
      <c r="J374" s="461">
        <v>140200</v>
      </c>
      <c r="K374" s="486">
        <v>405200.73</v>
      </c>
    </row>
    <row r="375" spans="1:11" ht="25.5" x14ac:dyDescent="0.2">
      <c r="A375" s="383" t="s">
        <v>746</v>
      </c>
      <c r="B375" s="382" t="s">
        <v>11567</v>
      </c>
      <c r="C375" s="617" t="s">
        <v>12846</v>
      </c>
      <c r="D375" s="619">
        <v>44</v>
      </c>
      <c r="E375" s="485"/>
      <c r="F375" s="196" t="s">
        <v>6785</v>
      </c>
      <c r="G375" s="382"/>
      <c r="H375" s="492">
        <v>60</v>
      </c>
      <c r="I375" s="618">
        <v>1952</v>
      </c>
      <c r="J375" s="461">
        <v>140200</v>
      </c>
      <c r="K375" s="486">
        <v>621791.4</v>
      </c>
    </row>
    <row r="376" spans="1:11" ht="12.75" customHeight="1" x14ac:dyDescent="0.2">
      <c r="A376" s="383" t="s">
        <v>747</v>
      </c>
      <c r="B376" s="382"/>
      <c r="C376" s="893" t="s">
        <v>12847</v>
      </c>
      <c r="D376" s="898">
        <v>45</v>
      </c>
      <c r="E376" s="485"/>
      <c r="F376" s="196"/>
      <c r="G376" s="382"/>
      <c r="H376" s="492">
        <f>85-85</f>
        <v>0</v>
      </c>
      <c r="I376" s="891">
        <v>1952</v>
      </c>
      <c r="J376" s="461">
        <f>140200-140200</f>
        <v>0</v>
      </c>
      <c r="K376" s="486"/>
    </row>
    <row r="377" spans="1:11" x14ac:dyDescent="0.2">
      <c r="A377" s="384" t="s">
        <v>1418</v>
      </c>
      <c r="B377" s="382" t="s">
        <v>308</v>
      </c>
      <c r="C377" s="893"/>
      <c r="D377" s="898"/>
      <c r="E377" s="485">
        <v>1</v>
      </c>
      <c r="F377" s="196" t="s">
        <v>247</v>
      </c>
      <c r="G377" s="382"/>
      <c r="H377" s="492">
        <v>42.9</v>
      </c>
      <c r="I377" s="891"/>
      <c r="J377" s="461">
        <v>70759.76470588235</v>
      </c>
      <c r="K377" s="486">
        <v>444580.85</v>
      </c>
    </row>
    <row r="378" spans="1:11" ht="27" customHeight="1" x14ac:dyDescent="0.2">
      <c r="A378" s="383" t="s">
        <v>748</v>
      </c>
      <c r="B378" s="382" t="s">
        <v>11567</v>
      </c>
      <c r="C378" s="617" t="s">
        <v>12848</v>
      </c>
      <c r="D378" s="619">
        <v>54</v>
      </c>
      <c r="E378" s="485"/>
      <c r="F378" s="196"/>
      <c r="G378" s="382"/>
      <c r="H378" s="492">
        <v>27</v>
      </c>
      <c r="I378" s="618">
        <v>1954</v>
      </c>
      <c r="J378" s="461">
        <v>56900</v>
      </c>
      <c r="K378" s="486"/>
    </row>
    <row r="379" spans="1:11" ht="25.5" x14ac:dyDescent="0.2">
      <c r="A379" s="383" t="s">
        <v>749</v>
      </c>
      <c r="B379" s="382" t="s">
        <v>11567</v>
      </c>
      <c r="C379" s="617" t="s">
        <v>12849</v>
      </c>
      <c r="D379" s="619">
        <v>58</v>
      </c>
      <c r="E379" s="485"/>
      <c r="F379" s="196"/>
      <c r="G379" s="382"/>
      <c r="H379" s="492">
        <v>31</v>
      </c>
      <c r="I379" s="618">
        <v>1954</v>
      </c>
      <c r="J379" s="461">
        <v>65600</v>
      </c>
      <c r="K379" s="486"/>
    </row>
    <row r="380" spans="1:11" ht="25.5" x14ac:dyDescent="0.2">
      <c r="A380" s="383" t="s">
        <v>750</v>
      </c>
      <c r="B380" s="382" t="s">
        <v>308</v>
      </c>
      <c r="C380" s="617" t="s">
        <v>12850</v>
      </c>
      <c r="D380" s="619">
        <v>64</v>
      </c>
      <c r="E380" s="485">
        <v>1</v>
      </c>
      <c r="F380" s="196" t="s">
        <v>248</v>
      </c>
      <c r="G380" s="382"/>
      <c r="H380" s="492">
        <f>74.8-39</f>
        <v>35.799999999999997</v>
      </c>
      <c r="I380" s="618">
        <v>1952</v>
      </c>
      <c r="J380" s="461">
        <v>140200</v>
      </c>
      <c r="K380" s="486"/>
    </row>
    <row r="381" spans="1:11" ht="25.5" x14ac:dyDescent="0.2">
      <c r="A381" s="383" t="s">
        <v>751</v>
      </c>
      <c r="B381" s="382" t="s">
        <v>11567</v>
      </c>
      <c r="C381" s="617" t="s">
        <v>12851</v>
      </c>
      <c r="D381" s="619">
        <v>66</v>
      </c>
      <c r="E381" s="485"/>
      <c r="F381" s="196" t="s">
        <v>6786</v>
      </c>
      <c r="G381" s="382"/>
      <c r="H381" s="492">
        <v>34.4</v>
      </c>
      <c r="I381" s="618">
        <v>1954</v>
      </c>
      <c r="J381" s="461">
        <v>66100</v>
      </c>
      <c r="K381" s="486">
        <v>412984.38</v>
      </c>
    </row>
    <row r="382" spans="1:11" ht="24" customHeight="1" x14ac:dyDescent="0.2">
      <c r="A382" s="383" t="s">
        <v>752</v>
      </c>
      <c r="B382" s="382"/>
      <c r="C382" s="893" t="s">
        <v>12852</v>
      </c>
      <c r="D382" s="898">
        <v>74</v>
      </c>
      <c r="E382" s="485"/>
      <c r="F382" s="196"/>
      <c r="G382" s="382"/>
      <c r="H382" s="492">
        <f>77-77</f>
        <v>0</v>
      </c>
      <c r="I382" s="891">
        <v>1952</v>
      </c>
      <c r="J382" s="461">
        <f>137400-137400</f>
        <v>0</v>
      </c>
      <c r="K382" s="486"/>
    </row>
    <row r="383" spans="1:11" x14ac:dyDescent="0.2">
      <c r="A383" s="384" t="s">
        <v>1419</v>
      </c>
      <c r="B383" s="382" t="s">
        <v>308</v>
      </c>
      <c r="C383" s="893"/>
      <c r="D383" s="898"/>
      <c r="E383" s="485">
        <v>1</v>
      </c>
      <c r="F383" s="196" t="s">
        <v>11598</v>
      </c>
      <c r="G383" s="382"/>
      <c r="H383" s="492">
        <v>38.200000000000003</v>
      </c>
      <c r="I383" s="891"/>
      <c r="J383" s="461">
        <v>68164.675324675321</v>
      </c>
      <c r="K383" s="486">
        <v>395873.66</v>
      </c>
    </row>
    <row r="384" spans="1:11" x14ac:dyDescent="0.2">
      <c r="A384" s="384" t="s">
        <v>1420</v>
      </c>
      <c r="B384" s="382" t="s">
        <v>308</v>
      </c>
      <c r="C384" s="893"/>
      <c r="D384" s="898"/>
      <c r="E384" s="485">
        <v>2</v>
      </c>
      <c r="F384" s="196" t="s">
        <v>224</v>
      </c>
      <c r="G384" s="382"/>
      <c r="H384" s="492">
        <v>38.4</v>
      </c>
      <c r="I384" s="891"/>
      <c r="J384" s="461">
        <v>68521.558441558431</v>
      </c>
      <c r="K384" s="486">
        <v>397946.5</v>
      </c>
    </row>
    <row r="385" spans="1:11" ht="12.75" customHeight="1" x14ac:dyDescent="0.2">
      <c r="A385" s="383" t="s">
        <v>753</v>
      </c>
      <c r="B385" s="382"/>
      <c r="C385" s="893" t="s">
        <v>12853</v>
      </c>
      <c r="D385" s="898">
        <v>78</v>
      </c>
      <c r="E385" s="485"/>
      <c r="F385" s="196"/>
      <c r="G385" s="382"/>
      <c r="H385" s="492">
        <f>77-77</f>
        <v>0</v>
      </c>
      <c r="I385" s="891">
        <v>1952</v>
      </c>
      <c r="J385" s="461">
        <f>140200-140200</f>
        <v>0</v>
      </c>
      <c r="K385" s="486"/>
    </row>
    <row r="386" spans="1:11" x14ac:dyDescent="0.2">
      <c r="A386" s="384" t="s">
        <v>754</v>
      </c>
      <c r="B386" s="382" t="s">
        <v>308</v>
      </c>
      <c r="C386" s="893"/>
      <c r="D386" s="898"/>
      <c r="E386" s="485">
        <v>2</v>
      </c>
      <c r="F386" s="196" t="s">
        <v>225</v>
      </c>
      <c r="G386" s="382"/>
      <c r="H386" s="492">
        <v>38.4</v>
      </c>
      <c r="I386" s="891"/>
      <c r="J386" s="461">
        <v>69917.922077922078</v>
      </c>
      <c r="K386" s="486">
        <v>397946.5</v>
      </c>
    </row>
    <row r="387" spans="1:11" ht="12.75" customHeight="1" x14ac:dyDescent="0.2">
      <c r="A387" s="383" t="s">
        <v>755</v>
      </c>
      <c r="B387" s="382"/>
      <c r="C387" s="893" t="s">
        <v>12854</v>
      </c>
      <c r="D387" s="898">
        <v>80</v>
      </c>
      <c r="E387" s="485"/>
      <c r="F387" s="196"/>
      <c r="G387" s="382"/>
      <c r="H387" s="492">
        <f>77-77</f>
        <v>0</v>
      </c>
      <c r="I387" s="891">
        <v>1952</v>
      </c>
      <c r="J387" s="461">
        <f>140200-140200</f>
        <v>0</v>
      </c>
      <c r="K387" s="486"/>
    </row>
    <row r="388" spans="1:11" ht="12.75" customHeight="1" x14ac:dyDescent="0.2">
      <c r="A388" s="384" t="s">
        <v>756</v>
      </c>
      <c r="B388" s="382" t="s">
        <v>308</v>
      </c>
      <c r="C388" s="893"/>
      <c r="D388" s="898"/>
      <c r="E388" s="485">
        <v>1</v>
      </c>
      <c r="F388" s="196" t="s">
        <v>226</v>
      </c>
      <c r="G388" s="382"/>
      <c r="H388" s="492">
        <v>38.700000000000003</v>
      </c>
      <c r="I388" s="891"/>
      <c r="J388" s="461">
        <v>70464.155844155903</v>
      </c>
      <c r="K388" s="486">
        <v>401055.45</v>
      </c>
    </row>
    <row r="389" spans="1:11" x14ac:dyDescent="0.2">
      <c r="A389" s="384" t="s">
        <v>757</v>
      </c>
      <c r="B389" s="382" t="s">
        <v>308</v>
      </c>
      <c r="C389" s="893"/>
      <c r="D389" s="898"/>
      <c r="E389" s="485">
        <v>2</v>
      </c>
      <c r="F389" s="196" t="s">
        <v>227</v>
      </c>
      <c r="G389" s="382"/>
      <c r="H389" s="492">
        <v>38.9</v>
      </c>
      <c r="I389" s="891"/>
      <c r="J389" s="461">
        <v>70828.311688311689</v>
      </c>
      <c r="K389" s="486">
        <v>403128.09</v>
      </c>
    </row>
    <row r="390" spans="1:11" ht="12.75" customHeight="1" x14ac:dyDescent="0.2">
      <c r="A390" s="383" t="s">
        <v>758</v>
      </c>
      <c r="B390" s="382"/>
      <c r="C390" s="893" t="s">
        <v>12855</v>
      </c>
      <c r="D390" s="898">
        <v>82</v>
      </c>
      <c r="E390" s="485"/>
      <c r="F390" s="196"/>
      <c r="G390" s="382"/>
      <c r="H390" s="492">
        <f>77-77</f>
        <v>0</v>
      </c>
      <c r="I390" s="891">
        <v>1952</v>
      </c>
      <c r="J390" s="461">
        <f>140200-140200</f>
        <v>0</v>
      </c>
      <c r="K390" s="486"/>
    </row>
    <row r="391" spans="1:11" x14ac:dyDescent="0.2">
      <c r="A391" s="384" t="s">
        <v>759</v>
      </c>
      <c r="B391" s="382" t="s">
        <v>308</v>
      </c>
      <c r="C391" s="893"/>
      <c r="D391" s="898"/>
      <c r="E391" s="485">
        <v>1</v>
      </c>
      <c r="F391" s="196" t="s">
        <v>228</v>
      </c>
      <c r="G391" s="382"/>
      <c r="H391" s="492">
        <v>38.4</v>
      </c>
      <c r="I391" s="891"/>
      <c r="J391" s="461">
        <v>69917.922077922078</v>
      </c>
      <c r="K391" s="486">
        <v>397946.5</v>
      </c>
    </row>
    <row r="392" spans="1:11" x14ac:dyDescent="0.2">
      <c r="A392" s="384" t="s">
        <v>760</v>
      </c>
      <c r="B392" s="382" t="s">
        <v>308</v>
      </c>
      <c r="C392" s="893"/>
      <c r="D392" s="898"/>
      <c r="E392" s="485">
        <v>2</v>
      </c>
      <c r="F392" s="196" t="s">
        <v>229</v>
      </c>
      <c r="G392" s="382"/>
      <c r="H392" s="492">
        <v>38.1</v>
      </c>
      <c r="I392" s="891"/>
      <c r="J392" s="461">
        <v>69371.688311688311</v>
      </c>
      <c r="K392" s="486">
        <v>394837.54</v>
      </c>
    </row>
    <row r="393" spans="1:11" ht="12.75" customHeight="1" x14ac:dyDescent="0.2">
      <c r="A393" s="383" t="s">
        <v>761</v>
      </c>
      <c r="B393" s="382"/>
      <c r="C393" s="893" t="s">
        <v>12856</v>
      </c>
      <c r="D393" s="898">
        <v>88</v>
      </c>
      <c r="E393" s="485"/>
      <c r="F393" s="196"/>
      <c r="G393" s="382"/>
      <c r="H393" s="492">
        <f>79-79</f>
        <v>0</v>
      </c>
      <c r="I393" s="891">
        <v>1952</v>
      </c>
      <c r="J393" s="461">
        <f>140200-140200</f>
        <v>0</v>
      </c>
      <c r="K393" s="486"/>
    </row>
    <row r="394" spans="1:11" x14ac:dyDescent="0.2">
      <c r="A394" s="384" t="s">
        <v>762</v>
      </c>
      <c r="B394" s="382" t="s">
        <v>308</v>
      </c>
      <c r="C394" s="893"/>
      <c r="D394" s="898"/>
      <c r="E394" s="485">
        <v>1</v>
      </c>
      <c r="F394" s="196" t="s">
        <v>11599</v>
      </c>
      <c r="G394" s="382"/>
      <c r="H394" s="492">
        <v>39</v>
      </c>
      <c r="I394" s="891"/>
      <c r="J394" s="461">
        <v>69212.658227848093</v>
      </c>
      <c r="K394" s="486">
        <v>404164.41</v>
      </c>
    </row>
    <row r="395" spans="1:11" x14ac:dyDescent="0.2">
      <c r="A395" s="384" t="s">
        <v>763</v>
      </c>
      <c r="B395" s="382" t="s">
        <v>308</v>
      </c>
      <c r="C395" s="893"/>
      <c r="D395" s="898"/>
      <c r="E395" s="485">
        <v>2</v>
      </c>
      <c r="F395" s="196" t="s">
        <v>230</v>
      </c>
      <c r="G395" s="382"/>
      <c r="H395" s="492">
        <v>39.799999999999997</v>
      </c>
      <c r="I395" s="891"/>
      <c r="J395" s="461">
        <v>70632.405063291124</v>
      </c>
      <c r="K395" s="486">
        <v>412454.96</v>
      </c>
    </row>
    <row r="396" spans="1:11" ht="26.25" customHeight="1" x14ac:dyDescent="0.2">
      <c r="A396" s="383" t="s">
        <v>764</v>
      </c>
      <c r="B396" s="382" t="s">
        <v>308</v>
      </c>
      <c r="C396" s="617" t="s">
        <v>12857</v>
      </c>
      <c r="D396" s="619">
        <v>94</v>
      </c>
      <c r="E396" s="485">
        <v>2</v>
      </c>
      <c r="F396" s="196" t="s">
        <v>231</v>
      </c>
      <c r="G396" s="382"/>
      <c r="H396" s="492">
        <v>37.799999999999997</v>
      </c>
      <c r="I396" s="618">
        <v>1952</v>
      </c>
      <c r="J396" s="461">
        <v>140200</v>
      </c>
      <c r="K396" s="486">
        <v>391728.58</v>
      </c>
    </row>
    <row r="397" spans="1:11" ht="25.5" x14ac:dyDescent="0.2">
      <c r="A397" s="383" t="s">
        <v>765</v>
      </c>
      <c r="B397" s="382" t="s">
        <v>308</v>
      </c>
      <c r="C397" s="617" t="s">
        <v>12858</v>
      </c>
      <c r="D397" s="619">
        <v>98</v>
      </c>
      <c r="E397" s="485">
        <v>1</v>
      </c>
      <c r="F397" s="196" t="s">
        <v>249</v>
      </c>
      <c r="G397" s="382"/>
      <c r="H397" s="492">
        <v>38.700000000000003</v>
      </c>
      <c r="I397" s="618">
        <v>1952</v>
      </c>
      <c r="J397" s="461">
        <v>140200</v>
      </c>
      <c r="K397" s="486">
        <v>401055.45</v>
      </c>
    </row>
    <row r="398" spans="1:11" ht="25.5" x14ac:dyDescent="0.2">
      <c r="A398" s="383" t="s">
        <v>766</v>
      </c>
      <c r="B398" s="382" t="s">
        <v>308</v>
      </c>
      <c r="C398" s="617" t="s">
        <v>12859</v>
      </c>
      <c r="D398" s="619">
        <v>102</v>
      </c>
      <c r="E398" s="485">
        <v>2</v>
      </c>
      <c r="F398" s="196"/>
      <c r="G398" s="382"/>
      <c r="H398" s="492">
        <v>39.4</v>
      </c>
      <c r="I398" s="618">
        <v>1952</v>
      </c>
      <c r="J398" s="461">
        <v>140200</v>
      </c>
      <c r="K398" s="486"/>
    </row>
    <row r="399" spans="1:11" ht="25.5" x14ac:dyDescent="0.2">
      <c r="A399" s="383" t="s">
        <v>767</v>
      </c>
      <c r="B399" s="382" t="s">
        <v>308</v>
      </c>
      <c r="C399" s="617" t="s">
        <v>12860</v>
      </c>
      <c r="D399" s="619">
        <v>135</v>
      </c>
      <c r="E399" s="485">
        <v>2</v>
      </c>
      <c r="F399" s="196" t="s">
        <v>250</v>
      </c>
      <c r="G399" s="382"/>
      <c r="H399" s="492">
        <v>40.1</v>
      </c>
      <c r="I399" s="618">
        <v>1954</v>
      </c>
      <c r="J399" s="461">
        <v>107100</v>
      </c>
      <c r="K399" s="486">
        <v>415563.92</v>
      </c>
    </row>
    <row r="400" spans="1:11" ht="25.5" x14ac:dyDescent="0.2">
      <c r="A400" s="383" t="s">
        <v>768</v>
      </c>
      <c r="B400" s="382" t="s">
        <v>308</v>
      </c>
      <c r="C400" s="617" t="s">
        <v>12861</v>
      </c>
      <c r="D400" s="619">
        <v>141</v>
      </c>
      <c r="E400" s="485">
        <v>2</v>
      </c>
      <c r="F400" s="196" t="s">
        <v>11600</v>
      </c>
      <c r="G400" s="499"/>
      <c r="H400" s="492">
        <v>37.1</v>
      </c>
      <c r="I400" s="618">
        <v>1954</v>
      </c>
      <c r="J400" s="461">
        <v>111200</v>
      </c>
      <c r="K400" s="486">
        <v>384474.35</v>
      </c>
    </row>
    <row r="401" spans="1:11" ht="25.5" x14ac:dyDescent="0.2">
      <c r="A401" s="383" t="s">
        <v>769</v>
      </c>
      <c r="B401" s="382" t="s">
        <v>308</v>
      </c>
      <c r="C401" s="617" t="s">
        <v>12862</v>
      </c>
      <c r="D401" s="619">
        <v>143</v>
      </c>
      <c r="E401" s="485">
        <v>3</v>
      </c>
      <c r="F401" s="196" t="s">
        <v>253</v>
      </c>
      <c r="G401" s="382"/>
      <c r="H401" s="492">
        <v>61.4</v>
      </c>
      <c r="I401" s="618">
        <v>1973</v>
      </c>
      <c r="J401" s="461">
        <v>384400</v>
      </c>
      <c r="K401" s="486">
        <v>700909.24</v>
      </c>
    </row>
    <row r="402" spans="1:11" ht="25.5" x14ac:dyDescent="0.2">
      <c r="A402" s="383" t="s">
        <v>770</v>
      </c>
      <c r="B402" s="382" t="s">
        <v>308</v>
      </c>
      <c r="C402" s="617" t="s">
        <v>12863</v>
      </c>
      <c r="D402" s="619">
        <v>145</v>
      </c>
      <c r="E402" s="485">
        <v>2</v>
      </c>
      <c r="F402" s="196"/>
      <c r="G402" s="382"/>
      <c r="H402" s="492">
        <f>73-39</f>
        <v>34</v>
      </c>
      <c r="I402" s="618">
        <v>1954</v>
      </c>
      <c r="J402" s="461">
        <v>110500</v>
      </c>
      <c r="K402" s="486"/>
    </row>
    <row r="403" spans="1:11" ht="12.75" customHeight="1" x14ac:dyDescent="0.2">
      <c r="A403" s="383" t="s">
        <v>771</v>
      </c>
      <c r="B403" s="382"/>
      <c r="C403" s="893" t="s">
        <v>12864</v>
      </c>
      <c r="D403" s="898">
        <v>166</v>
      </c>
      <c r="E403" s="485"/>
      <c r="F403" s="196"/>
      <c r="G403" s="382"/>
      <c r="H403" s="492">
        <f>138.5-138.5</f>
        <v>0</v>
      </c>
      <c r="I403" s="891">
        <v>1966</v>
      </c>
      <c r="J403" s="461">
        <f>485100-485100</f>
        <v>0</v>
      </c>
      <c r="K403" s="486"/>
    </row>
    <row r="404" spans="1:11" x14ac:dyDescent="0.2">
      <c r="A404" s="384" t="s">
        <v>1421</v>
      </c>
      <c r="B404" s="382" t="s">
        <v>308</v>
      </c>
      <c r="C404" s="893"/>
      <c r="D404" s="898"/>
      <c r="E404" s="485">
        <v>1</v>
      </c>
      <c r="F404" s="196" t="s">
        <v>232</v>
      </c>
      <c r="G404" s="382" t="s">
        <v>143</v>
      </c>
      <c r="H404" s="492">
        <v>39.200000000000003</v>
      </c>
      <c r="I404" s="891"/>
      <c r="J404" s="461">
        <v>137299.061371841</v>
      </c>
      <c r="K404" s="486">
        <v>457471.45</v>
      </c>
    </row>
    <row r="405" spans="1:11" x14ac:dyDescent="0.2">
      <c r="A405" s="384" t="s">
        <v>1422</v>
      </c>
      <c r="B405" s="382" t="s">
        <v>308</v>
      </c>
      <c r="C405" s="893"/>
      <c r="D405" s="898"/>
      <c r="E405" s="485">
        <v>2</v>
      </c>
      <c r="F405" s="196" t="s">
        <v>233</v>
      </c>
      <c r="G405" s="382" t="s">
        <v>143</v>
      </c>
      <c r="H405" s="492">
        <v>45.8</v>
      </c>
      <c r="I405" s="891"/>
      <c r="J405" s="461">
        <v>160415.740072202</v>
      </c>
      <c r="K405" s="486">
        <v>53494.7</v>
      </c>
    </row>
    <row r="406" spans="1:11" ht="12.75" customHeight="1" x14ac:dyDescent="0.2">
      <c r="A406" s="384" t="s">
        <v>1423</v>
      </c>
      <c r="B406" s="382" t="s">
        <v>308</v>
      </c>
      <c r="C406" s="893"/>
      <c r="D406" s="898"/>
      <c r="E406" s="485">
        <v>4</v>
      </c>
      <c r="F406" s="196" t="s">
        <v>11601</v>
      </c>
      <c r="G406" s="382" t="s">
        <v>143</v>
      </c>
      <c r="H406" s="492">
        <v>26</v>
      </c>
      <c r="I406" s="891"/>
      <c r="J406" s="461">
        <v>91065.703971119103</v>
      </c>
      <c r="K406" s="486">
        <v>312139.36</v>
      </c>
    </row>
    <row r="407" spans="1:11" ht="12.75" customHeight="1" x14ac:dyDescent="0.2">
      <c r="A407" s="383" t="s">
        <v>772</v>
      </c>
      <c r="B407" s="382"/>
      <c r="C407" s="879" t="s">
        <v>12865</v>
      </c>
      <c r="D407" s="898">
        <v>1</v>
      </c>
      <c r="E407" s="485"/>
      <c r="F407" s="196"/>
      <c r="G407" s="382"/>
      <c r="H407" s="492">
        <f>705-705</f>
        <v>0</v>
      </c>
      <c r="I407" s="891">
        <v>1948</v>
      </c>
      <c r="J407" s="461">
        <f>1048800-1048800</f>
        <v>0</v>
      </c>
      <c r="K407" s="486"/>
    </row>
    <row r="408" spans="1:11" x14ac:dyDescent="0.2">
      <c r="A408" s="384" t="s">
        <v>773</v>
      </c>
      <c r="B408" s="382" t="s">
        <v>308</v>
      </c>
      <c r="C408" s="893"/>
      <c r="D408" s="898"/>
      <c r="E408" s="485">
        <v>1</v>
      </c>
      <c r="F408" s="196" t="s">
        <v>3126</v>
      </c>
      <c r="G408" s="382"/>
      <c r="H408" s="492">
        <v>56.2</v>
      </c>
      <c r="I408" s="891"/>
      <c r="J408" s="461">
        <v>83606.468085106389</v>
      </c>
      <c r="K408" s="486">
        <v>705221.77</v>
      </c>
    </row>
    <row r="409" spans="1:11" x14ac:dyDescent="0.2">
      <c r="A409" s="384" t="s">
        <v>774</v>
      </c>
      <c r="B409" s="382" t="s">
        <v>308</v>
      </c>
      <c r="C409" s="893"/>
      <c r="D409" s="898"/>
      <c r="E409" s="485">
        <v>6</v>
      </c>
      <c r="F409" s="196" t="s">
        <v>3127</v>
      </c>
      <c r="G409" s="382"/>
      <c r="H409" s="492">
        <v>57.2</v>
      </c>
      <c r="I409" s="891"/>
      <c r="J409" s="461">
        <v>85094.127659574471</v>
      </c>
      <c r="K409" s="486">
        <v>717770.2</v>
      </c>
    </row>
    <row r="410" spans="1:11" ht="12.75" customHeight="1" x14ac:dyDescent="0.2">
      <c r="A410" s="383" t="s">
        <v>775</v>
      </c>
      <c r="B410" s="382"/>
      <c r="C410" s="877" t="s">
        <v>12866</v>
      </c>
      <c r="D410" s="880">
        <v>4</v>
      </c>
      <c r="E410" s="485"/>
      <c r="F410" s="196"/>
      <c r="G410" s="382"/>
      <c r="H410" s="492">
        <f>692.7-692.7</f>
        <v>0</v>
      </c>
      <c r="I410" s="883">
        <v>1950</v>
      </c>
      <c r="J410" s="461">
        <f>1127700-1127700</f>
        <v>0</v>
      </c>
      <c r="K410" s="486"/>
    </row>
    <row r="411" spans="1:11" x14ac:dyDescent="0.2">
      <c r="A411" s="384" t="s">
        <v>776</v>
      </c>
      <c r="B411" s="382" t="s">
        <v>308</v>
      </c>
      <c r="C411" s="878"/>
      <c r="D411" s="881"/>
      <c r="E411" s="485">
        <v>7</v>
      </c>
      <c r="F411" s="382" t="s">
        <v>11602</v>
      </c>
      <c r="G411" s="382"/>
      <c r="H411" s="492">
        <v>55.5</v>
      </c>
      <c r="I411" s="884"/>
      <c r="J411" s="461">
        <v>90444.147398843925</v>
      </c>
      <c r="K411" s="486">
        <v>641639.39</v>
      </c>
    </row>
    <row r="412" spans="1:11" x14ac:dyDescent="0.2">
      <c r="A412" s="384" t="s">
        <v>1424</v>
      </c>
      <c r="B412" s="382" t="s">
        <v>308</v>
      </c>
      <c r="C412" s="878"/>
      <c r="D412" s="881"/>
      <c r="E412" s="485">
        <v>8</v>
      </c>
      <c r="F412" s="196" t="s">
        <v>3129</v>
      </c>
      <c r="G412" s="382"/>
      <c r="H412" s="492">
        <v>48.5</v>
      </c>
      <c r="I412" s="884"/>
      <c r="J412" s="461">
        <v>78873.815028901736</v>
      </c>
      <c r="K412" s="486">
        <v>573224.41</v>
      </c>
    </row>
    <row r="413" spans="1:11" ht="12.75" customHeight="1" x14ac:dyDescent="0.2">
      <c r="A413" s="384" t="s">
        <v>1425</v>
      </c>
      <c r="B413" s="382" t="s">
        <v>308</v>
      </c>
      <c r="C413" s="878"/>
      <c r="D413" s="881"/>
      <c r="E413" s="485">
        <v>11</v>
      </c>
      <c r="F413" s="196" t="s">
        <v>3128</v>
      </c>
      <c r="G413" s="382"/>
      <c r="H413" s="492">
        <v>48.5</v>
      </c>
      <c r="I413" s="884"/>
      <c r="J413" s="461">
        <v>79036.777456647396</v>
      </c>
      <c r="K413" s="486">
        <v>573224.41</v>
      </c>
    </row>
    <row r="414" spans="1:11" ht="12.75" customHeight="1" x14ac:dyDescent="0.2">
      <c r="A414" s="384" t="s">
        <v>12867</v>
      </c>
      <c r="B414" s="382" t="s">
        <v>308</v>
      </c>
      <c r="C414" s="878"/>
      <c r="D414" s="881"/>
      <c r="E414" s="485">
        <v>2</v>
      </c>
      <c r="F414" s="196" t="s">
        <v>12868</v>
      </c>
      <c r="G414" s="382" t="s">
        <v>143</v>
      </c>
      <c r="H414" s="461">
        <v>49.1</v>
      </c>
      <c r="I414" s="884"/>
      <c r="J414" s="461">
        <v>1446000</v>
      </c>
      <c r="K414" s="461">
        <v>580315.85</v>
      </c>
    </row>
    <row r="415" spans="1:11" x14ac:dyDescent="0.2">
      <c r="A415" s="384" t="s">
        <v>12869</v>
      </c>
      <c r="B415" s="382" t="s">
        <v>308</v>
      </c>
      <c r="C415" s="878"/>
      <c r="D415" s="881"/>
      <c r="E415" s="485">
        <v>5</v>
      </c>
      <c r="F415" s="196" t="s">
        <v>12870</v>
      </c>
      <c r="G415" s="382" t="s">
        <v>543</v>
      </c>
      <c r="H415" s="461">
        <v>48.7</v>
      </c>
      <c r="I415" s="884"/>
      <c r="J415" s="461">
        <v>1442000</v>
      </c>
      <c r="K415" s="461">
        <v>575588.22</v>
      </c>
    </row>
    <row r="416" spans="1:11" x14ac:dyDescent="0.2">
      <c r="A416" s="384" t="s">
        <v>12871</v>
      </c>
      <c r="B416" s="382" t="s">
        <v>308</v>
      </c>
      <c r="C416" s="878"/>
      <c r="D416" s="881"/>
      <c r="E416" s="382">
        <v>3</v>
      </c>
      <c r="F416" s="196" t="s">
        <v>12872</v>
      </c>
      <c r="G416" s="382" t="s">
        <v>143</v>
      </c>
      <c r="H416" s="382">
        <v>55.1</v>
      </c>
      <c r="I416" s="884"/>
      <c r="J416" s="486">
        <v>1510000</v>
      </c>
      <c r="K416" s="486">
        <v>642183.89</v>
      </c>
    </row>
    <row r="417" spans="1:11" ht="12.75" customHeight="1" x14ac:dyDescent="0.2">
      <c r="A417" s="384" t="s">
        <v>12873</v>
      </c>
      <c r="B417" s="382" t="s">
        <v>308</v>
      </c>
      <c r="C417" s="878"/>
      <c r="D417" s="881"/>
      <c r="E417" s="485">
        <v>9</v>
      </c>
      <c r="F417" s="196" t="s">
        <v>12874</v>
      </c>
      <c r="G417" s="382" t="s">
        <v>143</v>
      </c>
      <c r="H417" s="461">
        <v>55.5</v>
      </c>
      <c r="I417" s="884"/>
      <c r="J417" s="461">
        <v>1618000</v>
      </c>
      <c r="K417" s="461">
        <v>641639.39</v>
      </c>
    </row>
    <row r="418" spans="1:11" x14ac:dyDescent="0.2">
      <c r="A418" s="384" t="s">
        <v>12875</v>
      </c>
      <c r="B418" s="382" t="s">
        <v>308</v>
      </c>
      <c r="C418" s="878"/>
      <c r="D418" s="881"/>
      <c r="E418" s="485">
        <v>4</v>
      </c>
      <c r="F418" s="196" t="s">
        <v>12876</v>
      </c>
      <c r="G418" s="382" t="s">
        <v>543</v>
      </c>
      <c r="H418" s="461">
        <v>56.1</v>
      </c>
      <c r="I418" s="884"/>
      <c r="J418" s="461">
        <v>1502000</v>
      </c>
      <c r="K418" s="461">
        <v>648576.03</v>
      </c>
    </row>
    <row r="419" spans="1:11" x14ac:dyDescent="0.2">
      <c r="A419" s="384" t="s">
        <v>13450</v>
      </c>
      <c r="B419" s="382" t="s">
        <v>308</v>
      </c>
      <c r="C419" s="878"/>
      <c r="D419" s="881"/>
      <c r="E419" s="485">
        <v>1</v>
      </c>
      <c r="F419" s="196" t="s">
        <v>13452</v>
      </c>
      <c r="G419" s="382" t="s">
        <v>143</v>
      </c>
      <c r="H419" s="461">
        <v>56.6</v>
      </c>
      <c r="I419" s="884"/>
      <c r="J419" s="461">
        <v>1628000</v>
      </c>
      <c r="K419" s="461">
        <v>654356.56000000006</v>
      </c>
    </row>
    <row r="420" spans="1:11" x14ac:dyDescent="0.2">
      <c r="A420" s="384" t="s">
        <v>13451</v>
      </c>
      <c r="B420" s="382" t="s">
        <v>308</v>
      </c>
      <c r="C420" s="879"/>
      <c r="D420" s="882"/>
      <c r="E420" s="485">
        <v>12</v>
      </c>
      <c r="F420" s="196" t="s">
        <v>13453</v>
      </c>
      <c r="G420" s="382" t="s">
        <v>543</v>
      </c>
      <c r="H420" s="461">
        <v>55.1</v>
      </c>
      <c r="I420" s="885"/>
      <c r="J420" s="461">
        <v>1633000</v>
      </c>
      <c r="K420" s="461">
        <v>646263.81000000006</v>
      </c>
    </row>
    <row r="421" spans="1:11" ht="12.75" customHeight="1" x14ac:dyDescent="0.2">
      <c r="A421" s="837" t="s">
        <v>777</v>
      </c>
      <c r="B421" s="838"/>
      <c r="C421" s="936" t="s">
        <v>12877</v>
      </c>
      <c r="D421" s="939">
        <v>5</v>
      </c>
      <c r="E421" s="839"/>
      <c r="F421" s="223"/>
      <c r="G421" s="838"/>
      <c r="H421" s="840">
        <f>641.4-641.4</f>
        <v>0</v>
      </c>
      <c r="I421" s="942">
        <v>1948</v>
      </c>
      <c r="J421" s="841">
        <f>1005947-1005947</f>
        <v>0</v>
      </c>
      <c r="K421" s="844"/>
    </row>
    <row r="422" spans="1:11" x14ac:dyDescent="0.2">
      <c r="A422" s="842" t="s">
        <v>1426</v>
      </c>
      <c r="B422" s="838" t="s">
        <v>308</v>
      </c>
      <c r="C422" s="937"/>
      <c r="D422" s="940"/>
      <c r="E422" s="839">
        <v>3</v>
      </c>
      <c r="F422" s="223" t="s">
        <v>3130</v>
      </c>
      <c r="G422" s="838"/>
      <c r="H422" s="840">
        <v>55</v>
      </c>
      <c r="I422" s="943"/>
      <c r="J422" s="841">
        <v>86259.87683193016</v>
      </c>
      <c r="K422" s="844">
        <v>569975.44999999995</v>
      </c>
    </row>
    <row r="423" spans="1:11" ht="12.75" customHeight="1" x14ac:dyDescent="0.2">
      <c r="A423" s="842" t="s">
        <v>1427</v>
      </c>
      <c r="B423" s="838" t="s">
        <v>308</v>
      </c>
      <c r="C423" s="937"/>
      <c r="D423" s="940"/>
      <c r="E423" s="839">
        <v>6</v>
      </c>
      <c r="F423" s="223" t="s">
        <v>3133</v>
      </c>
      <c r="G423" s="838"/>
      <c r="H423" s="840">
        <f>29.2+25.8</f>
        <v>55</v>
      </c>
      <c r="I423" s="943"/>
      <c r="J423" s="841">
        <v>86259.87683193016</v>
      </c>
      <c r="K423" s="844">
        <v>569975.44999999995</v>
      </c>
    </row>
    <row r="424" spans="1:11" x14ac:dyDescent="0.2">
      <c r="A424" s="842" t="s">
        <v>1428</v>
      </c>
      <c r="B424" s="838" t="s">
        <v>308</v>
      </c>
      <c r="C424" s="937"/>
      <c r="D424" s="940"/>
      <c r="E424" s="839">
        <v>7</v>
      </c>
      <c r="F424" s="223" t="s">
        <v>3131</v>
      </c>
      <c r="G424" s="838"/>
      <c r="H424" s="840">
        <v>55.8</v>
      </c>
      <c r="I424" s="943"/>
      <c r="J424" s="841">
        <v>87514.565949485506</v>
      </c>
      <c r="K424" s="844">
        <v>578266</v>
      </c>
    </row>
    <row r="425" spans="1:11" x14ac:dyDescent="0.2">
      <c r="A425" s="842" t="s">
        <v>1429</v>
      </c>
      <c r="B425" s="838" t="s">
        <v>308</v>
      </c>
      <c r="C425" s="937"/>
      <c r="D425" s="940"/>
      <c r="E425" s="839">
        <v>8</v>
      </c>
      <c r="F425" s="223" t="s">
        <v>3135</v>
      </c>
      <c r="G425" s="838"/>
      <c r="H425" s="840">
        <v>47.6</v>
      </c>
      <c r="I425" s="943"/>
      <c r="J425" s="841">
        <v>506550</v>
      </c>
      <c r="K425" s="844">
        <v>493287.84</v>
      </c>
    </row>
    <row r="426" spans="1:11" x14ac:dyDescent="0.2">
      <c r="A426" s="842" t="s">
        <v>1430</v>
      </c>
      <c r="B426" s="838" t="s">
        <v>308</v>
      </c>
      <c r="C426" s="937"/>
      <c r="D426" s="940"/>
      <c r="E426" s="839">
        <v>9</v>
      </c>
      <c r="F426" s="223" t="s">
        <v>3132</v>
      </c>
      <c r="G426" s="838"/>
      <c r="H426" s="840">
        <v>55.6</v>
      </c>
      <c r="I426" s="943"/>
      <c r="J426" s="841">
        <v>87200.893670096673</v>
      </c>
      <c r="K426" s="844">
        <v>576193.36</v>
      </c>
    </row>
    <row r="427" spans="1:11" ht="12.75" customHeight="1" x14ac:dyDescent="0.2">
      <c r="A427" s="842" t="s">
        <v>1431</v>
      </c>
      <c r="B427" s="838" t="s">
        <v>308</v>
      </c>
      <c r="C427" s="937"/>
      <c r="D427" s="940"/>
      <c r="E427" s="839">
        <v>11</v>
      </c>
      <c r="F427" s="223" t="s">
        <v>3134</v>
      </c>
      <c r="G427" s="838"/>
      <c r="H427" s="840">
        <v>48.8</v>
      </c>
      <c r="I427" s="943"/>
      <c r="J427" s="841">
        <v>76536.036170876207</v>
      </c>
      <c r="K427" s="844">
        <v>505723.67</v>
      </c>
    </row>
    <row r="428" spans="1:11" x14ac:dyDescent="0.2">
      <c r="A428" s="843" t="s">
        <v>14841</v>
      </c>
      <c r="B428" s="768" t="s">
        <v>308</v>
      </c>
      <c r="C428" s="938"/>
      <c r="D428" s="941"/>
      <c r="E428" s="813">
        <v>12</v>
      </c>
      <c r="F428" s="762" t="s">
        <v>14842</v>
      </c>
      <c r="G428" s="768" t="s">
        <v>543</v>
      </c>
      <c r="H428" s="769">
        <v>53.9</v>
      </c>
      <c r="I428" s="944"/>
      <c r="J428" s="769">
        <v>1999000</v>
      </c>
      <c r="K428" s="763">
        <v>558575.93999999994</v>
      </c>
    </row>
    <row r="429" spans="1:11" x14ac:dyDescent="0.2">
      <c r="A429" s="383" t="s">
        <v>1432</v>
      </c>
      <c r="B429" s="382"/>
      <c r="C429" s="893" t="s">
        <v>12878</v>
      </c>
      <c r="D429" s="898">
        <v>7</v>
      </c>
      <c r="E429" s="485"/>
      <c r="F429" s="196"/>
      <c r="G429" s="382"/>
      <c r="H429" s="492">
        <f>684-684</f>
        <v>0</v>
      </c>
      <c r="I429" s="891">
        <v>1949</v>
      </c>
      <c r="J429" s="461">
        <f>1005000-1005000</f>
        <v>0</v>
      </c>
      <c r="K429" s="486"/>
    </row>
    <row r="430" spans="1:11" x14ac:dyDescent="0.2">
      <c r="A430" s="384" t="s">
        <v>778</v>
      </c>
      <c r="B430" s="382" t="s">
        <v>308</v>
      </c>
      <c r="C430" s="893"/>
      <c r="D430" s="898"/>
      <c r="E430" s="485">
        <v>1</v>
      </c>
      <c r="F430" s="196" t="s">
        <v>262</v>
      </c>
      <c r="G430" s="382"/>
      <c r="H430" s="492">
        <v>55.3</v>
      </c>
      <c r="I430" s="891"/>
      <c r="J430" s="461">
        <v>81252.192982456138</v>
      </c>
      <c r="K430" s="486">
        <v>573084.41</v>
      </c>
    </row>
    <row r="431" spans="1:11" x14ac:dyDescent="0.2">
      <c r="A431" s="384" t="s">
        <v>779</v>
      </c>
      <c r="B431" s="382" t="s">
        <v>308</v>
      </c>
      <c r="C431" s="893"/>
      <c r="D431" s="898"/>
      <c r="E431" s="485">
        <v>2</v>
      </c>
      <c r="F431" s="196" t="s">
        <v>11603</v>
      </c>
      <c r="G431" s="382"/>
      <c r="H431" s="492">
        <v>48.1</v>
      </c>
      <c r="I431" s="891"/>
      <c r="J431" s="461">
        <v>70673.245614035084</v>
      </c>
      <c r="K431" s="486">
        <v>498469.44</v>
      </c>
    </row>
    <row r="432" spans="1:11" x14ac:dyDescent="0.2">
      <c r="A432" s="384" t="s">
        <v>780</v>
      </c>
      <c r="B432" s="382" t="s">
        <v>308</v>
      </c>
      <c r="C432" s="893"/>
      <c r="D432" s="898"/>
      <c r="E432" s="485">
        <v>3</v>
      </c>
      <c r="F432" s="196" t="s">
        <v>12879</v>
      </c>
      <c r="G432" s="503"/>
      <c r="H432" s="492">
        <v>54.9</v>
      </c>
      <c r="I432" s="891"/>
      <c r="J432" s="461">
        <v>80664.473684210519</v>
      </c>
      <c r="K432" s="486">
        <v>568939.13</v>
      </c>
    </row>
    <row r="433" spans="1:11" x14ac:dyDescent="0.2">
      <c r="A433" s="384" t="s">
        <v>781</v>
      </c>
      <c r="B433" s="382" t="s">
        <v>308</v>
      </c>
      <c r="C433" s="893"/>
      <c r="D433" s="898"/>
      <c r="E433" s="485">
        <v>4</v>
      </c>
      <c r="F433" s="196" t="s">
        <v>267</v>
      </c>
      <c r="G433" s="382"/>
      <c r="H433" s="492">
        <f>27.65+27.65</f>
        <v>55.3</v>
      </c>
      <c r="I433" s="891"/>
      <c r="J433" s="461">
        <v>81252.192982456138</v>
      </c>
      <c r="K433" s="486">
        <v>573084.41</v>
      </c>
    </row>
    <row r="434" spans="1:11" ht="12.75" customHeight="1" x14ac:dyDescent="0.2">
      <c r="A434" s="384" t="s">
        <v>782</v>
      </c>
      <c r="B434" s="382" t="s">
        <v>308</v>
      </c>
      <c r="C434" s="893"/>
      <c r="D434" s="898"/>
      <c r="E434" s="485">
        <v>6</v>
      </c>
      <c r="F434" s="196" t="s">
        <v>12880</v>
      </c>
      <c r="G434" s="382"/>
      <c r="H434" s="492">
        <f>28.6+26.3</f>
        <v>54.900000000000006</v>
      </c>
      <c r="I434" s="891"/>
      <c r="J434" s="461">
        <v>80664.473684210534</v>
      </c>
      <c r="K434" s="486">
        <v>568939.13</v>
      </c>
    </row>
    <row r="435" spans="1:11" ht="12.75" customHeight="1" x14ac:dyDescent="0.2">
      <c r="A435" s="384" t="s">
        <v>783</v>
      </c>
      <c r="B435" s="382" t="s">
        <v>308</v>
      </c>
      <c r="C435" s="893"/>
      <c r="D435" s="898"/>
      <c r="E435" s="485">
        <v>7</v>
      </c>
      <c r="F435" s="196" t="s">
        <v>263</v>
      </c>
      <c r="G435" s="382"/>
      <c r="H435" s="492">
        <v>53.7</v>
      </c>
      <c r="I435" s="891"/>
      <c r="J435" s="461">
        <v>78901.315789473694</v>
      </c>
      <c r="K435" s="486">
        <v>556503.30000000005</v>
      </c>
    </row>
    <row r="436" spans="1:11" x14ac:dyDescent="0.2">
      <c r="A436" s="384" t="s">
        <v>784</v>
      </c>
      <c r="B436" s="382" t="s">
        <v>308</v>
      </c>
      <c r="C436" s="893"/>
      <c r="D436" s="898"/>
      <c r="E436" s="485">
        <v>8</v>
      </c>
      <c r="F436" s="196" t="s">
        <v>264</v>
      </c>
      <c r="G436" s="382"/>
      <c r="H436" s="492">
        <v>48.3</v>
      </c>
      <c r="I436" s="891"/>
      <c r="J436" s="461">
        <v>70967.105263157893</v>
      </c>
      <c r="K436" s="486">
        <v>500542.08</v>
      </c>
    </row>
    <row r="437" spans="1:11" x14ac:dyDescent="0.2">
      <c r="A437" s="384" t="s">
        <v>1433</v>
      </c>
      <c r="B437" s="382" t="s">
        <v>308</v>
      </c>
      <c r="C437" s="893"/>
      <c r="D437" s="898"/>
      <c r="E437" s="485">
        <v>9</v>
      </c>
      <c r="F437" s="196" t="s">
        <v>265</v>
      </c>
      <c r="G437" s="382"/>
      <c r="H437" s="492">
        <v>55.5</v>
      </c>
      <c r="I437" s="891"/>
      <c r="J437" s="461">
        <v>81546.052631578947</v>
      </c>
      <c r="K437" s="486">
        <v>575157.05000000005</v>
      </c>
    </row>
    <row r="438" spans="1:11" ht="12.75" customHeight="1" x14ac:dyDescent="0.2">
      <c r="A438" s="384" t="s">
        <v>1434</v>
      </c>
      <c r="B438" s="382" t="s">
        <v>308</v>
      </c>
      <c r="C438" s="893"/>
      <c r="D438" s="898"/>
      <c r="E438" s="485">
        <v>10</v>
      </c>
      <c r="F438" s="196" t="s">
        <v>268</v>
      </c>
      <c r="G438" s="382"/>
      <c r="H438" s="492">
        <v>53.7</v>
      </c>
      <c r="I438" s="891"/>
      <c r="J438" s="461">
        <v>78901.315789473694</v>
      </c>
      <c r="K438" s="486">
        <v>556503.30000000005</v>
      </c>
    </row>
    <row r="439" spans="1:11" ht="12.75" customHeight="1" x14ac:dyDescent="0.2">
      <c r="A439" s="384" t="s">
        <v>1435</v>
      </c>
      <c r="B439" s="382" t="s">
        <v>308</v>
      </c>
      <c r="C439" s="893"/>
      <c r="D439" s="898"/>
      <c r="E439" s="485">
        <v>12</v>
      </c>
      <c r="F439" s="196" t="s">
        <v>266</v>
      </c>
      <c r="G439" s="382"/>
      <c r="H439" s="492">
        <v>55.5</v>
      </c>
      <c r="I439" s="891"/>
      <c r="J439" s="461">
        <v>81546.052631578947</v>
      </c>
      <c r="K439" s="486">
        <v>575157.05000000005</v>
      </c>
    </row>
    <row r="440" spans="1:11" x14ac:dyDescent="0.2">
      <c r="A440" s="383" t="s">
        <v>785</v>
      </c>
      <c r="B440" s="382"/>
      <c r="C440" s="893" t="s">
        <v>12881</v>
      </c>
      <c r="D440" s="898">
        <v>8</v>
      </c>
      <c r="E440" s="485"/>
      <c r="F440" s="196"/>
      <c r="G440" s="382"/>
      <c r="H440" s="492">
        <f>694-694</f>
        <v>0</v>
      </c>
      <c r="I440" s="891">
        <v>1942</v>
      </c>
      <c r="J440" s="461">
        <f>1100300-1100300</f>
        <v>0</v>
      </c>
      <c r="K440" s="486"/>
    </row>
    <row r="441" spans="1:11" x14ac:dyDescent="0.2">
      <c r="A441" s="384" t="s">
        <v>786</v>
      </c>
      <c r="B441" s="382" t="s">
        <v>308</v>
      </c>
      <c r="C441" s="893"/>
      <c r="D441" s="898"/>
      <c r="E441" s="485">
        <v>5</v>
      </c>
      <c r="F441" s="196" t="s">
        <v>259</v>
      </c>
      <c r="G441" s="382"/>
      <c r="H441" s="492">
        <v>48.4</v>
      </c>
      <c r="I441" s="891"/>
      <c r="J441" s="461">
        <v>76735.619596541786</v>
      </c>
      <c r="K441" s="486">
        <v>620896.98</v>
      </c>
    </row>
    <row r="442" spans="1:11" ht="12.75" customHeight="1" x14ac:dyDescent="0.2">
      <c r="A442" s="384" t="s">
        <v>787</v>
      </c>
      <c r="B442" s="382" t="s">
        <v>308</v>
      </c>
      <c r="C442" s="893"/>
      <c r="D442" s="898"/>
      <c r="E442" s="485">
        <v>8</v>
      </c>
      <c r="F442" s="196" t="s">
        <v>260</v>
      </c>
      <c r="G442" s="382"/>
      <c r="H442" s="492">
        <v>47.9</v>
      </c>
      <c r="I442" s="891"/>
      <c r="J442" s="461">
        <v>75942.896253602303</v>
      </c>
      <c r="K442" s="486">
        <v>614482.76</v>
      </c>
    </row>
    <row r="443" spans="1:11" x14ac:dyDescent="0.2">
      <c r="A443" s="384" t="s">
        <v>788</v>
      </c>
      <c r="B443" s="382" t="s">
        <v>308</v>
      </c>
      <c r="C443" s="893"/>
      <c r="D443" s="898"/>
      <c r="E443" s="485">
        <v>10</v>
      </c>
      <c r="F443" s="196" t="s">
        <v>261</v>
      </c>
      <c r="G443" s="382"/>
      <c r="H443" s="492">
        <v>56.3</v>
      </c>
      <c r="I443" s="891"/>
      <c r="J443" s="461">
        <v>89260.648414985597</v>
      </c>
      <c r="K443" s="486">
        <v>706476.61</v>
      </c>
    </row>
    <row r="444" spans="1:11" x14ac:dyDescent="0.2">
      <c r="A444" s="383" t="s">
        <v>789</v>
      </c>
      <c r="B444" s="382"/>
      <c r="C444" s="893" t="s">
        <v>12882</v>
      </c>
      <c r="D444" s="898">
        <v>9</v>
      </c>
      <c r="E444" s="485"/>
      <c r="F444" s="196"/>
      <c r="G444" s="382"/>
      <c r="H444" s="492">
        <f>875-875</f>
        <v>0</v>
      </c>
      <c r="I444" s="891">
        <v>1952</v>
      </c>
      <c r="J444" s="461">
        <f>1661200-1661200</f>
        <v>0</v>
      </c>
      <c r="K444" s="486"/>
    </row>
    <row r="445" spans="1:11" ht="12.75" customHeight="1" x14ac:dyDescent="0.2">
      <c r="A445" s="384" t="s">
        <v>790</v>
      </c>
      <c r="B445" s="382" t="s">
        <v>308</v>
      </c>
      <c r="C445" s="893"/>
      <c r="D445" s="898"/>
      <c r="E445" s="485">
        <v>9</v>
      </c>
      <c r="F445" s="196" t="s">
        <v>257</v>
      </c>
      <c r="G445" s="382"/>
      <c r="H445" s="492">
        <v>55.3</v>
      </c>
      <c r="I445" s="891"/>
      <c r="J445" s="461">
        <v>104987.84</v>
      </c>
      <c r="K445" s="486">
        <v>573084.41</v>
      </c>
    </row>
    <row r="446" spans="1:11" x14ac:dyDescent="0.2">
      <c r="A446" s="384" t="s">
        <v>791</v>
      </c>
      <c r="B446" s="382" t="s">
        <v>308</v>
      </c>
      <c r="C446" s="893"/>
      <c r="D446" s="898"/>
      <c r="E446" s="485">
        <v>11</v>
      </c>
      <c r="F446" s="196" t="s">
        <v>258</v>
      </c>
      <c r="G446" s="382"/>
      <c r="H446" s="492">
        <v>57.4</v>
      </c>
      <c r="I446" s="891"/>
      <c r="J446" s="461">
        <v>108974.72</v>
      </c>
      <c r="K446" s="486">
        <v>566866.49</v>
      </c>
    </row>
    <row r="447" spans="1:11" ht="12.75" customHeight="1" x14ac:dyDescent="0.2">
      <c r="A447" s="383" t="s">
        <v>792</v>
      </c>
      <c r="B447" s="382"/>
      <c r="C447" s="893" t="s">
        <v>12883</v>
      </c>
      <c r="D447" s="898">
        <v>10</v>
      </c>
      <c r="E447" s="485"/>
      <c r="F447" s="196"/>
      <c r="G447" s="382"/>
      <c r="H447" s="492">
        <f>682-682</f>
        <v>0</v>
      </c>
      <c r="I447" s="891">
        <v>1942</v>
      </c>
      <c r="J447" s="461">
        <f>1096800-1096800</f>
        <v>0</v>
      </c>
      <c r="K447" s="486"/>
    </row>
    <row r="448" spans="1:11" x14ac:dyDescent="0.2">
      <c r="A448" s="384" t="s">
        <v>793</v>
      </c>
      <c r="B448" s="382" t="s">
        <v>308</v>
      </c>
      <c r="C448" s="893"/>
      <c r="D448" s="898"/>
      <c r="E448" s="485">
        <v>2</v>
      </c>
      <c r="F448" s="196"/>
      <c r="G448" s="382"/>
      <c r="H448" s="492">
        <v>47.6</v>
      </c>
      <c r="I448" s="891"/>
      <c r="J448" s="461">
        <v>76550.850439882706</v>
      </c>
      <c r="K448" s="486"/>
    </row>
    <row r="449" spans="1:11" x14ac:dyDescent="0.2">
      <c r="A449" s="620" t="s">
        <v>794</v>
      </c>
      <c r="B449" s="615" t="s">
        <v>308</v>
      </c>
      <c r="C449" s="893"/>
      <c r="D449" s="898"/>
      <c r="E449" s="472">
        <v>3</v>
      </c>
      <c r="F449" s="499"/>
      <c r="G449" s="503"/>
      <c r="H449" s="492">
        <f>29+26.5</f>
        <v>55.5</v>
      </c>
      <c r="I449" s="891"/>
      <c r="J449" s="461">
        <f>89255.7184750733</f>
        <v>89255.718475073299</v>
      </c>
      <c r="K449" s="486"/>
    </row>
    <row r="450" spans="1:11" ht="12.75" customHeight="1" x14ac:dyDescent="0.2">
      <c r="A450" s="384" t="s">
        <v>795</v>
      </c>
      <c r="B450" s="382" t="s">
        <v>308</v>
      </c>
      <c r="C450" s="893"/>
      <c r="D450" s="898"/>
      <c r="E450" s="485">
        <v>7</v>
      </c>
      <c r="F450" s="196"/>
      <c r="G450" s="382"/>
      <c r="H450" s="492">
        <f>27.85+27.85</f>
        <v>55.7</v>
      </c>
      <c r="I450" s="891"/>
      <c r="J450" s="461">
        <v>89577.36070381233</v>
      </c>
      <c r="K450" s="486"/>
    </row>
    <row r="451" spans="1:11" ht="12.75" customHeight="1" x14ac:dyDescent="0.2">
      <c r="A451" s="383" t="s">
        <v>796</v>
      </c>
      <c r="B451" s="382"/>
      <c r="C451" s="877" t="s">
        <v>12884</v>
      </c>
      <c r="D451" s="880">
        <v>11</v>
      </c>
      <c r="E451" s="485"/>
      <c r="F451" s="196"/>
      <c r="G451" s="382"/>
      <c r="H451" s="492">
        <f>688-688</f>
        <v>0</v>
      </c>
      <c r="I451" s="883">
        <v>1950</v>
      </c>
      <c r="J451" s="461">
        <f>1003200-1003200</f>
        <v>0</v>
      </c>
      <c r="K451" s="486"/>
    </row>
    <row r="452" spans="1:11" x14ac:dyDescent="0.2">
      <c r="A452" s="384" t="s">
        <v>797</v>
      </c>
      <c r="B452" s="382" t="s">
        <v>308</v>
      </c>
      <c r="C452" s="878"/>
      <c r="D452" s="881"/>
      <c r="E452" s="485">
        <v>2</v>
      </c>
      <c r="F452" s="196"/>
      <c r="G452" s="382"/>
      <c r="H452" s="492">
        <v>47.9</v>
      </c>
      <c r="I452" s="884"/>
      <c r="J452" s="461">
        <v>69844.883720930229</v>
      </c>
      <c r="K452" s="486"/>
    </row>
    <row r="453" spans="1:11" x14ac:dyDescent="0.2">
      <c r="A453" s="384" t="s">
        <v>798</v>
      </c>
      <c r="B453" s="382" t="s">
        <v>308</v>
      </c>
      <c r="C453" s="878"/>
      <c r="D453" s="881"/>
      <c r="E453" s="485">
        <v>4</v>
      </c>
      <c r="F453" s="196"/>
      <c r="G453" s="382"/>
      <c r="H453" s="492">
        <v>55.5</v>
      </c>
      <c r="I453" s="884"/>
      <c r="J453" s="461">
        <v>80926.744186046504</v>
      </c>
      <c r="K453" s="486"/>
    </row>
    <row r="454" spans="1:11" ht="12.75" customHeight="1" x14ac:dyDescent="0.2">
      <c r="A454" s="384" t="s">
        <v>799</v>
      </c>
      <c r="B454" s="382" t="s">
        <v>308</v>
      </c>
      <c r="C454" s="878"/>
      <c r="D454" s="881"/>
      <c r="E454" s="485">
        <v>5</v>
      </c>
      <c r="F454" s="196"/>
      <c r="G454" s="382"/>
      <c r="H454" s="492">
        <v>47.9</v>
      </c>
      <c r="I454" s="884"/>
      <c r="J454" s="461">
        <v>69844.883720930229</v>
      </c>
      <c r="K454" s="486"/>
    </row>
    <row r="455" spans="1:11" x14ac:dyDescent="0.2">
      <c r="A455" s="384" t="s">
        <v>800</v>
      </c>
      <c r="B455" s="382" t="s">
        <v>308</v>
      </c>
      <c r="C455" s="878"/>
      <c r="D455" s="881"/>
      <c r="E455" s="485">
        <v>7</v>
      </c>
      <c r="F455" s="196"/>
      <c r="G455" s="382"/>
      <c r="H455" s="492">
        <v>55.4</v>
      </c>
      <c r="I455" s="884"/>
      <c r="J455" s="461">
        <v>80780.930232558138</v>
      </c>
      <c r="K455" s="486"/>
    </row>
    <row r="456" spans="1:11" x14ac:dyDescent="0.2">
      <c r="A456" s="384" t="s">
        <v>1436</v>
      </c>
      <c r="B456" s="382" t="s">
        <v>308</v>
      </c>
      <c r="C456" s="878"/>
      <c r="D456" s="881"/>
      <c r="E456" s="485">
        <v>9</v>
      </c>
      <c r="F456" s="196"/>
      <c r="G456" s="382"/>
      <c r="H456" s="492">
        <v>54.8</v>
      </c>
      <c r="I456" s="884"/>
      <c r="J456" s="461">
        <v>79906.046511627908</v>
      </c>
      <c r="K456" s="486"/>
    </row>
    <row r="457" spans="1:11" ht="12.75" customHeight="1" x14ac:dyDescent="0.2">
      <c r="A457" s="384" t="s">
        <v>1437</v>
      </c>
      <c r="B457" s="382" t="s">
        <v>308</v>
      </c>
      <c r="C457" s="878"/>
      <c r="D457" s="881"/>
      <c r="E457" s="485">
        <v>10</v>
      </c>
      <c r="F457" s="196"/>
      <c r="G457" s="382"/>
      <c r="H457" s="492">
        <v>55.4</v>
      </c>
      <c r="I457" s="884"/>
      <c r="J457" s="461">
        <v>80780.930232558138</v>
      </c>
      <c r="K457" s="486"/>
    </row>
    <row r="458" spans="1:11" ht="12.75" customHeight="1" x14ac:dyDescent="0.2">
      <c r="A458" s="843" t="s">
        <v>14853</v>
      </c>
      <c r="B458" s="768" t="s">
        <v>308</v>
      </c>
      <c r="C458" s="879"/>
      <c r="D458" s="882"/>
      <c r="E458" s="813">
        <v>6</v>
      </c>
      <c r="F458" s="1198" t="s">
        <v>14854</v>
      </c>
      <c r="G458" s="1199" t="s">
        <v>543</v>
      </c>
      <c r="H458" s="769">
        <v>55.1</v>
      </c>
      <c r="I458" s="885"/>
      <c r="J458" s="769">
        <v>2159000</v>
      </c>
      <c r="K458" s="763">
        <v>571011.77</v>
      </c>
    </row>
    <row r="459" spans="1:11" x14ac:dyDescent="0.2">
      <c r="A459" s="383" t="s">
        <v>14852</v>
      </c>
      <c r="B459" s="382"/>
      <c r="C459" s="877" t="s">
        <v>12885</v>
      </c>
      <c r="D459" s="880">
        <v>12</v>
      </c>
      <c r="E459" s="485"/>
      <c r="F459" s="196"/>
      <c r="G459" s="382"/>
      <c r="H459" s="492">
        <f>705-705</f>
        <v>0</v>
      </c>
      <c r="I459" s="883">
        <v>1950</v>
      </c>
      <c r="J459" s="461">
        <f>1127700-1127700</f>
        <v>0</v>
      </c>
      <c r="K459" s="486"/>
    </row>
    <row r="460" spans="1:11" ht="12.75" customHeight="1" x14ac:dyDescent="0.2">
      <c r="A460" s="384" t="s">
        <v>801</v>
      </c>
      <c r="B460" s="382" t="s">
        <v>308</v>
      </c>
      <c r="C460" s="878"/>
      <c r="D460" s="881"/>
      <c r="E460" s="485">
        <v>4</v>
      </c>
      <c r="F460" s="196" t="s">
        <v>254</v>
      </c>
      <c r="G460" s="382"/>
      <c r="H460" s="492">
        <v>57.4</v>
      </c>
      <c r="I460" s="884"/>
      <c r="J460" s="461">
        <v>91815.574468085106</v>
      </c>
      <c r="K460" s="486">
        <v>594847.11</v>
      </c>
    </row>
    <row r="461" spans="1:11" x14ac:dyDescent="0.2">
      <c r="A461" s="384" t="s">
        <v>802</v>
      </c>
      <c r="B461" s="382" t="s">
        <v>308</v>
      </c>
      <c r="C461" s="878"/>
      <c r="D461" s="881"/>
      <c r="E461" s="485">
        <v>10</v>
      </c>
      <c r="F461" s="196" t="s">
        <v>255</v>
      </c>
      <c r="G461" s="382"/>
      <c r="H461" s="492">
        <v>57.1</v>
      </c>
      <c r="I461" s="884"/>
      <c r="J461" s="461">
        <v>91335.702127659577</v>
      </c>
      <c r="K461" s="486">
        <v>591738.15</v>
      </c>
    </row>
    <row r="462" spans="1:11" x14ac:dyDescent="0.2">
      <c r="A462" s="384" t="s">
        <v>803</v>
      </c>
      <c r="B462" s="382" t="s">
        <v>308</v>
      </c>
      <c r="C462" s="878"/>
      <c r="D462" s="881"/>
      <c r="E462" s="485">
        <v>11</v>
      </c>
      <c r="F462" s="196" t="s">
        <v>256</v>
      </c>
      <c r="G462" s="382"/>
      <c r="H462" s="492">
        <v>48.1</v>
      </c>
      <c r="I462" s="884"/>
      <c r="J462" s="461">
        <v>76939.531914893625</v>
      </c>
      <c r="K462" s="486">
        <v>498469.44</v>
      </c>
    </row>
    <row r="463" spans="1:11" x14ac:dyDescent="0.2">
      <c r="A463" s="384" t="s">
        <v>804</v>
      </c>
      <c r="B463" s="382" t="s">
        <v>308</v>
      </c>
      <c r="C463" s="878"/>
      <c r="D463" s="881"/>
      <c r="E463" s="485">
        <v>12</v>
      </c>
      <c r="F463" s="196" t="s">
        <v>11604</v>
      </c>
      <c r="G463" s="382"/>
      <c r="H463" s="492">
        <v>56.4</v>
      </c>
      <c r="I463" s="884"/>
      <c r="J463" s="461">
        <v>90216</v>
      </c>
      <c r="K463" s="486">
        <v>584483.92000000004</v>
      </c>
    </row>
    <row r="464" spans="1:11" ht="12.75" customHeight="1" x14ac:dyDescent="0.2">
      <c r="A464" s="384" t="s">
        <v>11928</v>
      </c>
      <c r="B464" s="382" t="s">
        <v>312</v>
      </c>
      <c r="C464" s="879"/>
      <c r="D464" s="882"/>
      <c r="E464" s="504" t="s">
        <v>11929</v>
      </c>
      <c r="F464" s="40" t="s">
        <v>11930</v>
      </c>
      <c r="G464" s="382" t="s">
        <v>143</v>
      </c>
      <c r="H464" s="461">
        <v>19.3</v>
      </c>
      <c r="I464" s="885"/>
      <c r="J464" s="461">
        <f>1127700/705*19.3</f>
        <v>30871.787234042557</v>
      </c>
      <c r="K464" s="486">
        <v>200009.57</v>
      </c>
    </row>
    <row r="465" spans="1:11" x14ac:dyDescent="0.2">
      <c r="A465" s="383" t="s">
        <v>805</v>
      </c>
      <c r="B465" s="382"/>
      <c r="C465" s="893" t="s">
        <v>12886</v>
      </c>
      <c r="D465" s="898">
        <v>13</v>
      </c>
      <c r="E465" s="485"/>
      <c r="F465" s="196"/>
      <c r="G465" s="382"/>
      <c r="H465" s="492">
        <f>691-691</f>
        <v>0</v>
      </c>
      <c r="I465" s="891">
        <v>1950</v>
      </c>
      <c r="J465" s="461">
        <f>1015800-1015800</f>
        <v>0</v>
      </c>
      <c r="K465" s="486"/>
    </row>
    <row r="466" spans="1:11" x14ac:dyDescent="0.2">
      <c r="A466" s="384" t="s">
        <v>806</v>
      </c>
      <c r="B466" s="382" t="s">
        <v>308</v>
      </c>
      <c r="C466" s="893"/>
      <c r="D466" s="898"/>
      <c r="E466" s="485">
        <v>1</v>
      </c>
      <c r="F466" s="196" t="s">
        <v>3138</v>
      </c>
      <c r="G466" s="382"/>
      <c r="H466" s="492">
        <v>56.9</v>
      </c>
      <c r="I466" s="891"/>
      <c r="J466" s="461">
        <v>39544.16787264833</v>
      </c>
      <c r="K466" s="486">
        <v>589665.51</v>
      </c>
    </row>
    <row r="467" spans="1:11" x14ac:dyDescent="0.2">
      <c r="A467" s="384" t="s">
        <v>807</v>
      </c>
      <c r="B467" s="382" t="s">
        <v>308</v>
      </c>
      <c r="C467" s="893"/>
      <c r="D467" s="898"/>
      <c r="E467" s="472" t="s">
        <v>410</v>
      </c>
      <c r="F467" s="196"/>
      <c r="G467" s="382"/>
      <c r="H467" s="492">
        <v>30</v>
      </c>
      <c r="I467" s="891"/>
      <c r="J467" s="461">
        <v>44101.302460202605</v>
      </c>
      <c r="K467" s="486"/>
    </row>
    <row r="468" spans="1:11" x14ac:dyDescent="0.2">
      <c r="A468" s="384" t="s">
        <v>808</v>
      </c>
      <c r="B468" s="382" t="s">
        <v>308</v>
      </c>
      <c r="C468" s="893"/>
      <c r="D468" s="898"/>
      <c r="E468" s="485">
        <v>2</v>
      </c>
      <c r="F468" s="196" t="s">
        <v>3139</v>
      </c>
      <c r="G468" s="382"/>
      <c r="H468" s="492">
        <v>47.2</v>
      </c>
      <c r="I468" s="891"/>
      <c r="J468" s="461">
        <v>69386.049204052106</v>
      </c>
      <c r="K468" s="486">
        <v>489142.57</v>
      </c>
    </row>
    <row r="469" spans="1:11" ht="12.75" customHeight="1" x14ac:dyDescent="0.2">
      <c r="A469" s="384" t="s">
        <v>809</v>
      </c>
      <c r="B469" s="382" t="s">
        <v>308</v>
      </c>
      <c r="C469" s="893"/>
      <c r="D469" s="898"/>
      <c r="E469" s="485">
        <v>4</v>
      </c>
      <c r="F469" s="196" t="s">
        <v>3140</v>
      </c>
      <c r="G469" s="382"/>
      <c r="H469" s="492">
        <v>57.6</v>
      </c>
      <c r="I469" s="891"/>
      <c r="J469" s="461">
        <v>83645.470332850935</v>
      </c>
      <c r="K469" s="486">
        <v>596919.74</v>
      </c>
    </row>
    <row r="470" spans="1:11" x14ac:dyDescent="0.2">
      <c r="A470" s="384" t="s">
        <v>810</v>
      </c>
      <c r="B470" s="382" t="s">
        <v>308</v>
      </c>
      <c r="C470" s="893"/>
      <c r="D470" s="898"/>
      <c r="E470" s="485">
        <v>5</v>
      </c>
      <c r="F470" s="196" t="s">
        <v>3141</v>
      </c>
      <c r="G470" s="382"/>
      <c r="H470" s="492">
        <v>47.2</v>
      </c>
      <c r="I470" s="891"/>
      <c r="J470" s="461">
        <v>69386.049204052106</v>
      </c>
      <c r="K470" s="486">
        <v>489142.57</v>
      </c>
    </row>
    <row r="471" spans="1:11" ht="12.75" customHeight="1" x14ac:dyDescent="0.2">
      <c r="A471" s="384" t="s">
        <v>811</v>
      </c>
      <c r="B471" s="382" t="s">
        <v>308</v>
      </c>
      <c r="C471" s="893"/>
      <c r="D471" s="898"/>
      <c r="E471" s="485">
        <v>6</v>
      </c>
      <c r="F471" s="196" t="s">
        <v>3142</v>
      </c>
      <c r="G471" s="382"/>
      <c r="H471" s="492">
        <v>55.2</v>
      </c>
      <c r="I471" s="891"/>
      <c r="J471" s="461">
        <v>81146.396526772791</v>
      </c>
      <c r="K471" s="486">
        <v>572048.09</v>
      </c>
    </row>
    <row r="472" spans="1:11" x14ac:dyDescent="0.2">
      <c r="A472" s="384" t="s">
        <v>1438</v>
      </c>
      <c r="B472" s="382" t="s">
        <v>308</v>
      </c>
      <c r="C472" s="893"/>
      <c r="D472" s="898"/>
      <c r="E472" s="485">
        <v>8</v>
      </c>
      <c r="F472" s="196" t="s">
        <v>3137</v>
      </c>
      <c r="G472" s="382"/>
      <c r="H472" s="492">
        <f>47.4-17.9</f>
        <v>29.5</v>
      </c>
      <c r="I472" s="891"/>
      <c r="J472" s="461">
        <f>31752.9377713459-11991.09</f>
        <v>19761.8477713459</v>
      </c>
      <c r="K472" s="486">
        <v>491215.21</v>
      </c>
    </row>
    <row r="473" spans="1:11" ht="12.75" customHeight="1" x14ac:dyDescent="0.2">
      <c r="A473" s="384" t="s">
        <v>1439</v>
      </c>
      <c r="B473" s="382" t="s">
        <v>308</v>
      </c>
      <c r="C473" s="893"/>
      <c r="D473" s="898"/>
      <c r="E473" s="485">
        <v>11</v>
      </c>
      <c r="F473" s="196" t="s">
        <v>3143</v>
      </c>
      <c r="G473" s="382"/>
      <c r="H473" s="492">
        <v>48.7</v>
      </c>
      <c r="I473" s="891"/>
      <c r="J473" s="461">
        <v>70562.083936324168</v>
      </c>
      <c r="K473" s="486">
        <v>504687.35</v>
      </c>
    </row>
    <row r="474" spans="1:11" ht="12.75" customHeight="1" x14ac:dyDescent="0.2">
      <c r="A474" s="383" t="s">
        <v>812</v>
      </c>
      <c r="B474" s="382"/>
      <c r="C474" s="877" t="s">
        <v>12887</v>
      </c>
      <c r="D474" s="880">
        <v>15</v>
      </c>
      <c r="E474" s="485"/>
      <c r="F474" s="196"/>
      <c r="G474" s="382"/>
      <c r="H474" s="492">
        <f>688-688</f>
        <v>0</v>
      </c>
      <c r="I474" s="883">
        <v>1949</v>
      </c>
      <c r="J474" s="461">
        <f>1019600-1019600</f>
        <v>0</v>
      </c>
      <c r="K474" s="486"/>
    </row>
    <row r="475" spans="1:11" ht="12.75" customHeight="1" x14ac:dyDescent="0.2">
      <c r="A475" s="384" t="s">
        <v>813</v>
      </c>
      <c r="B475" s="382" t="s">
        <v>308</v>
      </c>
      <c r="C475" s="878"/>
      <c r="D475" s="881"/>
      <c r="E475" s="485">
        <v>1</v>
      </c>
      <c r="F475" s="196" t="s">
        <v>3136</v>
      </c>
      <c r="G475" s="382"/>
      <c r="H475" s="492">
        <v>56</v>
      </c>
      <c r="I475" s="884"/>
      <c r="J475" s="461">
        <v>82990.69767441861</v>
      </c>
      <c r="K475" s="486">
        <v>580338.64</v>
      </c>
    </row>
    <row r="476" spans="1:11" x14ac:dyDescent="0.2">
      <c r="A476" s="384" t="s">
        <v>12888</v>
      </c>
      <c r="B476" s="382" t="s">
        <v>308</v>
      </c>
      <c r="C476" s="878"/>
      <c r="D476" s="881"/>
      <c r="E476" s="485">
        <v>9</v>
      </c>
      <c r="F476" s="196" t="s">
        <v>12889</v>
      </c>
      <c r="G476" s="382" t="s">
        <v>143</v>
      </c>
      <c r="H476" s="461">
        <v>54.7</v>
      </c>
      <c r="I476" s="884"/>
      <c r="J476" s="461">
        <v>1693000</v>
      </c>
      <c r="K476" s="486">
        <v>449553.04</v>
      </c>
    </row>
    <row r="477" spans="1:11" x14ac:dyDescent="0.2">
      <c r="A477" s="384" t="s">
        <v>12890</v>
      </c>
      <c r="B477" s="382" t="s">
        <v>308</v>
      </c>
      <c r="C477" s="878"/>
      <c r="D477" s="881"/>
      <c r="E477" s="485">
        <v>3</v>
      </c>
      <c r="F477" s="196" t="s">
        <v>12891</v>
      </c>
      <c r="G477" s="382" t="s">
        <v>143</v>
      </c>
      <c r="H477" s="461">
        <v>55.2</v>
      </c>
      <c r="I477" s="884"/>
      <c r="J477" s="461">
        <v>1593000</v>
      </c>
      <c r="K477" s="486">
        <v>572048.09</v>
      </c>
    </row>
    <row r="478" spans="1:11" x14ac:dyDescent="0.2">
      <c r="A478" s="384" t="s">
        <v>13454</v>
      </c>
      <c r="B478" s="382" t="s">
        <v>308</v>
      </c>
      <c r="C478" s="878"/>
      <c r="D478" s="881"/>
      <c r="E478" s="485">
        <v>6</v>
      </c>
      <c r="F478" s="196" t="s">
        <v>13456</v>
      </c>
      <c r="G478" s="382" t="s">
        <v>543</v>
      </c>
      <c r="H478" s="461">
        <v>54.9</v>
      </c>
      <c r="I478" s="884"/>
      <c r="J478" s="461">
        <f>1019600/688*54.9</f>
        <v>81360.523255813954</v>
      </c>
      <c r="K478" s="486">
        <v>568939.13</v>
      </c>
    </row>
    <row r="479" spans="1:11" x14ac:dyDescent="0.2">
      <c r="A479" s="384" t="s">
        <v>13455</v>
      </c>
      <c r="B479" s="382" t="s">
        <v>308</v>
      </c>
      <c r="C479" s="878"/>
      <c r="D479" s="881"/>
      <c r="E479" s="485">
        <v>8</v>
      </c>
      <c r="F479" s="196" t="s">
        <v>13457</v>
      </c>
      <c r="G479" s="382" t="s">
        <v>143</v>
      </c>
      <c r="H479" s="461">
        <v>48.8</v>
      </c>
      <c r="I479" s="884"/>
      <c r="J479" s="461">
        <v>1435000</v>
      </c>
      <c r="K479" s="486">
        <v>505723.67</v>
      </c>
    </row>
    <row r="480" spans="1:11" x14ac:dyDescent="0.2">
      <c r="A480" s="384" t="s">
        <v>13675</v>
      </c>
      <c r="B480" s="382" t="s">
        <v>308</v>
      </c>
      <c r="C480" s="878"/>
      <c r="D480" s="881"/>
      <c r="E480" s="485">
        <v>7</v>
      </c>
      <c r="F480" s="196" t="s">
        <v>13679</v>
      </c>
      <c r="G480" s="382" t="s">
        <v>143</v>
      </c>
      <c r="H480" s="461">
        <v>54.8</v>
      </c>
      <c r="I480" s="884"/>
      <c r="J480" s="461">
        <v>1630000</v>
      </c>
      <c r="K480" s="486">
        <v>567902.81000000006</v>
      </c>
    </row>
    <row r="481" spans="1:11" x14ac:dyDescent="0.2">
      <c r="A481" s="384" t="s">
        <v>13676</v>
      </c>
      <c r="B481" s="382" t="s">
        <v>308</v>
      </c>
      <c r="C481" s="878"/>
      <c r="D481" s="881"/>
      <c r="E481" s="485">
        <v>10</v>
      </c>
      <c r="F481" s="196" t="s">
        <v>13680</v>
      </c>
      <c r="G481" s="382" t="s">
        <v>543</v>
      </c>
      <c r="H481" s="461">
        <v>54.8</v>
      </c>
      <c r="I481" s="884"/>
      <c r="J481" s="461">
        <v>1653000</v>
      </c>
      <c r="K481" s="486">
        <v>567902.81000000006</v>
      </c>
    </row>
    <row r="482" spans="1:11" x14ac:dyDescent="0.2">
      <c r="A482" s="384" t="s">
        <v>13677</v>
      </c>
      <c r="B482" s="382" t="s">
        <v>308</v>
      </c>
      <c r="C482" s="878"/>
      <c r="D482" s="881"/>
      <c r="E482" s="485">
        <v>12</v>
      </c>
      <c r="F482" s="196" t="s">
        <v>13681</v>
      </c>
      <c r="G482" s="382" t="s">
        <v>543</v>
      </c>
      <c r="H482" s="461">
        <v>55.4</v>
      </c>
      <c r="I482" s="884"/>
      <c r="J482" s="461">
        <v>1952000</v>
      </c>
      <c r="K482" s="486">
        <v>574120.73</v>
      </c>
    </row>
    <row r="483" spans="1:11" x14ac:dyDescent="0.2">
      <c r="A483" s="770" t="s">
        <v>14691</v>
      </c>
      <c r="B483" s="761" t="s">
        <v>308</v>
      </c>
      <c r="C483" s="879"/>
      <c r="D483" s="882"/>
      <c r="E483" s="766">
        <v>5</v>
      </c>
      <c r="F483" s="771" t="s">
        <v>13678</v>
      </c>
      <c r="G483" s="761" t="s">
        <v>543</v>
      </c>
      <c r="H483" s="772">
        <v>48.8</v>
      </c>
      <c r="I483" s="885"/>
      <c r="J483" s="772">
        <v>1935000</v>
      </c>
      <c r="K483" s="773">
        <v>500542.08</v>
      </c>
    </row>
    <row r="484" spans="1:11" x14ac:dyDescent="0.2">
      <c r="A484" s="383" t="s">
        <v>814</v>
      </c>
      <c r="B484" s="382"/>
      <c r="C484" s="893" t="s">
        <v>12892</v>
      </c>
      <c r="D484" s="898">
        <v>17</v>
      </c>
      <c r="E484" s="485"/>
      <c r="F484" s="196"/>
      <c r="G484" s="382"/>
      <c r="H484" s="492">
        <f>685-685</f>
        <v>0</v>
      </c>
      <c r="I484" s="891">
        <v>1949</v>
      </c>
      <c r="J484" s="461">
        <f>1020900-1020900</f>
        <v>0</v>
      </c>
      <c r="K484" s="486"/>
    </row>
    <row r="485" spans="1:11" ht="12.75" customHeight="1" x14ac:dyDescent="0.2">
      <c r="A485" s="384" t="s">
        <v>815</v>
      </c>
      <c r="B485" s="382" t="s">
        <v>308</v>
      </c>
      <c r="C485" s="893"/>
      <c r="D485" s="898"/>
      <c r="E485" s="485">
        <v>1</v>
      </c>
      <c r="F485" s="196"/>
      <c r="G485" s="382"/>
      <c r="H485" s="492">
        <v>55.9</v>
      </c>
      <c r="I485" s="891"/>
      <c r="J485" s="461">
        <v>83311.401459854023</v>
      </c>
      <c r="K485" s="486"/>
    </row>
    <row r="486" spans="1:11" x14ac:dyDescent="0.2">
      <c r="A486" s="384" t="s">
        <v>1440</v>
      </c>
      <c r="B486" s="382" t="s">
        <v>308</v>
      </c>
      <c r="C486" s="893"/>
      <c r="D486" s="898"/>
      <c r="E486" s="485">
        <v>3</v>
      </c>
      <c r="F486" s="196"/>
      <c r="G486" s="382"/>
      <c r="H486" s="492">
        <v>52.6</v>
      </c>
      <c r="I486" s="891"/>
      <c r="J486" s="461">
        <v>78393.197080291982</v>
      </c>
      <c r="K486" s="486"/>
    </row>
    <row r="487" spans="1:11" x14ac:dyDescent="0.2">
      <c r="A487" s="384" t="s">
        <v>1441</v>
      </c>
      <c r="B487" s="382" t="s">
        <v>308</v>
      </c>
      <c r="C487" s="893"/>
      <c r="D487" s="898"/>
      <c r="E487" s="485">
        <v>8</v>
      </c>
      <c r="F487" s="196"/>
      <c r="G487" s="382"/>
      <c r="H487" s="492">
        <v>48.7</v>
      </c>
      <c r="I487" s="891"/>
      <c r="J487" s="461">
        <v>72580.773722627753</v>
      </c>
      <c r="K487" s="486"/>
    </row>
    <row r="488" spans="1:11" ht="12.75" customHeight="1" x14ac:dyDescent="0.2">
      <c r="A488" s="383" t="s">
        <v>816</v>
      </c>
      <c r="B488" s="382"/>
      <c r="C488" s="877" t="s">
        <v>12893</v>
      </c>
      <c r="D488" s="880">
        <v>19</v>
      </c>
      <c r="E488" s="485"/>
      <c r="F488" s="196"/>
      <c r="G488" s="382"/>
      <c r="H488" s="492">
        <f>686-686</f>
        <v>0</v>
      </c>
      <c r="I488" s="883">
        <v>1949</v>
      </c>
      <c r="J488" s="461">
        <f>1017000-1017000</f>
        <v>0</v>
      </c>
      <c r="K488" s="486"/>
    </row>
    <row r="489" spans="1:11" ht="12.75" customHeight="1" x14ac:dyDescent="0.2">
      <c r="A489" s="384" t="s">
        <v>1442</v>
      </c>
      <c r="B489" s="382" t="s">
        <v>308</v>
      </c>
      <c r="C489" s="878"/>
      <c r="D489" s="881"/>
      <c r="E489" s="485">
        <v>4</v>
      </c>
      <c r="F489" s="196"/>
      <c r="G489" s="382"/>
      <c r="H489" s="492">
        <v>55.4</v>
      </c>
      <c r="I489" s="884"/>
      <c r="J489" s="461">
        <v>82130.903790087454</v>
      </c>
      <c r="K489" s="486"/>
    </row>
    <row r="490" spans="1:11" ht="12.75" customHeight="1" x14ac:dyDescent="0.2">
      <c r="A490" s="384" t="s">
        <v>1443</v>
      </c>
      <c r="B490" s="382" t="s">
        <v>308</v>
      </c>
      <c r="C490" s="878"/>
      <c r="D490" s="881"/>
      <c r="E490" s="485">
        <v>5</v>
      </c>
      <c r="F490" s="196"/>
      <c r="G490" s="382"/>
      <c r="H490" s="492">
        <v>48.5</v>
      </c>
      <c r="I490" s="884"/>
      <c r="J490" s="461">
        <v>71901.603498542274</v>
      </c>
      <c r="K490" s="486"/>
    </row>
    <row r="491" spans="1:11" x14ac:dyDescent="0.2">
      <c r="A491" s="384" t="s">
        <v>1444</v>
      </c>
      <c r="B491" s="382" t="s">
        <v>308</v>
      </c>
      <c r="C491" s="878"/>
      <c r="D491" s="881"/>
      <c r="E491" s="485">
        <v>7</v>
      </c>
      <c r="F491" s="196"/>
      <c r="G491" s="382"/>
      <c r="H491" s="492">
        <v>55.5</v>
      </c>
      <c r="I491" s="884"/>
      <c r="J491" s="461">
        <v>82279.15451895044</v>
      </c>
      <c r="K491" s="486"/>
    </row>
    <row r="492" spans="1:11" x14ac:dyDescent="0.2">
      <c r="A492" s="843" t="s">
        <v>14849</v>
      </c>
      <c r="B492" s="768" t="s">
        <v>308</v>
      </c>
      <c r="C492" s="879"/>
      <c r="D492" s="882"/>
      <c r="E492" s="780">
        <v>6</v>
      </c>
      <c r="F492" s="761" t="s">
        <v>14850</v>
      </c>
      <c r="G492" s="761" t="s">
        <v>543</v>
      </c>
      <c r="H492" s="772">
        <v>55.1</v>
      </c>
      <c r="I492" s="885"/>
      <c r="J492" s="769">
        <v>2126000</v>
      </c>
      <c r="K492" s="763">
        <v>571011.77</v>
      </c>
    </row>
    <row r="493" spans="1:11" ht="12.75" customHeight="1" x14ac:dyDescent="0.2">
      <c r="A493" s="383" t="s">
        <v>817</v>
      </c>
      <c r="B493" s="382"/>
      <c r="C493" s="893" t="s">
        <v>12894</v>
      </c>
      <c r="D493" s="898">
        <v>1</v>
      </c>
      <c r="E493" s="485"/>
      <c r="F493" s="196" t="s">
        <v>11931</v>
      </c>
      <c r="G493" s="382"/>
      <c r="H493" s="492">
        <f>973-973</f>
        <v>0</v>
      </c>
      <c r="I493" s="891">
        <v>1955</v>
      </c>
      <c r="J493" s="461">
        <f>1404700-1404700</f>
        <v>0</v>
      </c>
      <c r="K493" s="486"/>
    </row>
    <row r="494" spans="1:11" ht="12.75" customHeight="1" x14ac:dyDescent="0.2">
      <c r="A494" s="384" t="s">
        <v>818</v>
      </c>
      <c r="B494" s="382" t="s">
        <v>308</v>
      </c>
      <c r="C494" s="893"/>
      <c r="D494" s="898"/>
      <c r="E494" s="485">
        <v>1</v>
      </c>
      <c r="F494" s="196"/>
      <c r="G494" s="382"/>
      <c r="H494" s="492">
        <v>61.5</v>
      </c>
      <c r="I494" s="891"/>
      <c r="J494" s="461">
        <v>88786.279547790342</v>
      </c>
      <c r="K494" s="486">
        <v>637336.18999999994</v>
      </c>
    </row>
    <row r="495" spans="1:11" ht="12.75" customHeight="1" x14ac:dyDescent="0.2">
      <c r="A495" s="384" t="s">
        <v>819</v>
      </c>
      <c r="B495" s="382" t="s">
        <v>308</v>
      </c>
      <c r="C495" s="893"/>
      <c r="D495" s="898"/>
      <c r="E495" s="485">
        <v>3</v>
      </c>
      <c r="F495" s="196"/>
      <c r="G495" s="382"/>
      <c r="H495" s="492">
        <v>82.4</v>
      </c>
      <c r="I495" s="891"/>
      <c r="J495" s="461">
        <v>118959.17780061666</v>
      </c>
      <c r="K495" s="486">
        <v>853926.86</v>
      </c>
    </row>
    <row r="496" spans="1:11" ht="12.75" customHeight="1" x14ac:dyDescent="0.2">
      <c r="A496" s="384" t="s">
        <v>820</v>
      </c>
      <c r="B496" s="382" t="s">
        <v>308</v>
      </c>
      <c r="C496" s="893"/>
      <c r="D496" s="898"/>
      <c r="E496" s="485">
        <v>11</v>
      </c>
      <c r="F496" s="196"/>
      <c r="G496" s="382"/>
      <c r="H496" s="492">
        <v>80.2</v>
      </c>
      <c r="I496" s="891"/>
      <c r="J496" s="461">
        <v>115783.08324768757</v>
      </c>
      <c r="K496" s="486">
        <v>831127.84</v>
      </c>
    </row>
    <row r="497" spans="1:11" x14ac:dyDescent="0.2">
      <c r="A497" s="383" t="s">
        <v>821</v>
      </c>
      <c r="B497" s="382"/>
      <c r="C497" s="893" t="s">
        <v>12895</v>
      </c>
      <c r="D497" s="898">
        <v>2</v>
      </c>
      <c r="E497" s="485"/>
      <c r="F497" s="196"/>
      <c r="G497" s="382"/>
      <c r="H497" s="492">
        <f>757-757</f>
        <v>0</v>
      </c>
      <c r="I497" s="891">
        <v>1955</v>
      </c>
      <c r="J497" s="461">
        <f>1047500-1047500</f>
        <v>0</v>
      </c>
      <c r="K497" s="486"/>
    </row>
    <row r="498" spans="1:11" ht="12.75" customHeight="1" x14ac:dyDescent="0.2">
      <c r="A498" s="384" t="s">
        <v>823</v>
      </c>
      <c r="B498" s="382" t="s">
        <v>308</v>
      </c>
      <c r="C498" s="893"/>
      <c r="D498" s="898"/>
      <c r="E498" s="485">
        <v>8</v>
      </c>
      <c r="F498" s="196"/>
      <c r="G498" s="382"/>
      <c r="H498" s="492">
        <v>54.4</v>
      </c>
      <c r="I498" s="891"/>
      <c r="J498" s="461">
        <v>75276.089828269483</v>
      </c>
      <c r="K498" s="486"/>
    </row>
    <row r="499" spans="1:11" ht="12.75" customHeight="1" x14ac:dyDescent="0.2">
      <c r="A499" s="383" t="s">
        <v>822</v>
      </c>
      <c r="B499" s="382"/>
      <c r="C499" s="893" t="s">
        <v>12896</v>
      </c>
      <c r="D499" s="898">
        <v>3</v>
      </c>
      <c r="E499" s="485"/>
      <c r="F499" s="196"/>
      <c r="G499" s="382"/>
      <c r="H499" s="492">
        <f>682-682</f>
        <v>0</v>
      </c>
      <c r="I499" s="618">
        <v>1952</v>
      </c>
      <c r="J499" s="461">
        <f>1028300-1028300</f>
        <v>0</v>
      </c>
      <c r="K499" s="486"/>
    </row>
    <row r="500" spans="1:11" x14ac:dyDescent="0.2">
      <c r="A500" s="384" t="s">
        <v>5558</v>
      </c>
      <c r="B500" s="382" t="s">
        <v>308</v>
      </c>
      <c r="C500" s="893"/>
      <c r="D500" s="898"/>
      <c r="E500" s="485">
        <v>5</v>
      </c>
      <c r="F500" s="196" t="s">
        <v>5559</v>
      </c>
      <c r="G500" s="382"/>
      <c r="H500" s="492">
        <v>47.8</v>
      </c>
      <c r="I500" s="618"/>
      <c r="J500" s="461">
        <f>1028300/682*H500</f>
        <v>72071.466275659812</v>
      </c>
      <c r="K500" s="486"/>
    </row>
    <row r="501" spans="1:11" ht="12.75" customHeight="1" x14ac:dyDescent="0.2">
      <c r="A501" s="383" t="s">
        <v>824</v>
      </c>
      <c r="B501" s="382"/>
      <c r="C501" s="877" t="s">
        <v>12897</v>
      </c>
      <c r="D501" s="880">
        <v>5</v>
      </c>
      <c r="E501" s="485"/>
      <c r="F501" s="196"/>
      <c r="G501" s="382"/>
      <c r="H501" s="492">
        <f>684-684</f>
        <v>0</v>
      </c>
      <c r="I501" s="883">
        <v>1952</v>
      </c>
      <c r="J501" s="461">
        <f>1105200-1105200</f>
        <v>0</v>
      </c>
      <c r="K501" s="486"/>
    </row>
    <row r="502" spans="1:11" ht="12.75" customHeight="1" x14ac:dyDescent="0.2">
      <c r="A502" s="384" t="s">
        <v>1445</v>
      </c>
      <c r="B502" s="382" t="s">
        <v>308</v>
      </c>
      <c r="C502" s="878"/>
      <c r="D502" s="881"/>
      <c r="E502" s="485">
        <v>5</v>
      </c>
      <c r="F502" s="196" t="s">
        <v>11605</v>
      </c>
      <c r="G502" s="382"/>
      <c r="H502" s="492">
        <v>48.2</v>
      </c>
      <c r="I502" s="884"/>
      <c r="J502" s="461">
        <v>77396.315789473694</v>
      </c>
      <c r="K502" s="486">
        <v>518243.03</v>
      </c>
    </row>
    <row r="503" spans="1:11" x14ac:dyDescent="0.2">
      <c r="A503" s="384" t="s">
        <v>1446</v>
      </c>
      <c r="B503" s="382" t="s">
        <v>308</v>
      </c>
      <c r="C503" s="878"/>
      <c r="D503" s="881"/>
      <c r="E503" s="505">
        <v>12</v>
      </c>
      <c r="F503" s="196"/>
      <c r="G503" s="382"/>
      <c r="H503" s="492">
        <v>29</v>
      </c>
      <c r="I503" s="884"/>
      <c r="J503" s="461">
        <v>46857.894736842107</v>
      </c>
      <c r="K503" s="486"/>
    </row>
    <row r="504" spans="1:11" ht="12.75" customHeight="1" x14ac:dyDescent="0.2">
      <c r="A504" s="506" t="s">
        <v>10783</v>
      </c>
      <c r="B504" s="467" t="s">
        <v>10781</v>
      </c>
      <c r="C504" s="879"/>
      <c r="D504" s="882"/>
      <c r="E504" s="507">
        <v>8</v>
      </c>
      <c r="F504" s="196" t="s">
        <v>11606</v>
      </c>
      <c r="G504" s="382" t="s">
        <v>143</v>
      </c>
      <c r="H504" s="461">
        <v>48.2</v>
      </c>
      <c r="I504" s="885"/>
      <c r="J504" s="461">
        <v>1063227</v>
      </c>
      <c r="K504" s="486">
        <v>518243.03</v>
      </c>
    </row>
    <row r="505" spans="1:11" ht="12.75" customHeight="1" x14ac:dyDescent="0.2">
      <c r="A505" s="383" t="s">
        <v>825</v>
      </c>
      <c r="B505" s="382"/>
      <c r="C505" s="893" t="s">
        <v>12898</v>
      </c>
      <c r="D505" s="898">
        <v>6</v>
      </c>
      <c r="E505" s="485"/>
      <c r="F505" s="196"/>
      <c r="G505" s="382"/>
      <c r="H505" s="492">
        <f>694-694</f>
        <v>0</v>
      </c>
      <c r="I505" s="891">
        <v>1950</v>
      </c>
      <c r="J505" s="461">
        <v>1041.4000000000001</v>
      </c>
      <c r="K505" s="486"/>
    </row>
    <row r="506" spans="1:11" x14ac:dyDescent="0.2">
      <c r="A506" s="384" t="s">
        <v>1447</v>
      </c>
      <c r="B506" s="382" t="s">
        <v>308</v>
      </c>
      <c r="C506" s="893"/>
      <c r="D506" s="898"/>
      <c r="E506" s="485">
        <v>7</v>
      </c>
      <c r="F506" s="196"/>
      <c r="G506" s="382"/>
      <c r="H506" s="492">
        <v>56.8</v>
      </c>
      <c r="I506" s="891"/>
      <c r="J506" s="461"/>
      <c r="K506" s="486"/>
    </row>
    <row r="507" spans="1:11" x14ac:dyDescent="0.2">
      <c r="A507" s="383" t="s">
        <v>826</v>
      </c>
      <c r="B507" s="382"/>
      <c r="C507" s="893" t="s">
        <v>12899</v>
      </c>
      <c r="D507" s="898">
        <v>7</v>
      </c>
      <c r="E507" s="485"/>
      <c r="F507" s="196"/>
      <c r="G507" s="382"/>
      <c r="H507" s="492">
        <f>682-682</f>
        <v>0</v>
      </c>
      <c r="I507" s="891">
        <v>1952</v>
      </c>
      <c r="J507" s="461">
        <f>1011600-1011600</f>
        <v>0</v>
      </c>
      <c r="K507" s="486"/>
    </row>
    <row r="508" spans="1:11" ht="12.75" customHeight="1" x14ac:dyDescent="0.2">
      <c r="A508" s="384" t="s">
        <v>828</v>
      </c>
      <c r="B508" s="382" t="s">
        <v>308</v>
      </c>
      <c r="C508" s="893"/>
      <c r="D508" s="898"/>
      <c r="E508" s="485">
        <v>1</v>
      </c>
      <c r="F508" s="196" t="s">
        <v>234</v>
      </c>
      <c r="G508" s="723" t="s">
        <v>143</v>
      </c>
      <c r="H508" s="492">
        <v>55.1</v>
      </c>
      <c r="I508" s="891"/>
      <c r="J508" s="461">
        <v>81728.973607038119</v>
      </c>
      <c r="K508" s="486">
        <v>571011.77</v>
      </c>
    </row>
    <row r="509" spans="1:11" ht="24" x14ac:dyDescent="0.2">
      <c r="A509" s="384" t="s">
        <v>829</v>
      </c>
      <c r="B509" s="382" t="s">
        <v>308</v>
      </c>
      <c r="C509" s="893"/>
      <c r="D509" s="898"/>
      <c r="E509" s="485">
        <v>2</v>
      </c>
      <c r="F509" s="40" t="s">
        <v>14008</v>
      </c>
      <c r="G509" s="723" t="s">
        <v>143</v>
      </c>
      <c r="H509" s="492">
        <v>48.3</v>
      </c>
      <c r="I509" s="891"/>
      <c r="J509" s="461">
        <v>71642.639296187685</v>
      </c>
      <c r="K509" s="486">
        <v>500542.08</v>
      </c>
    </row>
    <row r="510" spans="1:11" ht="12.75" customHeight="1" x14ac:dyDescent="0.2">
      <c r="A510" s="384" t="s">
        <v>830</v>
      </c>
      <c r="B510" s="382" t="s">
        <v>308</v>
      </c>
      <c r="C510" s="893"/>
      <c r="D510" s="898"/>
      <c r="E510" s="485">
        <v>8</v>
      </c>
      <c r="F510" s="196" t="s">
        <v>235</v>
      </c>
      <c r="G510" s="723" t="s">
        <v>143</v>
      </c>
      <c r="H510" s="492">
        <v>48</v>
      </c>
      <c r="I510" s="891"/>
      <c r="J510" s="461">
        <v>71197.653958944284</v>
      </c>
      <c r="K510" s="486">
        <v>497433.12</v>
      </c>
    </row>
    <row r="511" spans="1:11" x14ac:dyDescent="0.2">
      <c r="A511" s="383" t="s">
        <v>827</v>
      </c>
      <c r="B511" s="382"/>
      <c r="C511" s="893" t="s">
        <v>12900</v>
      </c>
      <c r="D511" s="898">
        <v>8</v>
      </c>
      <c r="E511" s="485"/>
      <c r="F511" s="196"/>
      <c r="G511" s="382"/>
      <c r="H511" s="492">
        <f>690-690</f>
        <v>0</v>
      </c>
      <c r="I511" s="891">
        <v>1955</v>
      </c>
      <c r="J511" s="461">
        <f>1015000-1015000</f>
        <v>0</v>
      </c>
      <c r="K511" s="486"/>
    </row>
    <row r="512" spans="1:11" ht="12.75" customHeight="1" x14ac:dyDescent="0.2">
      <c r="A512" s="384" t="s">
        <v>831</v>
      </c>
      <c r="B512" s="382" t="s">
        <v>308</v>
      </c>
      <c r="C512" s="893"/>
      <c r="D512" s="898"/>
      <c r="E512" s="485">
        <v>3</v>
      </c>
      <c r="F512" s="196" t="s">
        <v>11607</v>
      </c>
      <c r="G512" s="382"/>
      <c r="H512" s="492">
        <v>55.9</v>
      </c>
      <c r="I512" s="891"/>
      <c r="J512" s="461">
        <v>82229.710144927536</v>
      </c>
      <c r="K512" s="486">
        <v>701457.24</v>
      </c>
    </row>
    <row r="513" spans="1:11" x14ac:dyDescent="0.2">
      <c r="A513" s="384" t="s">
        <v>1448</v>
      </c>
      <c r="B513" s="382" t="s">
        <v>308</v>
      </c>
      <c r="C513" s="893"/>
      <c r="D513" s="898"/>
      <c r="E513" s="485">
        <v>7</v>
      </c>
      <c r="F513" s="196" t="s">
        <v>237</v>
      </c>
      <c r="G513" s="382"/>
      <c r="H513" s="492">
        <v>55.3</v>
      </c>
      <c r="I513" s="891"/>
      <c r="J513" s="461">
        <v>81347.10144927536</v>
      </c>
      <c r="K513" s="486">
        <v>693928.18</v>
      </c>
    </row>
    <row r="514" spans="1:11" x14ac:dyDescent="0.2">
      <c r="A514" s="384" t="s">
        <v>832</v>
      </c>
      <c r="B514" s="382" t="s">
        <v>308</v>
      </c>
      <c r="C514" s="893"/>
      <c r="D514" s="898"/>
      <c r="E514" s="485">
        <v>9</v>
      </c>
      <c r="F514" s="196" t="s">
        <v>238</v>
      </c>
      <c r="G514" s="382"/>
      <c r="H514" s="492">
        <v>57</v>
      </c>
      <c r="I514" s="891"/>
      <c r="J514" s="461">
        <v>83847.826086956527</v>
      </c>
      <c r="K514" s="486">
        <v>715280.51</v>
      </c>
    </row>
    <row r="515" spans="1:11" x14ac:dyDescent="0.2">
      <c r="A515" s="383" t="s">
        <v>833</v>
      </c>
      <c r="B515" s="382"/>
      <c r="C515" s="893" t="s">
        <v>12901</v>
      </c>
      <c r="D515" s="898">
        <v>11</v>
      </c>
      <c r="E515" s="485"/>
      <c r="F515" s="196"/>
      <c r="G515" s="382"/>
      <c r="H515" s="492">
        <f>979-979</f>
        <v>0</v>
      </c>
      <c r="I515" s="891">
        <v>1954</v>
      </c>
      <c r="J515" s="461">
        <f>1103400-1103400</f>
        <v>0</v>
      </c>
      <c r="K515" s="486"/>
    </row>
    <row r="516" spans="1:11" ht="12.75" customHeight="1" x14ac:dyDescent="0.2">
      <c r="A516" s="384" t="s">
        <v>834</v>
      </c>
      <c r="B516" s="382" t="s">
        <v>308</v>
      </c>
      <c r="C516" s="893"/>
      <c r="D516" s="898"/>
      <c r="E516" s="485">
        <v>3</v>
      </c>
      <c r="F516" s="196" t="s">
        <v>3145</v>
      </c>
      <c r="G516" s="382"/>
      <c r="H516" s="492">
        <v>83.7</v>
      </c>
      <c r="I516" s="891"/>
      <c r="J516" s="461">
        <v>94335.628192032687</v>
      </c>
      <c r="K516" s="486">
        <v>1034919.53</v>
      </c>
    </row>
    <row r="517" spans="1:11" ht="12.75" customHeight="1" x14ac:dyDescent="0.2">
      <c r="A517" s="384" t="s">
        <v>835</v>
      </c>
      <c r="B517" s="382" t="s">
        <v>308</v>
      </c>
      <c r="C517" s="893"/>
      <c r="D517" s="898"/>
      <c r="E517" s="485">
        <v>5</v>
      </c>
      <c r="F517" s="196" t="s">
        <v>3146</v>
      </c>
      <c r="G517" s="382"/>
      <c r="H517" s="492">
        <v>79.400000000000006</v>
      </c>
      <c r="I517" s="891"/>
      <c r="J517" s="461">
        <v>89489.233912155265</v>
      </c>
      <c r="K517" s="486">
        <v>981751.62</v>
      </c>
    </row>
    <row r="518" spans="1:11" x14ac:dyDescent="0.2">
      <c r="A518" s="384" t="s">
        <v>836</v>
      </c>
      <c r="B518" s="382" t="s">
        <v>308</v>
      </c>
      <c r="C518" s="893"/>
      <c r="D518" s="898"/>
      <c r="E518" s="485">
        <v>9</v>
      </c>
      <c r="F518" s="196" t="s">
        <v>3147</v>
      </c>
      <c r="G518" s="382"/>
      <c r="H518" s="492">
        <v>62.1</v>
      </c>
      <c r="I518" s="891"/>
      <c r="J518" s="461">
        <v>69990.949948927475</v>
      </c>
      <c r="K518" s="486">
        <v>779257.5</v>
      </c>
    </row>
    <row r="519" spans="1:11" x14ac:dyDescent="0.2">
      <c r="A519" s="384" t="s">
        <v>837</v>
      </c>
      <c r="B519" s="382" t="s">
        <v>308</v>
      </c>
      <c r="C519" s="893"/>
      <c r="D519" s="898"/>
      <c r="E519" s="485">
        <v>10</v>
      </c>
      <c r="F519" s="196" t="s">
        <v>11608</v>
      </c>
      <c r="G519" s="382"/>
      <c r="H519" s="492">
        <v>84.6</v>
      </c>
      <c r="I519" s="891"/>
      <c r="J519" s="461">
        <v>95349.989785495403</v>
      </c>
      <c r="K519" s="486">
        <v>1046047.7</v>
      </c>
    </row>
    <row r="520" spans="1:11" x14ac:dyDescent="0.2">
      <c r="A520" s="383" t="s">
        <v>838</v>
      </c>
      <c r="B520" s="382"/>
      <c r="C520" s="893" t="s">
        <v>12902</v>
      </c>
      <c r="D520" s="898">
        <v>12</v>
      </c>
      <c r="E520" s="485"/>
      <c r="F520" s="196"/>
      <c r="G520" s="382"/>
      <c r="H520" s="492">
        <f>1083-1083</f>
        <v>0</v>
      </c>
      <c r="I520" s="891">
        <v>1955</v>
      </c>
      <c r="J520" s="461">
        <f>1497300-1497300</f>
        <v>0</v>
      </c>
      <c r="K520" s="486"/>
    </row>
    <row r="521" spans="1:11" x14ac:dyDescent="0.2">
      <c r="A521" s="384" t="s">
        <v>839</v>
      </c>
      <c r="B521" s="382" t="s">
        <v>308</v>
      </c>
      <c r="C521" s="893"/>
      <c r="D521" s="898"/>
      <c r="E521" s="485">
        <v>1</v>
      </c>
      <c r="F521" s="196" t="s">
        <v>3148</v>
      </c>
      <c r="G521" s="382"/>
      <c r="H521" s="492">
        <v>61.9</v>
      </c>
      <c r="I521" s="891"/>
      <c r="J521" s="461">
        <v>85579.750692520771</v>
      </c>
      <c r="K521" s="486">
        <v>641481.46</v>
      </c>
    </row>
    <row r="522" spans="1:11" x14ac:dyDescent="0.2">
      <c r="A522" s="384" t="s">
        <v>1449</v>
      </c>
      <c r="B522" s="382" t="s">
        <v>308</v>
      </c>
      <c r="C522" s="893"/>
      <c r="D522" s="898"/>
      <c r="E522" s="485">
        <v>2</v>
      </c>
      <c r="F522" s="196" t="s">
        <v>3149</v>
      </c>
      <c r="G522" s="382"/>
      <c r="H522" s="492">
        <v>78.400000000000006</v>
      </c>
      <c r="I522" s="891"/>
      <c r="J522" s="461">
        <v>108391.80055401663</v>
      </c>
      <c r="K522" s="486">
        <v>812474.1</v>
      </c>
    </row>
    <row r="523" spans="1:11" x14ac:dyDescent="0.2">
      <c r="A523" s="384" t="s">
        <v>1450</v>
      </c>
      <c r="B523" s="382" t="s">
        <v>308</v>
      </c>
      <c r="C523" s="893"/>
      <c r="D523" s="898"/>
      <c r="E523" s="485">
        <v>5</v>
      </c>
      <c r="F523" s="196" t="s">
        <v>3150</v>
      </c>
      <c r="G523" s="382"/>
      <c r="H523" s="492">
        <v>78.400000000000006</v>
      </c>
      <c r="I523" s="891"/>
      <c r="J523" s="461">
        <v>69818.698060941824</v>
      </c>
      <c r="K523" s="486">
        <v>812474.1</v>
      </c>
    </row>
    <row r="524" spans="1:11" x14ac:dyDescent="0.2">
      <c r="A524" s="384" t="s">
        <v>1451</v>
      </c>
      <c r="B524" s="382" t="s">
        <v>308</v>
      </c>
      <c r="C524" s="893"/>
      <c r="D524" s="898"/>
      <c r="E524" s="485">
        <v>6</v>
      </c>
      <c r="F524" s="196" t="s">
        <v>11609</v>
      </c>
      <c r="G524" s="382"/>
      <c r="H524" s="492">
        <v>82.4</v>
      </c>
      <c r="I524" s="891"/>
      <c r="J524" s="461">
        <v>86271.024930747924</v>
      </c>
      <c r="K524" s="486">
        <v>853926.86</v>
      </c>
    </row>
    <row r="525" spans="1:11" ht="12.75" customHeight="1" x14ac:dyDescent="0.2">
      <c r="A525" s="384" t="s">
        <v>1452</v>
      </c>
      <c r="B525" s="382" t="s">
        <v>308</v>
      </c>
      <c r="C525" s="893"/>
      <c r="D525" s="898"/>
      <c r="E525" s="485">
        <v>7</v>
      </c>
      <c r="F525" s="196" t="s">
        <v>11610</v>
      </c>
      <c r="G525" s="382"/>
      <c r="H525" s="492">
        <v>79.3</v>
      </c>
      <c r="I525" s="891"/>
      <c r="J525" s="461">
        <v>108530.05540166206</v>
      </c>
      <c r="K525" s="486">
        <v>821800.97</v>
      </c>
    </row>
    <row r="526" spans="1:11" x14ac:dyDescent="0.2">
      <c r="A526" s="384" t="s">
        <v>1453</v>
      </c>
      <c r="B526" s="382" t="s">
        <v>308</v>
      </c>
      <c r="C526" s="893"/>
      <c r="D526" s="898"/>
      <c r="E526" s="485">
        <v>9</v>
      </c>
      <c r="F526" s="196" t="s">
        <v>3151</v>
      </c>
      <c r="G526" s="382"/>
      <c r="H526" s="492">
        <v>61.8</v>
      </c>
      <c r="I526" s="891"/>
      <c r="J526" s="461">
        <v>85441.495844875346</v>
      </c>
      <c r="K526" s="486">
        <v>640445.14</v>
      </c>
    </row>
    <row r="527" spans="1:11" x14ac:dyDescent="0.2">
      <c r="A527" s="384" t="s">
        <v>1454</v>
      </c>
      <c r="B527" s="382" t="s">
        <v>308</v>
      </c>
      <c r="C527" s="893"/>
      <c r="D527" s="898"/>
      <c r="E527" s="485">
        <v>11</v>
      </c>
      <c r="F527" s="934" t="s">
        <v>3152</v>
      </c>
      <c r="G527" s="892">
        <v>78.3</v>
      </c>
      <c r="H527" s="492">
        <v>27.8</v>
      </c>
      <c r="I527" s="891"/>
      <c r="J527" s="461">
        <v>38434.847645429363</v>
      </c>
      <c r="K527" s="935">
        <v>811437.78</v>
      </c>
    </row>
    <row r="528" spans="1:11" ht="12.75" customHeight="1" x14ac:dyDescent="0.2">
      <c r="A528" s="384" t="s">
        <v>1455</v>
      </c>
      <c r="B528" s="382" t="s">
        <v>308</v>
      </c>
      <c r="C528" s="893"/>
      <c r="D528" s="898"/>
      <c r="E528" s="472" t="s">
        <v>236</v>
      </c>
      <c r="F528" s="934"/>
      <c r="G528" s="892"/>
      <c r="H528" s="492">
        <v>50.5</v>
      </c>
      <c r="I528" s="891"/>
      <c r="J528" s="461">
        <v>69818.698060941824</v>
      </c>
      <c r="K528" s="935"/>
    </row>
    <row r="529" spans="1:11" ht="25.5" x14ac:dyDescent="0.2">
      <c r="A529" s="383" t="s">
        <v>840</v>
      </c>
      <c r="B529" s="382" t="s">
        <v>11567</v>
      </c>
      <c r="C529" s="617" t="s">
        <v>12903</v>
      </c>
      <c r="D529" s="619">
        <v>15</v>
      </c>
      <c r="E529" s="485"/>
      <c r="F529" s="196" t="s">
        <v>6787</v>
      </c>
      <c r="G529" s="382"/>
      <c r="H529" s="492">
        <v>38.6</v>
      </c>
      <c r="I529" s="618">
        <v>1954</v>
      </c>
      <c r="J529" s="461">
        <v>73000</v>
      </c>
      <c r="K529" s="486">
        <v>400019.13</v>
      </c>
    </row>
    <row r="530" spans="1:11" ht="25.5" x14ac:dyDescent="0.2">
      <c r="A530" s="383" t="s">
        <v>841</v>
      </c>
      <c r="B530" s="382" t="s">
        <v>11567</v>
      </c>
      <c r="C530" s="617" t="s">
        <v>12904</v>
      </c>
      <c r="D530" s="619">
        <v>19</v>
      </c>
      <c r="E530" s="485"/>
      <c r="F530" s="196" t="s">
        <v>239</v>
      </c>
      <c r="G530" s="382"/>
      <c r="H530" s="492">
        <v>39</v>
      </c>
      <c r="I530" s="618">
        <v>1954</v>
      </c>
      <c r="J530" s="461">
        <v>76800</v>
      </c>
      <c r="K530" s="486">
        <v>310717.28000000003</v>
      </c>
    </row>
    <row r="531" spans="1:11" x14ac:dyDescent="0.2">
      <c r="A531" s="383" t="s">
        <v>842</v>
      </c>
      <c r="B531" s="382"/>
      <c r="C531" s="893" t="s">
        <v>12905</v>
      </c>
      <c r="D531" s="898">
        <v>16</v>
      </c>
      <c r="E531" s="485"/>
      <c r="F531" s="196"/>
      <c r="G531" s="382"/>
      <c r="H531" s="492">
        <f>147.3-147.3</f>
        <v>0</v>
      </c>
      <c r="I531" s="891">
        <v>1992</v>
      </c>
      <c r="J531" s="461">
        <f>441000-441000</f>
        <v>0</v>
      </c>
      <c r="K531" s="486"/>
    </row>
    <row r="532" spans="1:11" x14ac:dyDescent="0.2">
      <c r="A532" s="384" t="s">
        <v>1456</v>
      </c>
      <c r="B532" s="382" t="s">
        <v>308</v>
      </c>
      <c r="C532" s="893"/>
      <c r="D532" s="898"/>
      <c r="E532" s="485">
        <v>1</v>
      </c>
      <c r="F532" s="196" t="s">
        <v>240</v>
      </c>
      <c r="G532" s="382"/>
      <c r="H532" s="492">
        <v>73.3</v>
      </c>
      <c r="I532" s="891"/>
      <c r="J532" s="461">
        <v>219452.13849287166</v>
      </c>
      <c r="K532" s="486">
        <v>852940.73</v>
      </c>
    </row>
    <row r="533" spans="1:11" ht="25.5" x14ac:dyDescent="0.2">
      <c r="A533" s="383" t="s">
        <v>843</v>
      </c>
      <c r="B533" s="382" t="s">
        <v>308</v>
      </c>
      <c r="C533" s="617" t="s">
        <v>12906</v>
      </c>
      <c r="D533" s="619" t="s">
        <v>380</v>
      </c>
      <c r="E533" s="485">
        <v>3</v>
      </c>
      <c r="F533" s="196" t="s">
        <v>421</v>
      </c>
      <c r="G533" s="382"/>
      <c r="H533" s="492">
        <f>400-361.7</f>
        <v>38.300000000000011</v>
      </c>
      <c r="I533" s="618">
        <v>1976</v>
      </c>
      <c r="J533" s="461">
        <f>798800/400*38.3</f>
        <v>76485.099999999991</v>
      </c>
      <c r="K533" s="486">
        <v>505440.89</v>
      </c>
    </row>
    <row r="534" spans="1:11" ht="26.25" customHeight="1" x14ac:dyDescent="0.2">
      <c r="A534" s="383" t="s">
        <v>844</v>
      </c>
      <c r="B534" s="382" t="s">
        <v>308</v>
      </c>
      <c r="C534" s="617" t="s">
        <v>12907</v>
      </c>
      <c r="D534" s="619" t="s">
        <v>381</v>
      </c>
      <c r="E534" s="485">
        <v>2</v>
      </c>
      <c r="F534" s="196" t="s">
        <v>309</v>
      </c>
      <c r="G534" s="382"/>
      <c r="H534" s="492">
        <v>73.7</v>
      </c>
      <c r="I534" s="618">
        <v>1986</v>
      </c>
      <c r="J534" s="461">
        <v>459200</v>
      </c>
      <c r="K534" s="486">
        <v>857595.31</v>
      </c>
    </row>
    <row r="535" spans="1:11" ht="25.5" x14ac:dyDescent="0.2">
      <c r="A535" s="383" t="s">
        <v>845</v>
      </c>
      <c r="B535" s="382" t="s">
        <v>308</v>
      </c>
      <c r="C535" s="617" t="s">
        <v>12908</v>
      </c>
      <c r="D535" s="619">
        <v>4</v>
      </c>
      <c r="E535" s="485">
        <v>2</v>
      </c>
      <c r="F535" s="196"/>
      <c r="G535" s="382"/>
      <c r="H535" s="492">
        <f>127-62.3</f>
        <v>64.7</v>
      </c>
      <c r="I535" s="618">
        <v>1984</v>
      </c>
      <c r="J535" s="461">
        <f>359000/127*64.7</f>
        <v>182892.12598425196</v>
      </c>
      <c r="K535" s="486"/>
    </row>
    <row r="536" spans="1:11" ht="25.5" x14ac:dyDescent="0.2">
      <c r="A536" s="383" t="s">
        <v>846</v>
      </c>
      <c r="B536" s="382" t="s">
        <v>308</v>
      </c>
      <c r="C536" s="617" t="s">
        <v>12909</v>
      </c>
      <c r="D536" s="619">
        <v>1</v>
      </c>
      <c r="E536" s="485">
        <v>1</v>
      </c>
      <c r="F536" s="196" t="s">
        <v>286</v>
      </c>
      <c r="G536" s="382"/>
      <c r="H536" s="492">
        <v>70.8</v>
      </c>
      <c r="I536" s="618">
        <v>1988</v>
      </c>
      <c r="J536" s="461">
        <v>459000</v>
      </c>
      <c r="K536" s="486">
        <v>823850.04</v>
      </c>
    </row>
    <row r="537" spans="1:11" x14ac:dyDescent="0.2">
      <c r="A537" s="383" t="s">
        <v>847</v>
      </c>
      <c r="B537" s="382"/>
      <c r="C537" s="877" t="s">
        <v>12910</v>
      </c>
      <c r="D537" s="880">
        <v>3</v>
      </c>
      <c r="E537" s="485"/>
      <c r="F537" s="196" t="s">
        <v>3956</v>
      </c>
      <c r="G537" s="382"/>
      <c r="H537" s="461">
        <f>144.3-144.3</f>
        <v>0</v>
      </c>
      <c r="I537" s="883">
        <v>1989</v>
      </c>
      <c r="J537" s="461">
        <f>628100-628100</f>
        <v>0</v>
      </c>
      <c r="K537" s="486">
        <v>1919379.03</v>
      </c>
    </row>
    <row r="538" spans="1:11" ht="12.75" customHeight="1" x14ac:dyDescent="0.2">
      <c r="A538" s="384" t="s">
        <v>3955</v>
      </c>
      <c r="B538" s="382" t="s">
        <v>308</v>
      </c>
      <c r="C538" s="878"/>
      <c r="D538" s="881"/>
      <c r="E538" s="485">
        <v>1</v>
      </c>
      <c r="F538" s="196" t="s">
        <v>3957</v>
      </c>
      <c r="G538" s="382"/>
      <c r="H538" s="461">
        <v>71.099999999999994</v>
      </c>
      <c r="I538" s="884"/>
      <c r="J538" s="461">
        <f>628100/144.3*H538</f>
        <v>309479.62577962573</v>
      </c>
      <c r="K538" s="486">
        <v>827340.93</v>
      </c>
    </row>
    <row r="539" spans="1:11" ht="25.5" x14ac:dyDescent="0.2">
      <c r="A539" s="383" t="s">
        <v>848</v>
      </c>
      <c r="B539" s="382" t="s">
        <v>308</v>
      </c>
      <c r="C539" s="617" t="s">
        <v>12911</v>
      </c>
      <c r="D539" s="619">
        <v>45</v>
      </c>
      <c r="E539" s="485">
        <v>3</v>
      </c>
      <c r="F539" s="196" t="s">
        <v>11611</v>
      </c>
      <c r="G539" s="382"/>
      <c r="H539" s="492">
        <v>65.3</v>
      </c>
      <c r="I539" s="618">
        <v>1993</v>
      </c>
      <c r="J539" s="461">
        <v>483100</v>
      </c>
      <c r="K539" s="486">
        <v>676716.31</v>
      </c>
    </row>
    <row r="540" spans="1:11" ht="38.25" x14ac:dyDescent="0.2">
      <c r="A540" s="383" t="s">
        <v>849</v>
      </c>
      <c r="B540" s="382"/>
      <c r="C540" s="617" t="s">
        <v>12912</v>
      </c>
      <c r="D540" s="619">
        <v>11</v>
      </c>
      <c r="E540" s="485">
        <v>1</v>
      </c>
      <c r="F540" s="196"/>
      <c r="G540" s="382"/>
      <c r="H540" s="461">
        <v>57.7</v>
      </c>
      <c r="I540" s="618">
        <v>1997</v>
      </c>
      <c r="J540" s="461">
        <f>309490/(57.2+57.7)*57.7</f>
        <v>155418.38990426456</v>
      </c>
      <c r="K540" s="486"/>
    </row>
    <row r="541" spans="1:11" x14ac:dyDescent="0.2">
      <c r="A541" s="383" t="s">
        <v>850</v>
      </c>
      <c r="B541" s="382"/>
      <c r="C541" s="893" t="s">
        <v>12913</v>
      </c>
      <c r="D541" s="898" t="s">
        <v>408</v>
      </c>
      <c r="E541" s="485"/>
      <c r="F541" s="196"/>
      <c r="G541" s="382"/>
      <c r="H541" s="461">
        <f>739.1-739.1</f>
        <v>0</v>
      </c>
      <c r="I541" s="891">
        <v>1970</v>
      </c>
      <c r="J541" s="461">
        <f>2101100-2101100</f>
        <v>0</v>
      </c>
      <c r="K541" s="486"/>
    </row>
    <row r="542" spans="1:11" x14ac:dyDescent="0.2">
      <c r="A542" s="384" t="s">
        <v>1457</v>
      </c>
      <c r="B542" s="382" t="s">
        <v>308</v>
      </c>
      <c r="C542" s="893"/>
      <c r="D542" s="898"/>
      <c r="E542" s="485">
        <v>11</v>
      </c>
      <c r="F542" s="508"/>
      <c r="G542" s="382"/>
      <c r="H542" s="461">
        <v>41.6</v>
      </c>
      <c r="I542" s="891"/>
      <c r="J542" s="461">
        <v>118259.72128264105</v>
      </c>
      <c r="K542" s="486"/>
    </row>
    <row r="543" spans="1:11" ht="12.75" customHeight="1" x14ac:dyDescent="0.2">
      <c r="A543" s="384" t="s">
        <v>1458</v>
      </c>
      <c r="B543" s="382" t="s">
        <v>308</v>
      </c>
      <c r="C543" s="893"/>
      <c r="D543" s="898"/>
      <c r="E543" s="485">
        <v>15</v>
      </c>
      <c r="F543" s="508"/>
      <c r="G543" s="382"/>
      <c r="H543" s="461">
        <v>41.3</v>
      </c>
      <c r="I543" s="891"/>
      <c r="J543" s="461">
        <v>117406.88675416046</v>
      </c>
      <c r="K543" s="486"/>
    </row>
    <row r="544" spans="1:11" x14ac:dyDescent="0.2">
      <c r="A544" s="384" t="s">
        <v>1459</v>
      </c>
      <c r="B544" s="382" t="s">
        <v>308</v>
      </c>
      <c r="C544" s="893"/>
      <c r="D544" s="898"/>
      <c r="E544" s="485">
        <v>16</v>
      </c>
      <c r="F544" s="508"/>
      <c r="G544" s="382"/>
      <c r="H544" s="461">
        <v>41.5</v>
      </c>
      <c r="I544" s="891"/>
      <c r="J544" s="461">
        <v>117975.44310648086</v>
      </c>
      <c r="K544" s="486"/>
    </row>
    <row r="545" spans="1:11" x14ac:dyDescent="0.2">
      <c r="A545" s="383" t="s">
        <v>851</v>
      </c>
      <c r="B545" s="382"/>
      <c r="C545" s="878" t="s">
        <v>12914</v>
      </c>
      <c r="D545" s="880" t="s">
        <v>4990</v>
      </c>
      <c r="E545" s="509"/>
      <c r="F545" s="295"/>
      <c r="G545" s="382"/>
      <c r="H545" s="461">
        <f>108.5-108.5</f>
        <v>0</v>
      </c>
      <c r="I545" s="883">
        <v>1977</v>
      </c>
      <c r="J545" s="461">
        <f>367900-150889.86</f>
        <v>217010.14</v>
      </c>
      <c r="K545" s="486"/>
    </row>
    <row r="546" spans="1:11" ht="12.75" customHeight="1" x14ac:dyDescent="0.2">
      <c r="A546" s="384" t="s">
        <v>6792</v>
      </c>
      <c r="B546" s="382" t="s">
        <v>308</v>
      </c>
      <c r="C546" s="878"/>
      <c r="D546" s="881"/>
      <c r="E546" s="510" t="s">
        <v>380</v>
      </c>
      <c r="F546" s="295"/>
      <c r="G546" s="382"/>
      <c r="H546" s="461">
        <v>29.4</v>
      </c>
      <c r="I546" s="884"/>
      <c r="J546" s="461">
        <f>367900/108.5*H546</f>
        <v>99689.032258064501</v>
      </c>
      <c r="K546" s="486"/>
    </row>
    <row r="547" spans="1:11" x14ac:dyDescent="0.2">
      <c r="A547" s="384" t="s">
        <v>6793</v>
      </c>
      <c r="B547" s="382" t="s">
        <v>308</v>
      </c>
      <c r="C547" s="879"/>
      <c r="D547" s="882"/>
      <c r="E547" s="509">
        <v>2</v>
      </c>
      <c r="F547" s="295"/>
      <c r="G547" s="382"/>
      <c r="H547" s="461">
        <v>40.200000000000003</v>
      </c>
      <c r="I547" s="885"/>
      <c r="J547" s="461">
        <f>367900/108.5*H547</f>
        <v>136309.49308755761</v>
      </c>
      <c r="K547" s="486"/>
    </row>
    <row r="548" spans="1:11" x14ac:dyDescent="0.2">
      <c r="A548" s="383" t="s">
        <v>852</v>
      </c>
      <c r="B548" s="382"/>
      <c r="C548" s="877" t="s">
        <v>12915</v>
      </c>
      <c r="D548" s="932" t="s">
        <v>4991</v>
      </c>
      <c r="E548" s="485"/>
      <c r="F548" s="196"/>
      <c r="G548" s="382"/>
      <c r="H548" s="461">
        <f>89.8-89.8</f>
        <v>0</v>
      </c>
      <c r="I548" s="883">
        <v>1977</v>
      </c>
      <c r="J548" s="461">
        <f>426600-426600</f>
        <v>0</v>
      </c>
      <c r="K548" s="486"/>
    </row>
    <row r="549" spans="1:11" ht="12.75" customHeight="1" x14ac:dyDescent="0.2">
      <c r="A549" s="384" t="s">
        <v>6794</v>
      </c>
      <c r="B549" s="382" t="s">
        <v>308</v>
      </c>
      <c r="C549" s="878"/>
      <c r="D549" s="933"/>
      <c r="E549" s="485">
        <v>1</v>
      </c>
      <c r="F549" s="196"/>
      <c r="G549" s="382"/>
      <c r="H549" s="461">
        <v>45</v>
      </c>
      <c r="I549" s="884"/>
      <c r="J549" s="461">
        <f>426600/89.8*H549</f>
        <v>213775.05567928732</v>
      </c>
      <c r="K549" s="486"/>
    </row>
    <row r="550" spans="1:11" ht="12.75" customHeight="1" x14ac:dyDescent="0.2">
      <c r="A550" s="383" t="s">
        <v>853</v>
      </c>
      <c r="B550" s="382"/>
      <c r="C550" s="877" t="s">
        <v>12916</v>
      </c>
      <c r="D550" s="880">
        <v>9</v>
      </c>
      <c r="E550" s="485"/>
      <c r="F550" s="196"/>
      <c r="G550" s="382"/>
      <c r="H550" s="461">
        <f>135.1-135.1</f>
        <v>0</v>
      </c>
      <c r="I550" s="883">
        <v>1989</v>
      </c>
      <c r="J550" s="461">
        <f>491700-491700</f>
        <v>0</v>
      </c>
      <c r="K550" s="486"/>
    </row>
    <row r="551" spans="1:11" ht="24" customHeight="1" x14ac:dyDescent="0.2">
      <c r="A551" s="384" t="s">
        <v>6795</v>
      </c>
      <c r="B551" s="382" t="s">
        <v>308</v>
      </c>
      <c r="C551" s="879"/>
      <c r="D551" s="882"/>
      <c r="E551" s="504" t="s">
        <v>5475</v>
      </c>
      <c r="F551" s="196"/>
      <c r="G551" s="382"/>
      <c r="H551" s="461">
        <v>66.8</v>
      </c>
      <c r="I551" s="885"/>
      <c r="J551" s="461">
        <f>491700/135.1*H551</f>
        <v>243120.35529237601</v>
      </c>
      <c r="K551" s="486"/>
    </row>
    <row r="552" spans="1:11" x14ac:dyDescent="0.2">
      <c r="A552" s="466" t="s">
        <v>854</v>
      </c>
      <c r="B552" s="382"/>
      <c r="C552" s="877" t="s">
        <v>5512</v>
      </c>
      <c r="D552" s="880" t="s">
        <v>409</v>
      </c>
      <c r="E552" s="485"/>
      <c r="F552" s="40"/>
      <c r="G552" s="382"/>
      <c r="H552" s="461">
        <f>141.5-141.5</f>
        <v>0</v>
      </c>
      <c r="I552" s="883">
        <v>1940</v>
      </c>
      <c r="J552" s="461">
        <f>234800-234800</f>
        <v>0</v>
      </c>
      <c r="K552" s="486"/>
    </row>
    <row r="553" spans="1:11" x14ac:dyDescent="0.2">
      <c r="A553" s="384" t="s">
        <v>10502</v>
      </c>
      <c r="B553" s="382" t="s">
        <v>308</v>
      </c>
      <c r="C553" s="878"/>
      <c r="D553" s="881"/>
      <c r="E553" s="485">
        <v>1</v>
      </c>
      <c r="F553" s="40"/>
      <c r="G553" s="382"/>
      <c r="H553" s="461">
        <v>53.1</v>
      </c>
      <c r="I553" s="884"/>
      <c r="J553" s="461">
        <f>234800/141.5*H553</f>
        <v>88112.2261484099</v>
      </c>
      <c r="K553" s="486"/>
    </row>
    <row r="554" spans="1:11" ht="12.75" customHeight="1" x14ac:dyDescent="0.2">
      <c r="A554" s="384" t="s">
        <v>10503</v>
      </c>
      <c r="B554" s="382" t="s">
        <v>308</v>
      </c>
      <c r="C554" s="878"/>
      <c r="D554" s="881"/>
      <c r="E554" s="485">
        <v>2</v>
      </c>
      <c r="F554" s="40"/>
      <c r="G554" s="382"/>
      <c r="H554" s="461">
        <v>30</v>
      </c>
      <c r="I554" s="884"/>
      <c r="J554" s="461">
        <f>234800/141.5*H554</f>
        <v>49780.918727915196</v>
      </c>
      <c r="K554" s="486"/>
    </row>
    <row r="555" spans="1:11" x14ac:dyDescent="0.2">
      <c r="A555" s="384" t="s">
        <v>10504</v>
      </c>
      <c r="B555" s="382" t="s">
        <v>308</v>
      </c>
      <c r="C555" s="879"/>
      <c r="D555" s="882"/>
      <c r="E555" s="485">
        <v>3</v>
      </c>
      <c r="F555" s="40"/>
      <c r="G555" s="382"/>
      <c r="H555" s="461">
        <v>58.4</v>
      </c>
      <c r="I555" s="885"/>
      <c r="J555" s="461">
        <f>234800/141.5*H555</f>
        <v>96906.855123674904</v>
      </c>
      <c r="K555" s="486"/>
    </row>
    <row r="556" spans="1:11" x14ac:dyDescent="0.2">
      <c r="A556" s="466" t="s">
        <v>855</v>
      </c>
      <c r="B556" s="382"/>
      <c r="C556" s="877" t="s">
        <v>5512</v>
      </c>
      <c r="D556" s="880" t="s">
        <v>409</v>
      </c>
      <c r="E556" s="485"/>
      <c r="F556" s="40"/>
      <c r="G556" s="382"/>
      <c r="H556" s="461">
        <f>182.5-182.5</f>
        <v>0</v>
      </c>
      <c r="I556" s="883">
        <v>1940</v>
      </c>
      <c r="J556" s="461">
        <f>335900-335900</f>
        <v>0</v>
      </c>
      <c r="K556" s="486"/>
    </row>
    <row r="557" spans="1:11" x14ac:dyDescent="0.2">
      <c r="A557" s="384" t="s">
        <v>10505</v>
      </c>
      <c r="B557" s="382" t="s">
        <v>308</v>
      </c>
      <c r="C557" s="878"/>
      <c r="D557" s="881"/>
      <c r="E557" s="485">
        <v>1</v>
      </c>
      <c r="F557" s="40"/>
      <c r="G557" s="382"/>
      <c r="H557" s="461">
        <v>44.6</v>
      </c>
      <c r="I557" s="884"/>
      <c r="J557" s="461">
        <f>335900/182.5*H557</f>
        <v>82088.438356164392</v>
      </c>
      <c r="K557" s="486"/>
    </row>
    <row r="558" spans="1:11" x14ac:dyDescent="0.2">
      <c r="A558" s="384" t="s">
        <v>10506</v>
      </c>
      <c r="B558" s="382" t="s">
        <v>308</v>
      </c>
      <c r="C558" s="878"/>
      <c r="D558" s="881"/>
      <c r="E558" s="485">
        <v>2</v>
      </c>
      <c r="F558" s="40"/>
      <c r="G558" s="382"/>
      <c r="H558" s="461">
        <v>35.1</v>
      </c>
      <c r="I558" s="884"/>
      <c r="J558" s="461">
        <f>335900/182.5*H558</f>
        <v>64603.232876712333</v>
      </c>
      <c r="K558" s="486"/>
    </row>
    <row r="559" spans="1:11" x14ac:dyDescent="0.2">
      <c r="A559" s="384" t="s">
        <v>10507</v>
      </c>
      <c r="B559" s="382" t="s">
        <v>308</v>
      </c>
      <c r="C559" s="878"/>
      <c r="D559" s="881"/>
      <c r="E559" s="485">
        <v>3</v>
      </c>
      <c r="F559" s="40"/>
      <c r="G559" s="382"/>
      <c r="H559" s="461">
        <v>30.7</v>
      </c>
      <c r="I559" s="884"/>
      <c r="J559" s="461">
        <f>335900/182.5*H559</f>
        <v>56504.821917808214</v>
      </c>
      <c r="K559" s="486"/>
    </row>
    <row r="560" spans="1:11" ht="36" customHeight="1" x14ac:dyDescent="0.2">
      <c r="A560" s="384" t="s">
        <v>10508</v>
      </c>
      <c r="B560" s="382" t="s">
        <v>308</v>
      </c>
      <c r="C560" s="878"/>
      <c r="D560" s="881"/>
      <c r="E560" s="485">
        <v>4</v>
      </c>
      <c r="F560" s="40"/>
      <c r="G560" s="382"/>
      <c r="H560" s="461">
        <v>30.3</v>
      </c>
      <c r="I560" s="884"/>
      <c r="J560" s="461">
        <f>335900/182.5*H560</f>
        <v>55768.602739726026</v>
      </c>
      <c r="K560" s="486"/>
    </row>
    <row r="561" spans="1:11" x14ac:dyDescent="0.2">
      <c r="A561" s="384" t="s">
        <v>10509</v>
      </c>
      <c r="B561" s="382" t="s">
        <v>308</v>
      </c>
      <c r="C561" s="879"/>
      <c r="D561" s="882"/>
      <c r="E561" s="485">
        <v>5</v>
      </c>
      <c r="F561" s="40"/>
      <c r="G561" s="382"/>
      <c r="H561" s="461">
        <v>41.8</v>
      </c>
      <c r="I561" s="885"/>
      <c r="J561" s="461">
        <f>335900/182.5*H561</f>
        <v>76934.904109589028</v>
      </c>
      <c r="K561" s="486"/>
    </row>
    <row r="562" spans="1:11" ht="36" x14ac:dyDescent="0.2">
      <c r="A562" s="466" t="s">
        <v>856</v>
      </c>
      <c r="B562" s="382"/>
      <c r="C562" s="877" t="s">
        <v>5513</v>
      </c>
      <c r="D562" s="880" t="s">
        <v>409</v>
      </c>
      <c r="E562" s="485"/>
      <c r="F562" s="40"/>
      <c r="G562" s="196" t="s">
        <v>10501</v>
      </c>
      <c r="H562" s="461">
        <f>123.8-14.9-29.8-33.1-33.8</f>
        <v>12.199999999999996</v>
      </c>
      <c r="I562" s="883">
        <v>1932</v>
      </c>
      <c r="J562" s="461">
        <f>305900-305900</f>
        <v>0</v>
      </c>
      <c r="K562" s="486"/>
    </row>
    <row r="563" spans="1:11" x14ac:dyDescent="0.2">
      <c r="A563" s="384" t="s">
        <v>10497</v>
      </c>
      <c r="B563" s="382" t="s">
        <v>308</v>
      </c>
      <c r="C563" s="878"/>
      <c r="D563" s="881"/>
      <c r="E563" s="485">
        <v>1</v>
      </c>
      <c r="F563" s="40"/>
      <c r="G563" s="382"/>
      <c r="H563" s="461">
        <v>14.9</v>
      </c>
      <c r="I563" s="884"/>
      <c r="J563" s="461">
        <f>305900/123.8*H563</f>
        <v>36816.720516962843</v>
      </c>
      <c r="K563" s="486"/>
    </row>
    <row r="564" spans="1:11" x14ac:dyDescent="0.2">
      <c r="A564" s="384" t="s">
        <v>10498</v>
      </c>
      <c r="B564" s="382" t="s">
        <v>308</v>
      </c>
      <c r="C564" s="878"/>
      <c r="D564" s="881"/>
      <c r="E564" s="485">
        <v>2</v>
      </c>
      <c r="F564" s="40"/>
      <c r="G564" s="382"/>
      <c r="H564" s="461">
        <v>29.8</v>
      </c>
      <c r="I564" s="884"/>
      <c r="J564" s="461">
        <f>305900/123.8*H564</f>
        <v>73633.441033925686</v>
      </c>
      <c r="K564" s="486"/>
    </row>
    <row r="565" spans="1:11" ht="12.75" customHeight="1" x14ac:dyDescent="0.2">
      <c r="A565" s="384" t="s">
        <v>10499</v>
      </c>
      <c r="B565" s="382" t="s">
        <v>308</v>
      </c>
      <c r="C565" s="878"/>
      <c r="D565" s="881"/>
      <c r="E565" s="485">
        <v>3</v>
      </c>
      <c r="F565" s="40"/>
      <c r="G565" s="382"/>
      <c r="H565" s="461">
        <v>33.1</v>
      </c>
      <c r="I565" s="884"/>
      <c r="J565" s="461">
        <f>305900/123.8*H565</f>
        <v>81787.47980613893</v>
      </c>
      <c r="K565" s="486"/>
    </row>
    <row r="566" spans="1:11" x14ac:dyDescent="0.2">
      <c r="A566" s="384" t="s">
        <v>10500</v>
      </c>
      <c r="B566" s="382" t="s">
        <v>308</v>
      </c>
      <c r="C566" s="879"/>
      <c r="D566" s="882"/>
      <c r="E566" s="485">
        <v>4</v>
      </c>
      <c r="F566" s="40"/>
      <c r="G566" s="382"/>
      <c r="H566" s="461">
        <v>33.799999999999997</v>
      </c>
      <c r="I566" s="885"/>
      <c r="J566" s="461">
        <f>305900/123.8*H566</f>
        <v>83517.124394184153</v>
      </c>
      <c r="K566" s="486"/>
    </row>
    <row r="567" spans="1:11" x14ac:dyDescent="0.2">
      <c r="A567" s="383" t="s">
        <v>857</v>
      </c>
      <c r="B567" s="382"/>
      <c r="C567" s="877" t="s">
        <v>5511</v>
      </c>
      <c r="D567" s="880" t="s">
        <v>409</v>
      </c>
      <c r="E567" s="485"/>
      <c r="F567" s="196"/>
      <c r="G567" s="382"/>
      <c r="H567" s="461">
        <f>113-113</f>
        <v>0</v>
      </c>
      <c r="I567" s="883">
        <v>1984</v>
      </c>
      <c r="J567" s="461">
        <f>661200-661200</f>
        <v>0</v>
      </c>
      <c r="K567" s="486"/>
    </row>
    <row r="568" spans="1:11" ht="12.75" customHeight="1" x14ac:dyDescent="0.2">
      <c r="A568" s="384" t="s">
        <v>3157</v>
      </c>
      <c r="B568" s="382" t="s">
        <v>308</v>
      </c>
      <c r="C568" s="878"/>
      <c r="D568" s="881"/>
      <c r="E568" s="485">
        <v>1</v>
      </c>
      <c r="F568" s="196" t="s">
        <v>3159</v>
      </c>
      <c r="G568" s="382"/>
      <c r="H568" s="461">
        <v>56.5</v>
      </c>
      <c r="I568" s="884"/>
      <c r="J568" s="461">
        <f>661200/113*H568</f>
        <v>330600</v>
      </c>
      <c r="K568" s="486">
        <v>657450.94999999995</v>
      </c>
    </row>
    <row r="569" spans="1:11" x14ac:dyDescent="0.2">
      <c r="A569" s="384" t="s">
        <v>3158</v>
      </c>
      <c r="B569" s="382" t="s">
        <v>308</v>
      </c>
      <c r="C569" s="879"/>
      <c r="D569" s="882"/>
      <c r="E569" s="485">
        <v>2</v>
      </c>
      <c r="F569" s="196" t="s">
        <v>3160</v>
      </c>
      <c r="G569" s="382"/>
      <c r="H569" s="461">
        <v>56.5</v>
      </c>
      <c r="I569" s="885"/>
      <c r="J569" s="461">
        <f>661200/113*H569</f>
        <v>330600</v>
      </c>
      <c r="K569" s="486">
        <v>657450.94999999995</v>
      </c>
    </row>
    <row r="570" spans="1:11" x14ac:dyDescent="0.2">
      <c r="A570" s="383" t="s">
        <v>858</v>
      </c>
      <c r="B570" s="382"/>
      <c r="C570" s="877" t="s">
        <v>12917</v>
      </c>
      <c r="D570" s="880">
        <v>30</v>
      </c>
      <c r="E570" s="485"/>
      <c r="F570" s="196"/>
      <c r="G570" s="382"/>
      <c r="H570" s="461">
        <f>381.3-381.3</f>
        <v>0</v>
      </c>
      <c r="I570" s="883">
        <v>1981</v>
      </c>
      <c r="J570" s="461">
        <f>1595100-1595100</f>
        <v>0</v>
      </c>
      <c r="K570" s="486"/>
    </row>
    <row r="571" spans="1:11" ht="12.75" customHeight="1" x14ac:dyDescent="0.2">
      <c r="A571" s="384" t="s">
        <v>3153</v>
      </c>
      <c r="B571" s="382" t="s">
        <v>308</v>
      </c>
      <c r="C571" s="878"/>
      <c r="D571" s="881"/>
      <c r="E571" s="485">
        <v>3</v>
      </c>
      <c r="F571" s="196" t="s">
        <v>3161</v>
      </c>
      <c r="G571" s="382"/>
      <c r="H571" s="461">
        <v>52.6</v>
      </c>
      <c r="I571" s="884"/>
      <c r="J571" s="461">
        <f>1595100/381.3*H571</f>
        <v>220042.6435877262</v>
      </c>
      <c r="K571" s="486">
        <v>660047.42000000004</v>
      </c>
    </row>
    <row r="572" spans="1:11" x14ac:dyDescent="0.2">
      <c r="A572" s="384" t="s">
        <v>3154</v>
      </c>
      <c r="B572" s="382" t="s">
        <v>308</v>
      </c>
      <c r="C572" s="878"/>
      <c r="D572" s="881"/>
      <c r="E572" s="485">
        <v>4</v>
      </c>
      <c r="F572" s="196" t="s">
        <v>3164</v>
      </c>
      <c r="G572" s="382"/>
      <c r="H572" s="461">
        <v>43.6</v>
      </c>
      <c r="I572" s="884"/>
      <c r="J572" s="461">
        <f>1595100/381.3*H572</f>
        <v>182392.7616050354</v>
      </c>
      <c r="K572" s="486">
        <v>559320.42000000004</v>
      </c>
    </row>
    <row r="573" spans="1:11" x14ac:dyDescent="0.2">
      <c r="A573" s="384" t="s">
        <v>3155</v>
      </c>
      <c r="B573" s="382" t="s">
        <v>308</v>
      </c>
      <c r="C573" s="878"/>
      <c r="D573" s="881"/>
      <c r="E573" s="485">
        <v>6</v>
      </c>
      <c r="F573" s="196" t="s">
        <v>3162</v>
      </c>
      <c r="G573" s="382"/>
      <c r="H573" s="461">
        <v>51</v>
      </c>
      <c r="I573" s="884"/>
      <c r="J573" s="461">
        <f>1595100/381.3*H573</f>
        <v>213349.33123524781</v>
      </c>
      <c r="K573" s="486">
        <v>639969.93000000005</v>
      </c>
    </row>
    <row r="574" spans="1:11" ht="25.5" customHeight="1" x14ac:dyDescent="0.2">
      <c r="A574" s="384" t="s">
        <v>3156</v>
      </c>
      <c r="B574" s="382" t="s">
        <v>308</v>
      </c>
      <c r="C574" s="879"/>
      <c r="D574" s="882"/>
      <c r="E574" s="485">
        <v>8</v>
      </c>
      <c r="F574" s="196" t="s">
        <v>3163</v>
      </c>
      <c r="G574" s="382"/>
      <c r="H574" s="461">
        <v>42.1</v>
      </c>
      <c r="I574" s="885"/>
      <c r="J574" s="461">
        <f>1595100/381.3*H574</f>
        <v>176117.78127458695</v>
      </c>
      <c r="K574" s="486">
        <v>540077.74</v>
      </c>
    </row>
    <row r="575" spans="1:11" ht="38.25" x14ac:dyDescent="0.2">
      <c r="A575" s="383" t="s">
        <v>859</v>
      </c>
      <c r="B575" s="382" t="s">
        <v>323</v>
      </c>
      <c r="C575" s="617" t="s">
        <v>5569</v>
      </c>
      <c r="D575" s="451" t="s">
        <v>409</v>
      </c>
      <c r="E575" s="485"/>
      <c r="F575" s="196"/>
      <c r="G575" s="486"/>
      <c r="H575" s="461">
        <v>83.5</v>
      </c>
      <c r="I575" s="618">
        <v>1992</v>
      </c>
      <c r="J575" s="461">
        <v>157100</v>
      </c>
      <c r="K575" s="486"/>
    </row>
    <row r="576" spans="1:11" ht="25.5" x14ac:dyDescent="0.2">
      <c r="A576" s="383" t="s">
        <v>860</v>
      </c>
      <c r="B576" s="382"/>
      <c r="C576" s="877" t="s">
        <v>12918</v>
      </c>
      <c r="D576" s="880">
        <v>1</v>
      </c>
      <c r="E576" s="485"/>
      <c r="F576" s="196"/>
      <c r="G576" s="486" t="s">
        <v>5426</v>
      </c>
      <c r="H576" s="461">
        <f>742-30.9-711.1</f>
        <v>0</v>
      </c>
      <c r="I576" s="883">
        <v>1970</v>
      </c>
      <c r="J576" s="461">
        <f>2187432-91093.97-2096338.03</f>
        <v>0</v>
      </c>
      <c r="K576" s="486"/>
    </row>
    <row r="577" spans="1:11" ht="24" customHeight="1" x14ac:dyDescent="0.2">
      <c r="A577" s="384" t="s">
        <v>4304</v>
      </c>
      <c r="B577" s="382" t="s">
        <v>308</v>
      </c>
      <c r="C577" s="878"/>
      <c r="D577" s="881"/>
      <c r="E577" s="485">
        <v>2</v>
      </c>
      <c r="F577" s="196"/>
      <c r="G577" s="486" t="s">
        <v>143</v>
      </c>
      <c r="H577" s="461">
        <v>43.8</v>
      </c>
      <c r="I577" s="884"/>
      <c r="J577" s="461">
        <f>2187432/742*H577</f>
        <v>129123.34447439353</v>
      </c>
      <c r="K577" s="486"/>
    </row>
    <row r="578" spans="1:11" ht="12.75" customHeight="1" x14ac:dyDescent="0.2">
      <c r="A578" s="384" t="s">
        <v>4305</v>
      </c>
      <c r="B578" s="382" t="s">
        <v>308</v>
      </c>
      <c r="C578" s="878"/>
      <c r="D578" s="881"/>
      <c r="E578" s="485">
        <v>4</v>
      </c>
      <c r="F578" s="196" t="s">
        <v>4307</v>
      </c>
      <c r="G578" s="486" t="s">
        <v>143</v>
      </c>
      <c r="H578" s="461">
        <v>42.5</v>
      </c>
      <c r="I578" s="884"/>
      <c r="J578" s="461">
        <f>2187432/742*H578</f>
        <v>125290.91644204852</v>
      </c>
      <c r="K578" s="486">
        <v>545209.13</v>
      </c>
    </row>
    <row r="579" spans="1:11" x14ac:dyDescent="0.2">
      <c r="A579" s="384" t="s">
        <v>4306</v>
      </c>
      <c r="B579" s="382" t="s">
        <v>308</v>
      </c>
      <c r="C579" s="879"/>
      <c r="D579" s="882"/>
      <c r="E579" s="485">
        <v>10</v>
      </c>
      <c r="F579" s="196"/>
      <c r="G579" s="486" t="s">
        <v>143</v>
      </c>
      <c r="H579" s="461">
        <v>51.7</v>
      </c>
      <c r="I579" s="885"/>
      <c r="J579" s="461">
        <f>2187432/742*H579</f>
        <v>152412.71482479785</v>
      </c>
      <c r="K579" s="486"/>
    </row>
    <row r="580" spans="1:11" x14ac:dyDescent="0.2">
      <c r="A580" s="466" t="s">
        <v>861</v>
      </c>
      <c r="B580" s="467"/>
      <c r="C580" s="921" t="s">
        <v>13798</v>
      </c>
      <c r="D580" s="924">
        <v>2</v>
      </c>
      <c r="E580" s="511"/>
      <c r="F580" s="40"/>
      <c r="G580" s="512"/>
      <c r="H580" s="500">
        <f>499.9-499.9</f>
        <v>0</v>
      </c>
      <c r="I580" s="903">
        <v>1984</v>
      </c>
      <c r="J580" s="500">
        <f>858376-858376</f>
        <v>0</v>
      </c>
      <c r="K580" s="512"/>
    </row>
    <row r="581" spans="1:11" ht="12.75" customHeight="1" x14ac:dyDescent="0.2">
      <c r="A581" s="506" t="s">
        <v>10556</v>
      </c>
      <c r="B581" s="467" t="s">
        <v>308</v>
      </c>
      <c r="C581" s="922"/>
      <c r="D581" s="925"/>
      <c r="E581" s="511">
        <v>1</v>
      </c>
      <c r="F581" s="40"/>
      <c r="G581" s="512" t="s">
        <v>143</v>
      </c>
      <c r="H581" s="500">
        <v>71.5</v>
      </c>
      <c r="I581" s="927"/>
      <c r="J581" s="500">
        <f>858376/499.9*H581</f>
        <v>122772.3224644929</v>
      </c>
      <c r="K581" s="512"/>
    </row>
    <row r="582" spans="1:11" x14ac:dyDescent="0.2">
      <c r="A582" s="506" t="s">
        <v>10557</v>
      </c>
      <c r="B582" s="467" t="s">
        <v>308</v>
      </c>
      <c r="C582" s="922"/>
      <c r="D582" s="925"/>
      <c r="E582" s="511">
        <v>2</v>
      </c>
      <c r="F582" s="40"/>
      <c r="G582" s="512" t="s">
        <v>143</v>
      </c>
      <c r="H582" s="500">
        <v>52.3</v>
      </c>
      <c r="I582" s="927"/>
      <c r="J582" s="500">
        <f t="shared" ref="J582:J588" si="4">858376/499.9*H582</f>
        <v>89804.090418083608</v>
      </c>
      <c r="K582" s="512"/>
    </row>
    <row r="583" spans="1:11" x14ac:dyDescent="0.2">
      <c r="A583" s="506" t="s">
        <v>10558</v>
      </c>
      <c r="B583" s="467" t="s">
        <v>308</v>
      </c>
      <c r="C583" s="922"/>
      <c r="D583" s="925"/>
      <c r="E583" s="511">
        <v>3</v>
      </c>
      <c r="F583" s="40"/>
      <c r="G583" s="512" t="s">
        <v>543</v>
      </c>
      <c r="H583" s="500">
        <v>72.400000000000006</v>
      </c>
      <c r="I583" s="927"/>
      <c r="J583" s="500">
        <f t="shared" si="4"/>
        <v>124317.70834166835</v>
      </c>
      <c r="K583" s="512"/>
    </row>
    <row r="584" spans="1:11" x14ac:dyDescent="0.2">
      <c r="A584" s="506" t="s">
        <v>10559</v>
      </c>
      <c r="B584" s="467" t="s">
        <v>308</v>
      </c>
      <c r="C584" s="922"/>
      <c r="D584" s="925"/>
      <c r="E584" s="511">
        <v>4</v>
      </c>
      <c r="F584" s="40"/>
      <c r="G584" s="512" t="s">
        <v>543</v>
      </c>
      <c r="H584" s="500">
        <v>52.6</v>
      </c>
      <c r="I584" s="927"/>
      <c r="J584" s="500">
        <f t="shared" si="4"/>
        <v>90319.219043808756</v>
      </c>
      <c r="K584" s="512"/>
    </row>
    <row r="585" spans="1:11" x14ac:dyDescent="0.2">
      <c r="A585" s="506" t="s">
        <v>10560</v>
      </c>
      <c r="B585" s="467" t="s">
        <v>308</v>
      </c>
      <c r="C585" s="922"/>
      <c r="D585" s="925"/>
      <c r="E585" s="511">
        <v>5</v>
      </c>
      <c r="F585" s="40"/>
      <c r="G585" s="512" t="s">
        <v>143</v>
      </c>
      <c r="H585" s="500">
        <v>53.3</v>
      </c>
      <c r="I585" s="927"/>
      <c r="J585" s="500">
        <f t="shared" si="4"/>
        <v>91521.185837167432</v>
      </c>
      <c r="K585" s="512"/>
    </row>
    <row r="586" spans="1:11" x14ac:dyDescent="0.2">
      <c r="A586" s="506" t="s">
        <v>10561</v>
      </c>
      <c r="B586" s="467" t="s">
        <v>308</v>
      </c>
      <c r="C586" s="922"/>
      <c r="D586" s="925"/>
      <c r="E586" s="511">
        <v>6</v>
      </c>
      <c r="F586" s="40"/>
      <c r="G586" s="512" t="s">
        <v>143</v>
      </c>
      <c r="H586" s="500">
        <v>72</v>
      </c>
      <c r="I586" s="927"/>
      <c r="J586" s="500">
        <f t="shared" si="4"/>
        <v>123630.8701740348</v>
      </c>
      <c r="K586" s="512"/>
    </row>
    <row r="587" spans="1:11" ht="12.75" customHeight="1" x14ac:dyDescent="0.2">
      <c r="A587" s="506" t="s">
        <v>10562</v>
      </c>
      <c r="B587" s="467" t="s">
        <v>308</v>
      </c>
      <c r="C587" s="922"/>
      <c r="D587" s="925"/>
      <c r="E587" s="511">
        <v>7</v>
      </c>
      <c r="F587" s="40"/>
      <c r="G587" s="512" t="s">
        <v>543</v>
      </c>
      <c r="H587" s="500">
        <v>54</v>
      </c>
      <c r="I587" s="927"/>
      <c r="J587" s="500">
        <f t="shared" si="4"/>
        <v>92723.152630526107</v>
      </c>
      <c r="K587" s="512"/>
    </row>
    <row r="588" spans="1:11" x14ac:dyDescent="0.2">
      <c r="A588" s="506" t="s">
        <v>10563</v>
      </c>
      <c r="B588" s="467" t="s">
        <v>308</v>
      </c>
      <c r="C588" s="923"/>
      <c r="D588" s="926"/>
      <c r="E588" s="511">
        <v>8</v>
      </c>
      <c r="F588" s="40"/>
      <c r="G588" s="512" t="s">
        <v>543</v>
      </c>
      <c r="H588" s="500">
        <v>71.8</v>
      </c>
      <c r="I588" s="928"/>
      <c r="J588" s="500">
        <f t="shared" si="4"/>
        <v>123287.45109021803</v>
      </c>
      <c r="K588" s="512"/>
    </row>
    <row r="589" spans="1:11" x14ac:dyDescent="0.2">
      <c r="A589" s="466" t="s">
        <v>862</v>
      </c>
      <c r="B589" s="467"/>
      <c r="C589" s="921" t="s">
        <v>13799</v>
      </c>
      <c r="D589" s="924">
        <v>3</v>
      </c>
      <c r="E589" s="511"/>
      <c r="F589" s="40"/>
      <c r="G589" s="512"/>
      <c r="H589" s="500">
        <f>498.2-498.2</f>
        <v>0</v>
      </c>
      <c r="I589" s="903">
        <v>1984</v>
      </c>
      <c r="J589" s="500">
        <f>858376-858376</f>
        <v>0</v>
      </c>
      <c r="K589" s="512"/>
    </row>
    <row r="590" spans="1:11" ht="12.75" customHeight="1" x14ac:dyDescent="0.2">
      <c r="A590" s="506" t="s">
        <v>10564</v>
      </c>
      <c r="B590" s="467" t="s">
        <v>308</v>
      </c>
      <c r="C590" s="922"/>
      <c r="D590" s="925"/>
      <c r="E590" s="511">
        <v>1</v>
      </c>
      <c r="F590" s="40"/>
      <c r="G590" s="512" t="s">
        <v>143</v>
      </c>
      <c r="H590" s="500">
        <v>72.900000000000006</v>
      </c>
      <c r="I590" s="927"/>
      <c r="J590" s="500">
        <f>858376/498.2*H590</f>
        <v>125603.39301485349</v>
      </c>
      <c r="K590" s="512"/>
    </row>
    <row r="591" spans="1:11" x14ac:dyDescent="0.2">
      <c r="A591" s="506" t="s">
        <v>10565</v>
      </c>
      <c r="B591" s="467" t="s">
        <v>308</v>
      </c>
      <c r="C591" s="922"/>
      <c r="D591" s="925"/>
      <c r="E591" s="511">
        <v>2</v>
      </c>
      <c r="F591" s="40"/>
      <c r="G591" s="512" t="s">
        <v>143</v>
      </c>
      <c r="H591" s="500">
        <v>50.8</v>
      </c>
      <c r="I591" s="927"/>
      <c r="J591" s="500">
        <f t="shared" ref="J591:J597" si="5">858376/498.2*H591</f>
        <v>87526.095543958247</v>
      </c>
      <c r="K591" s="512"/>
    </row>
    <row r="592" spans="1:11" x14ac:dyDescent="0.2">
      <c r="A592" s="506" t="s">
        <v>10566</v>
      </c>
      <c r="B592" s="467" t="s">
        <v>308</v>
      </c>
      <c r="C592" s="922"/>
      <c r="D592" s="925"/>
      <c r="E592" s="511">
        <v>3</v>
      </c>
      <c r="F592" s="40"/>
      <c r="G592" s="512" t="s">
        <v>543</v>
      </c>
      <c r="H592" s="500">
        <v>73.2</v>
      </c>
      <c r="I592" s="927"/>
      <c r="J592" s="500">
        <f t="shared" si="5"/>
        <v>126120.2794058611</v>
      </c>
      <c r="K592" s="512"/>
    </row>
    <row r="593" spans="1:11" x14ac:dyDescent="0.2">
      <c r="A593" s="506" t="s">
        <v>10567</v>
      </c>
      <c r="B593" s="467" t="s">
        <v>308</v>
      </c>
      <c r="C593" s="922"/>
      <c r="D593" s="925"/>
      <c r="E593" s="511">
        <v>4</v>
      </c>
      <c r="F593" s="40"/>
      <c r="G593" s="512" t="s">
        <v>543</v>
      </c>
      <c r="H593" s="500">
        <v>52.4</v>
      </c>
      <c r="I593" s="927"/>
      <c r="J593" s="500">
        <f t="shared" si="5"/>
        <v>90282.822962665596</v>
      </c>
      <c r="K593" s="512"/>
    </row>
    <row r="594" spans="1:11" x14ac:dyDescent="0.2">
      <c r="A594" s="506" t="s">
        <v>10568</v>
      </c>
      <c r="B594" s="467" t="s">
        <v>308</v>
      </c>
      <c r="C594" s="922"/>
      <c r="D594" s="925"/>
      <c r="E594" s="511">
        <v>5</v>
      </c>
      <c r="F594" s="40"/>
      <c r="G594" s="512" t="s">
        <v>143</v>
      </c>
      <c r="H594" s="500">
        <v>52.3</v>
      </c>
      <c r="I594" s="927"/>
      <c r="J594" s="500">
        <f t="shared" si="5"/>
        <v>90110.52749899638</v>
      </c>
      <c r="K594" s="512"/>
    </row>
    <row r="595" spans="1:11" x14ac:dyDescent="0.2">
      <c r="A595" s="506" t="s">
        <v>10569</v>
      </c>
      <c r="B595" s="467" t="s">
        <v>308</v>
      </c>
      <c r="C595" s="922"/>
      <c r="D595" s="925"/>
      <c r="E595" s="511">
        <v>6</v>
      </c>
      <c r="F595" s="40"/>
      <c r="G595" s="512" t="s">
        <v>143</v>
      </c>
      <c r="H595" s="500">
        <v>72.599999999999994</v>
      </c>
      <c r="I595" s="927"/>
      <c r="J595" s="500">
        <f t="shared" si="5"/>
        <v>125086.50662384584</v>
      </c>
      <c r="K595" s="512"/>
    </row>
    <row r="596" spans="1:11" ht="15" customHeight="1" x14ac:dyDescent="0.2">
      <c r="A596" s="506" t="s">
        <v>10570</v>
      </c>
      <c r="B596" s="467" t="s">
        <v>308</v>
      </c>
      <c r="C596" s="922"/>
      <c r="D596" s="925"/>
      <c r="E596" s="511">
        <v>7</v>
      </c>
      <c r="F596" s="40"/>
      <c r="G596" s="512" t="s">
        <v>543</v>
      </c>
      <c r="H596" s="500">
        <v>52.3</v>
      </c>
      <c r="I596" s="927"/>
      <c r="J596" s="500">
        <f t="shared" si="5"/>
        <v>90110.52749899638</v>
      </c>
      <c r="K596" s="512"/>
    </row>
    <row r="597" spans="1:11" x14ac:dyDescent="0.2">
      <c r="A597" s="506" t="s">
        <v>10571</v>
      </c>
      <c r="B597" s="467" t="s">
        <v>308</v>
      </c>
      <c r="C597" s="923"/>
      <c r="D597" s="926"/>
      <c r="E597" s="511">
        <v>8</v>
      </c>
      <c r="F597" s="40"/>
      <c r="G597" s="512" t="s">
        <v>543</v>
      </c>
      <c r="H597" s="500">
        <v>71.7</v>
      </c>
      <c r="I597" s="928"/>
      <c r="J597" s="500">
        <f t="shared" si="5"/>
        <v>123535.84745082297</v>
      </c>
      <c r="K597" s="512"/>
    </row>
    <row r="598" spans="1:11" ht="25.5" x14ac:dyDescent="0.2">
      <c r="A598" s="466" t="s">
        <v>863</v>
      </c>
      <c r="B598" s="467"/>
      <c r="C598" s="921" t="s">
        <v>5568</v>
      </c>
      <c r="D598" s="929" t="s">
        <v>409</v>
      </c>
      <c r="E598" s="511"/>
      <c r="F598" s="40"/>
      <c r="G598" s="512" t="s">
        <v>10579</v>
      </c>
      <c r="H598" s="500">
        <f>179.9-179.9</f>
        <v>0</v>
      </c>
      <c r="I598" s="903">
        <v>1940</v>
      </c>
      <c r="J598" s="500">
        <f>967272-967272</f>
        <v>0</v>
      </c>
      <c r="K598" s="512"/>
    </row>
    <row r="599" spans="1:11" ht="12.75" customHeight="1" x14ac:dyDescent="0.2">
      <c r="A599" s="506" t="s">
        <v>10574</v>
      </c>
      <c r="B599" s="467" t="s">
        <v>308</v>
      </c>
      <c r="C599" s="922"/>
      <c r="D599" s="930"/>
      <c r="E599" s="511">
        <v>1</v>
      </c>
      <c r="F599" s="40"/>
      <c r="G599" s="512" t="s">
        <v>143</v>
      </c>
      <c r="H599" s="500">
        <v>50.2</v>
      </c>
      <c r="I599" s="927"/>
      <c r="J599" s="500">
        <f>967272/179.9*H599</f>
        <v>269911.36409116175</v>
      </c>
      <c r="K599" s="512"/>
    </row>
    <row r="600" spans="1:11" x14ac:dyDescent="0.2">
      <c r="A600" s="506" t="s">
        <v>10575</v>
      </c>
      <c r="B600" s="467" t="s">
        <v>308</v>
      </c>
      <c r="C600" s="922"/>
      <c r="D600" s="930"/>
      <c r="E600" s="511">
        <v>2</v>
      </c>
      <c r="F600" s="40"/>
      <c r="G600" s="512" t="s">
        <v>143</v>
      </c>
      <c r="H600" s="500">
        <v>35.1</v>
      </c>
      <c r="I600" s="927"/>
      <c r="J600" s="500">
        <f>967272/179.9*H600</f>
        <v>188722.88604780432</v>
      </c>
      <c r="K600" s="512"/>
    </row>
    <row r="601" spans="1:11" x14ac:dyDescent="0.2">
      <c r="A601" s="506" t="s">
        <v>10576</v>
      </c>
      <c r="B601" s="467" t="s">
        <v>308</v>
      </c>
      <c r="C601" s="922"/>
      <c r="D601" s="930"/>
      <c r="E601" s="511">
        <v>3</v>
      </c>
      <c r="F601" s="40"/>
      <c r="G601" s="512" t="s">
        <v>143</v>
      </c>
      <c r="H601" s="500">
        <v>30.1</v>
      </c>
      <c r="I601" s="927"/>
      <c r="J601" s="500">
        <f>967272/179.9*H601</f>
        <v>161839.2840466926</v>
      </c>
      <c r="K601" s="512"/>
    </row>
    <row r="602" spans="1:11" ht="25.5" customHeight="1" x14ac:dyDescent="0.2">
      <c r="A602" s="506" t="s">
        <v>10577</v>
      </c>
      <c r="B602" s="467" t="s">
        <v>308</v>
      </c>
      <c r="C602" s="922"/>
      <c r="D602" s="930"/>
      <c r="E602" s="511">
        <v>4</v>
      </c>
      <c r="F602" s="40"/>
      <c r="G602" s="512" t="s">
        <v>143</v>
      </c>
      <c r="H602" s="500">
        <v>29.5</v>
      </c>
      <c r="I602" s="927"/>
      <c r="J602" s="500">
        <f>967272/179.9*H602</f>
        <v>158613.25180655919</v>
      </c>
      <c r="K602" s="512"/>
    </row>
    <row r="603" spans="1:11" x14ac:dyDescent="0.2">
      <c r="A603" s="506" t="s">
        <v>10578</v>
      </c>
      <c r="B603" s="467" t="s">
        <v>308</v>
      </c>
      <c r="C603" s="923"/>
      <c r="D603" s="931"/>
      <c r="E603" s="511">
        <v>5</v>
      </c>
      <c r="F603" s="40"/>
      <c r="G603" s="512" t="s">
        <v>143</v>
      </c>
      <c r="H603" s="500">
        <v>35</v>
      </c>
      <c r="I603" s="928"/>
      <c r="J603" s="500">
        <f>967272/179.9*H603</f>
        <v>188185.21400778208</v>
      </c>
      <c r="K603" s="512"/>
    </row>
    <row r="604" spans="1:11" ht="25.5" x14ac:dyDescent="0.2">
      <c r="A604" s="466" t="s">
        <v>864</v>
      </c>
      <c r="B604" s="467"/>
      <c r="C604" s="921" t="s">
        <v>5568</v>
      </c>
      <c r="D604" s="924" t="s">
        <v>409</v>
      </c>
      <c r="E604" s="511"/>
      <c r="F604" s="40"/>
      <c r="G604" s="512" t="s">
        <v>10584</v>
      </c>
      <c r="H604" s="500">
        <f>173.3-173.3</f>
        <v>0</v>
      </c>
      <c r="I604" s="903">
        <v>1970</v>
      </c>
      <c r="J604" s="500">
        <f>505120-505120</f>
        <v>0</v>
      </c>
      <c r="K604" s="512"/>
    </row>
    <row r="605" spans="1:11" ht="12.75" customHeight="1" x14ac:dyDescent="0.2">
      <c r="A605" s="506" t="s">
        <v>10580</v>
      </c>
      <c r="B605" s="467" t="s">
        <v>308</v>
      </c>
      <c r="C605" s="922"/>
      <c r="D605" s="925"/>
      <c r="E605" s="511">
        <v>1</v>
      </c>
      <c r="F605" s="40"/>
      <c r="G605" s="512" t="s">
        <v>143</v>
      </c>
      <c r="H605" s="500">
        <v>43</v>
      </c>
      <c r="I605" s="927"/>
      <c r="J605" s="500">
        <f>505120/173.3*H605</f>
        <v>125332.71783035198</v>
      </c>
      <c r="K605" s="512"/>
    </row>
    <row r="606" spans="1:11" x14ac:dyDescent="0.2">
      <c r="A606" s="506" t="s">
        <v>10581</v>
      </c>
      <c r="B606" s="467" t="s">
        <v>308</v>
      </c>
      <c r="C606" s="922"/>
      <c r="D606" s="925"/>
      <c r="E606" s="511">
        <v>2</v>
      </c>
      <c r="F606" s="40"/>
      <c r="G606" s="512" t="s">
        <v>143</v>
      </c>
      <c r="H606" s="500">
        <v>43.6</v>
      </c>
      <c r="I606" s="927"/>
      <c r="J606" s="500">
        <f>505120/173.3*H606</f>
        <v>127081.54645124062</v>
      </c>
      <c r="K606" s="512"/>
    </row>
    <row r="607" spans="1:11" ht="25.5" customHeight="1" x14ac:dyDescent="0.2">
      <c r="A607" s="506" t="s">
        <v>10582</v>
      </c>
      <c r="B607" s="467" t="s">
        <v>308</v>
      </c>
      <c r="C607" s="922"/>
      <c r="D607" s="925"/>
      <c r="E607" s="511">
        <v>3</v>
      </c>
      <c r="F607" s="40"/>
      <c r="G607" s="512" t="s">
        <v>143</v>
      </c>
      <c r="H607" s="500">
        <v>43.6</v>
      </c>
      <c r="I607" s="927"/>
      <c r="J607" s="500">
        <f>505120/173.3*H607</f>
        <v>127081.54645124062</v>
      </c>
      <c r="K607" s="512"/>
    </row>
    <row r="608" spans="1:11" x14ac:dyDescent="0.2">
      <c r="A608" s="506" t="s">
        <v>10583</v>
      </c>
      <c r="B608" s="467" t="s">
        <v>308</v>
      </c>
      <c r="C608" s="923"/>
      <c r="D608" s="926"/>
      <c r="E608" s="511">
        <v>4</v>
      </c>
      <c r="F608" s="40"/>
      <c r="G608" s="512" t="s">
        <v>143</v>
      </c>
      <c r="H608" s="500">
        <v>43.1</v>
      </c>
      <c r="I608" s="928"/>
      <c r="J608" s="500">
        <f>505120/173.3*H608</f>
        <v>125624.18926716676</v>
      </c>
      <c r="K608" s="512"/>
    </row>
    <row r="609" spans="1:11" ht="25.5" x14ac:dyDescent="0.2">
      <c r="A609" s="383" t="s">
        <v>865</v>
      </c>
      <c r="B609" s="382"/>
      <c r="C609" s="877" t="s">
        <v>12919</v>
      </c>
      <c r="D609" s="880">
        <v>5</v>
      </c>
      <c r="E609" s="485"/>
      <c r="F609" s="196" t="s">
        <v>6296</v>
      </c>
      <c r="G609" s="486" t="s">
        <v>2865</v>
      </c>
      <c r="H609" s="461">
        <f>374.2-374.2</f>
        <v>0</v>
      </c>
      <c r="I609" s="883">
        <v>1984</v>
      </c>
      <c r="J609" s="461">
        <f>1116500-1116500</f>
        <v>0</v>
      </c>
      <c r="K609" s="486"/>
    </row>
    <row r="610" spans="1:11" ht="24" customHeight="1" x14ac:dyDescent="0.2">
      <c r="A610" s="384" t="s">
        <v>4308</v>
      </c>
      <c r="B610" s="382" t="s">
        <v>308</v>
      </c>
      <c r="C610" s="878"/>
      <c r="D610" s="881"/>
      <c r="E610" s="485">
        <v>3</v>
      </c>
      <c r="F610" s="196"/>
      <c r="G610" s="486"/>
      <c r="H610" s="461">
        <v>47.5</v>
      </c>
      <c r="I610" s="884"/>
      <c r="J610" s="461"/>
      <c r="K610" s="486"/>
    </row>
    <row r="611" spans="1:11" x14ac:dyDescent="0.2">
      <c r="A611" s="384" t="s">
        <v>4309</v>
      </c>
      <c r="B611" s="382" t="s">
        <v>308</v>
      </c>
      <c r="C611" s="878"/>
      <c r="D611" s="881"/>
      <c r="E611" s="485">
        <v>4</v>
      </c>
      <c r="F611" s="196"/>
      <c r="G611" s="486"/>
      <c r="H611" s="461">
        <v>44.5</v>
      </c>
      <c r="I611" s="884"/>
      <c r="J611" s="461"/>
      <c r="K611" s="486"/>
    </row>
    <row r="612" spans="1:11" x14ac:dyDescent="0.2">
      <c r="A612" s="466" t="s">
        <v>866</v>
      </c>
      <c r="B612" s="467"/>
      <c r="C612" s="921" t="s">
        <v>13800</v>
      </c>
      <c r="D612" s="924">
        <v>6</v>
      </c>
      <c r="E612" s="511"/>
      <c r="F612" s="40"/>
      <c r="G612" s="467"/>
      <c r="H612" s="500">
        <f>141.2-141.2</f>
        <v>0</v>
      </c>
      <c r="I612" s="903">
        <v>1989</v>
      </c>
      <c r="J612" s="500">
        <f>670760-670760</f>
        <v>0</v>
      </c>
      <c r="K612" s="512"/>
    </row>
    <row r="613" spans="1:11" ht="12.75" customHeight="1" x14ac:dyDescent="0.2">
      <c r="A613" s="506" t="s">
        <v>10572</v>
      </c>
      <c r="B613" s="467" t="s">
        <v>308</v>
      </c>
      <c r="C613" s="922"/>
      <c r="D613" s="925"/>
      <c r="E613" s="511">
        <v>1</v>
      </c>
      <c r="F613" s="40"/>
      <c r="G613" s="467" t="s">
        <v>143</v>
      </c>
      <c r="H613" s="500">
        <v>70.599999999999994</v>
      </c>
      <c r="I613" s="927"/>
      <c r="J613" s="500">
        <f>670760/141.2*H613</f>
        <v>335380</v>
      </c>
      <c r="K613" s="512"/>
    </row>
    <row r="614" spans="1:11" x14ac:dyDescent="0.2">
      <c r="A614" s="506" t="s">
        <v>10573</v>
      </c>
      <c r="B614" s="467"/>
      <c r="C614" s="923"/>
      <c r="D614" s="926"/>
      <c r="E614" s="511">
        <v>2</v>
      </c>
      <c r="F614" s="40"/>
      <c r="G614" s="467" t="s">
        <v>143</v>
      </c>
      <c r="H614" s="500">
        <v>70.599999999999994</v>
      </c>
      <c r="I614" s="928"/>
      <c r="J614" s="500">
        <f>670760/141.2*H614</f>
        <v>335380</v>
      </c>
      <c r="K614" s="512"/>
    </row>
    <row r="615" spans="1:11" x14ac:dyDescent="0.2">
      <c r="A615" s="383" t="s">
        <v>867</v>
      </c>
      <c r="B615" s="382"/>
      <c r="C615" s="877" t="s">
        <v>12920</v>
      </c>
      <c r="D615" s="880">
        <v>4</v>
      </c>
      <c r="E615" s="485"/>
      <c r="F615" s="196"/>
      <c r="G615" s="382"/>
      <c r="H615" s="461">
        <f>3411.3-3411.3</f>
        <v>0</v>
      </c>
      <c r="I615" s="883">
        <v>1975</v>
      </c>
      <c r="J615" s="461">
        <f>6245600-6245600</f>
        <v>0</v>
      </c>
      <c r="K615" s="486"/>
    </row>
    <row r="616" spans="1:11" ht="12.75" customHeight="1" x14ac:dyDescent="0.2">
      <c r="A616" s="384" t="s">
        <v>1460</v>
      </c>
      <c r="B616" s="382" t="s">
        <v>308</v>
      </c>
      <c r="C616" s="878"/>
      <c r="D616" s="881"/>
      <c r="E616" s="485">
        <v>33</v>
      </c>
      <c r="F616" s="196"/>
      <c r="G616" s="382"/>
      <c r="H616" s="513">
        <v>29.6</v>
      </c>
      <c r="I616" s="884"/>
      <c r="J616" s="461">
        <v>54193.345645355141</v>
      </c>
      <c r="K616" s="486"/>
    </row>
    <row r="617" spans="1:11" x14ac:dyDescent="0.2">
      <c r="A617" s="383" t="s">
        <v>868</v>
      </c>
      <c r="B617" s="382"/>
      <c r="C617" s="877" t="s">
        <v>12921</v>
      </c>
      <c r="D617" s="880">
        <v>6</v>
      </c>
      <c r="E617" s="485"/>
      <c r="F617" s="196"/>
      <c r="G617" s="486"/>
      <c r="H617" s="461">
        <f>3386.6-3386.6</f>
        <v>0</v>
      </c>
      <c r="I617" s="883">
        <v>1973</v>
      </c>
      <c r="J617" s="461">
        <f>6805200-6805200</f>
        <v>0</v>
      </c>
      <c r="K617" s="486"/>
    </row>
    <row r="618" spans="1:11" ht="12.75" customHeight="1" x14ac:dyDescent="0.2">
      <c r="A618" s="384" t="s">
        <v>1461</v>
      </c>
      <c r="B618" s="382" t="s">
        <v>308</v>
      </c>
      <c r="C618" s="878"/>
      <c r="D618" s="881"/>
      <c r="E618" s="485">
        <v>3</v>
      </c>
      <c r="F618" s="196"/>
      <c r="G618" s="382"/>
      <c r="H618" s="461">
        <v>28.4</v>
      </c>
      <c r="I618" s="884"/>
      <c r="J618" s="461">
        <v>57068.351739207465</v>
      </c>
      <c r="K618" s="486"/>
    </row>
    <row r="619" spans="1:11" x14ac:dyDescent="0.2">
      <c r="A619" s="384" t="s">
        <v>1462</v>
      </c>
      <c r="B619" s="382" t="s">
        <v>308</v>
      </c>
      <c r="C619" s="878"/>
      <c r="D619" s="881"/>
      <c r="E619" s="485">
        <v>10</v>
      </c>
      <c r="F619" s="196"/>
      <c r="G619" s="382"/>
      <c r="H619" s="461">
        <v>60.3</v>
      </c>
      <c r="I619" s="884"/>
      <c r="J619" s="461">
        <v>121169.77499557077</v>
      </c>
      <c r="K619" s="486"/>
    </row>
    <row r="620" spans="1:11" ht="12.75" customHeight="1" x14ac:dyDescent="0.2">
      <c r="A620" s="384" t="s">
        <v>1463</v>
      </c>
      <c r="B620" s="382" t="s">
        <v>308</v>
      </c>
      <c r="C620" s="878"/>
      <c r="D620" s="881"/>
      <c r="E620" s="485">
        <v>22</v>
      </c>
      <c r="F620" s="196" t="s">
        <v>11612</v>
      </c>
      <c r="G620" s="382"/>
      <c r="H620" s="461">
        <v>58.7</v>
      </c>
      <c r="I620" s="884"/>
      <c r="J620" s="461">
        <v>122576.38929900195</v>
      </c>
      <c r="K620" s="486">
        <v>1121455.28</v>
      </c>
    </row>
    <row r="621" spans="1:11" ht="36.75" x14ac:dyDescent="0.2">
      <c r="A621" s="384" t="s">
        <v>3511</v>
      </c>
      <c r="B621" s="382" t="s">
        <v>12922</v>
      </c>
      <c r="C621" s="879"/>
      <c r="D621" s="882"/>
      <c r="E621" s="485">
        <v>32</v>
      </c>
      <c r="F621" s="196" t="s">
        <v>3512</v>
      </c>
      <c r="G621" s="382" t="s">
        <v>134</v>
      </c>
      <c r="H621" s="461">
        <f>30.6</f>
        <v>30.6</v>
      </c>
      <c r="I621" s="885"/>
      <c r="J621" s="461">
        <v>905760</v>
      </c>
      <c r="K621" s="486">
        <v>606493.82999999996</v>
      </c>
    </row>
    <row r="622" spans="1:11" ht="12.75" customHeight="1" x14ac:dyDescent="0.2">
      <c r="A622" s="383" t="s">
        <v>869</v>
      </c>
      <c r="B622" s="382"/>
      <c r="C622" s="877" t="s">
        <v>12923</v>
      </c>
      <c r="D622" s="880">
        <v>8</v>
      </c>
      <c r="E622" s="485"/>
      <c r="F622" s="196"/>
      <c r="G622" s="382"/>
      <c r="H622" s="461">
        <f>4487.9-4487.9</f>
        <v>0</v>
      </c>
      <c r="I622" s="883">
        <v>1973</v>
      </c>
      <c r="J622" s="461">
        <f>9636600-9636600</f>
        <v>0</v>
      </c>
      <c r="K622" s="486"/>
    </row>
    <row r="623" spans="1:11" ht="25.5" customHeight="1" x14ac:dyDescent="0.2">
      <c r="A623" s="384" t="s">
        <v>870</v>
      </c>
      <c r="B623" s="382" t="s">
        <v>308</v>
      </c>
      <c r="C623" s="879"/>
      <c r="D623" s="882"/>
      <c r="E623" s="485">
        <v>100</v>
      </c>
      <c r="F623" s="196"/>
      <c r="G623" s="382"/>
      <c r="H623" s="461">
        <v>40.700000000000003</v>
      </c>
      <c r="I623" s="885"/>
      <c r="J623" s="461">
        <v>87392.682546402561</v>
      </c>
      <c r="K623" s="486"/>
    </row>
    <row r="624" spans="1:11" ht="12.75" customHeight="1" x14ac:dyDescent="0.2">
      <c r="A624" s="383" t="s">
        <v>871</v>
      </c>
      <c r="B624" s="382"/>
      <c r="C624" s="877" t="s">
        <v>12924</v>
      </c>
      <c r="D624" s="880">
        <v>10</v>
      </c>
      <c r="E624" s="485"/>
      <c r="F624" s="196"/>
      <c r="G624" s="382"/>
      <c r="H624" s="461">
        <f>3318.9-3318.9</f>
        <v>0</v>
      </c>
      <c r="I624" s="883">
        <v>1975</v>
      </c>
      <c r="J624" s="461">
        <f>7058200-7058200</f>
        <v>0</v>
      </c>
      <c r="K624" s="486"/>
    </row>
    <row r="625" spans="1:11" ht="24" customHeight="1" x14ac:dyDescent="0.2">
      <c r="A625" s="384" t="s">
        <v>873</v>
      </c>
      <c r="B625" s="382" t="s">
        <v>308</v>
      </c>
      <c r="C625" s="879"/>
      <c r="D625" s="882"/>
      <c r="E625" s="485">
        <v>22</v>
      </c>
      <c r="F625" s="196" t="s">
        <v>11932</v>
      </c>
      <c r="G625" s="382" t="s">
        <v>143</v>
      </c>
      <c r="H625" s="461">
        <v>42.4</v>
      </c>
      <c r="I625" s="885"/>
      <c r="J625" s="461">
        <v>90170.743318569395</v>
      </c>
      <c r="K625" s="486">
        <v>805621.62</v>
      </c>
    </row>
    <row r="626" spans="1:11" ht="12.75" customHeight="1" x14ac:dyDescent="0.2">
      <c r="A626" s="383" t="s">
        <v>872</v>
      </c>
      <c r="B626" s="382"/>
      <c r="C626" s="877" t="s">
        <v>12925</v>
      </c>
      <c r="D626" s="880">
        <v>12</v>
      </c>
      <c r="E626" s="485"/>
      <c r="F626" s="196"/>
      <c r="G626" s="382"/>
      <c r="H626" s="461">
        <f>4485.4-4485.4</f>
        <v>0</v>
      </c>
      <c r="I626" s="883">
        <v>1977</v>
      </c>
      <c r="J626" s="461">
        <f>9071700-9071700</f>
        <v>0</v>
      </c>
      <c r="K626" s="486"/>
    </row>
    <row r="627" spans="1:11" ht="12.75" customHeight="1" x14ac:dyDescent="0.2">
      <c r="A627" s="384" t="s">
        <v>874</v>
      </c>
      <c r="B627" s="382" t="s">
        <v>308</v>
      </c>
      <c r="C627" s="878"/>
      <c r="D627" s="881"/>
      <c r="E627" s="485">
        <v>17</v>
      </c>
      <c r="F627" s="196"/>
      <c r="G627" s="382"/>
      <c r="H627" s="461">
        <v>40.799999999999997</v>
      </c>
      <c r="I627" s="884"/>
      <c r="J627" s="461">
        <v>82517.80443215766</v>
      </c>
      <c r="K627" s="486"/>
    </row>
    <row r="628" spans="1:11" ht="12.75" customHeight="1" x14ac:dyDescent="0.2">
      <c r="A628" s="384" t="s">
        <v>875</v>
      </c>
      <c r="B628" s="382" t="s">
        <v>308</v>
      </c>
      <c r="C628" s="878"/>
      <c r="D628" s="881"/>
      <c r="E628" s="485">
        <v>29</v>
      </c>
      <c r="F628" s="196"/>
      <c r="G628" s="382"/>
      <c r="H628" s="461">
        <v>62.2</v>
      </c>
      <c r="I628" s="884"/>
      <c r="J628" s="461">
        <v>125799.20185490705</v>
      </c>
      <c r="K628" s="486"/>
    </row>
    <row r="629" spans="1:11" ht="12.75" customHeight="1" x14ac:dyDescent="0.2">
      <c r="A629" s="383" t="s">
        <v>876</v>
      </c>
      <c r="B629" s="382"/>
      <c r="C629" s="877" t="s">
        <v>12926</v>
      </c>
      <c r="D629" s="880">
        <v>16</v>
      </c>
      <c r="E629" s="485"/>
      <c r="F629" s="196"/>
      <c r="G629" s="382"/>
      <c r="H629" s="461">
        <f>3309.1-3309.1</f>
        <v>0</v>
      </c>
      <c r="I629" s="883">
        <v>1979</v>
      </c>
      <c r="J629" s="461">
        <f>6712500-6712500</f>
        <v>0</v>
      </c>
      <c r="K629" s="486"/>
    </row>
    <row r="630" spans="1:11" ht="12.75" customHeight="1" x14ac:dyDescent="0.2">
      <c r="A630" s="384" t="s">
        <v>877</v>
      </c>
      <c r="B630" s="382" t="s">
        <v>308</v>
      </c>
      <c r="C630" s="878"/>
      <c r="D630" s="881"/>
      <c r="E630" s="485">
        <v>4</v>
      </c>
      <c r="F630" s="196" t="s">
        <v>422</v>
      </c>
      <c r="G630" s="382"/>
      <c r="H630" s="461">
        <v>55.6</v>
      </c>
      <c r="I630" s="884"/>
      <c r="J630" s="461">
        <v>112784.44289988215</v>
      </c>
      <c r="K630" s="486">
        <v>1025277.37</v>
      </c>
    </row>
    <row r="631" spans="1:11" x14ac:dyDescent="0.2">
      <c r="A631" s="384" t="s">
        <v>878</v>
      </c>
      <c r="B631" s="382" t="s">
        <v>308</v>
      </c>
      <c r="C631" s="878"/>
      <c r="D631" s="881"/>
      <c r="E631" s="485">
        <v>65</v>
      </c>
      <c r="F631" s="196" t="s">
        <v>423</v>
      </c>
      <c r="G631" s="382"/>
      <c r="H631" s="461">
        <v>60.5</v>
      </c>
      <c r="I631" s="884"/>
      <c r="J631" s="461">
        <v>122724.07905472787</v>
      </c>
      <c r="K631" s="486">
        <v>1158954.48</v>
      </c>
    </row>
    <row r="632" spans="1:11" x14ac:dyDescent="0.2">
      <c r="A632" s="383" t="s">
        <v>879</v>
      </c>
      <c r="B632" s="382"/>
      <c r="C632" s="877" t="s">
        <v>12927</v>
      </c>
      <c r="D632" s="880">
        <v>18</v>
      </c>
      <c r="E632" s="485"/>
      <c r="F632" s="196"/>
      <c r="G632" s="382"/>
      <c r="H632" s="461">
        <f>3276.1-3276.1</f>
        <v>0</v>
      </c>
      <c r="I632" s="883">
        <v>1979</v>
      </c>
      <c r="J632" s="461">
        <f>7184500-7184500</f>
        <v>0</v>
      </c>
      <c r="K632" s="486"/>
    </row>
    <row r="633" spans="1:11" ht="12.75" customHeight="1" x14ac:dyDescent="0.2">
      <c r="A633" s="384" t="s">
        <v>1464</v>
      </c>
      <c r="B633" s="382" t="s">
        <v>308</v>
      </c>
      <c r="C633" s="878"/>
      <c r="D633" s="881"/>
      <c r="E633" s="485">
        <v>43</v>
      </c>
      <c r="F633" s="196"/>
      <c r="G633" s="382"/>
      <c r="H633" s="461">
        <v>42</v>
      </c>
      <c r="I633" s="884"/>
      <c r="J633" s="461">
        <v>92106.162815542877</v>
      </c>
      <c r="K633" s="486"/>
    </row>
    <row r="634" spans="1:11" x14ac:dyDescent="0.2">
      <c r="A634" s="384" t="s">
        <v>1465</v>
      </c>
      <c r="B634" s="382" t="s">
        <v>308</v>
      </c>
      <c r="C634" s="878"/>
      <c r="D634" s="881"/>
      <c r="E634" s="485">
        <v>44</v>
      </c>
      <c r="F634" s="196"/>
      <c r="G634" s="382"/>
      <c r="H634" s="461">
        <v>44.4</v>
      </c>
      <c r="I634" s="884"/>
      <c r="J634" s="461">
        <v>97369.372119288179</v>
      </c>
      <c r="K634" s="486"/>
    </row>
    <row r="635" spans="1:11" ht="12.75" customHeight="1" x14ac:dyDescent="0.2">
      <c r="A635" s="384" t="s">
        <v>1466</v>
      </c>
      <c r="B635" s="382" t="s">
        <v>308</v>
      </c>
      <c r="C635" s="878"/>
      <c r="D635" s="881"/>
      <c r="E635" s="485">
        <v>5</v>
      </c>
      <c r="F635" s="196" t="s">
        <v>424</v>
      </c>
      <c r="G635" s="382"/>
      <c r="H635" s="461">
        <v>49.8</v>
      </c>
      <c r="I635" s="884"/>
      <c r="J635" s="461">
        <v>109211.59305271511</v>
      </c>
      <c r="K635" s="486">
        <v>953982.37</v>
      </c>
    </row>
    <row r="636" spans="1:11" ht="12.75" customHeight="1" x14ac:dyDescent="0.2">
      <c r="A636" s="384" t="s">
        <v>1467</v>
      </c>
      <c r="B636" s="382" t="s">
        <v>308</v>
      </c>
      <c r="C636" s="878"/>
      <c r="D636" s="881"/>
      <c r="E636" s="485">
        <v>52</v>
      </c>
      <c r="F636" s="196"/>
      <c r="G636" s="382"/>
      <c r="H636" s="461">
        <v>29.3</v>
      </c>
      <c r="I636" s="884"/>
      <c r="J636" s="461">
        <v>64255.013583223954</v>
      </c>
      <c r="K636" s="486"/>
    </row>
    <row r="637" spans="1:11" x14ac:dyDescent="0.2">
      <c r="A637" s="383" t="s">
        <v>880</v>
      </c>
      <c r="B637" s="382"/>
      <c r="C637" s="877" t="s">
        <v>12928</v>
      </c>
      <c r="D637" s="880">
        <v>20</v>
      </c>
      <c r="E637" s="485"/>
      <c r="F637" s="196"/>
      <c r="G637" s="382"/>
      <c r="H637" s="461">
        <f>3237.2-3237.2</f>
        <v>0</v>
      </c>
      <c r="I637" s="883">
        <v>1980</v>
      </c>
      <c r="J637" s="461">
        <f>6475900-6475900</f>
        <v>0</v>
      </c>
      <c r="K637" s="486"/>
    </row>
    <row r="638" spans="1:11" ht="12.75" customHeight="1" x14ac:dyDescent="0.2">
      <c r="A638" s="384" t="s">
        <v>881</v>
      </c>
      <c r="B638" s="382" t="s">
        <v>308</v>
      </c>
      <c r="C638" s="878"/>
      <c r="D638" s="881"/>
      <c r="E638" s="485">
        <v>22</v>
      </c>
      <c r="F638" s="196"/>
      <c r="G638" s="382"/>
      <c r="H638" s="461">
        <v>39.799999999999997</v>
      </c>
      <c r="I638" s="884"/>
      <c r="J638" s="461">
        <v>79618.441863338681</v>
      </c>
      <c r="K638" s="486"/>
    </row>
    <row r="639" spans="1:11" ht="12.75" customHeight="1" x14ac:dyDescent="0.2">
      <c r="A639" s="384" t="s">
        <v>882</v>
      </c>
      <c r="B639" s="382" t="s">
        <v>308</v>
      </c>
      <c r="C639" s="879"/>
      <c r="D639" s="882"/>
      <c r="E639" s="485">
        <v>50</v>
      </c>
      <c r="F639" s="196" t="s">
        <v>4310</v>
      </c>
      <c r="G639" s="382"/>
      <c r="H639" s="461">
        <v>44</v>
      </c>
      <c r="I639" s="885"/>
      <c r="J639" s="461">
        <v>88020.387989620664</v>
      </c>
      <c r="K639" s="486">
        <v>782762.2</v>
      </c>
    </row>
    <row r="640" spans="1:11" x14ac:dyDescent="0.2">
      <c r="A640" s="383" t="s">
        <v>883</v>
      </c>
      <c r="B640" s="382"/>
      <c r="C640" s="877" t="s">
        <v>12929</v>
      </c>
      <c r="D640" s="880">
        <v>22</v>
      </c>
      <c r="E640" s="485"/>
      <c r="F640" s="196"/>
      <c r="G640" s="382"/>
      <c r="H640" s="461">
        <f>3204.6-3204.6</f>
        <v>0</v>
      </c>
      <c r="I640" s="883">
        <v>1980</v>
      </c>
      <c r="J640" s="461">
        <f>7137800-7137800</f>
        <v>0</v>
      </c>
      <c r="K640" s="486"/>
    </row>
    <row r="641" spans="1:11" x14ac:dyDescent="0.2">
      <c r="A641" s="384" t="s">
        <v>884</v>
      </c>
      <c r="B641" s="382" t="s">
        <v>308</v>
      </c>
      <c r="C641" s="878"/>
      <c r="D641" s="881"/>
      <c r="E641" s="485">
        <v>21</v>
      </c>
      <c r="F641" s="196"/>
      <c r="G641" s="382"/>
      <c r="H641" s="461">
        <v>43.5</v>
      </c>
      <c r="I641" s="884"/>
      <c r="J641" s="461">
        <v>96890.189103164201</v>
      </c>
      <c r="K641" s="486"/>
    </row>
    <row r="642" spans="1:11" ht="12.75" customHeight="1" x14ac:dyDescent="0.2">
      <c r="A642" s="384" t="s">
        <v>885</v>
      </c>
      <c r="B642" s="382" t="s">
        <v>308</v>
      </c>
      <c r="C642" s="878"/>
      <c r="D642" s="881"/>
      <c r="E642" s="485">
        <v>27</v>
      </c>
      <c r="F642" s="196"/>
      <c r="G642" s="382"/>
      <c r="H642" s="461">
        <v>44</v>
      </c>
      <c r="I642" s="884"/>
      <c r="J642" s="461">
        <v>98003.86943768333</v>
      </c>
      <c r="K642" s="486"/>
    </row>
    <row r="643" spans="1:11" ht="15" customHeight="1" x14ac:dyDescent="0.2">
      <c r="A643" s="384" t="s">
        <v>886</v>
      </c>
      <c r="B643" s="382" t="s">
        <v>308</v>
      </c>
      <c r="C643" s="878"/>
      <c r="D643" s="881"/>
      <c r="E643" s="485">
        <v>4</v>
      </c>
      <c r="F643" s="196"/>
      <c r="G643" s="382"/>
      <c r="H643" s="461">
        <v>54.9</v>
      </c>
      <c r="I643" s="884"/>
      <c r="J643" s="461">
        <v>122282.10073020034</v>
      </c>
      <c r="K643" s="486"/>
    </row>
    <row r="644" spans="1:11" ht="12.75" customHeight="1" x14ac:dyDescent="0.2">
      <c r="A644" s="383" t="s">
        <v>887</v>
      </c>
      <c r="B644" s="382"/>
      <c r="C644" s="877" t="s">
        <v>12930</v>
      </c>
      <c r="D644" s="880">
        <v>24</v>
      </c>
      <c r="E644" s="485"/>
      <c r="F644" s="196"/>
      <c r="G644" s="382"/>
      <c r="H644" s="461">
        <f>4506-4506</f>
        <v>0</v>
      </c>
      <c r="I644" s="883">
        <v>1979</v>
      </c>
      <c r="J644" s="461">
        <f>3173200-3173200</f>
        <v>0</v>
      </c>
      <c r="K644" s="486"/>
    </row>
    <row r="645" spans="1:11" x14ac:dyDescent="0.2">
      <c r="A645" s="384" t="s">
        <v>888</v>
      </c>
      <c r="B645" s="382" t="s">
        <v>308</v>
      </c>
      <c r="C645" s="878"/>
      <c r="D645" s="881"/>
      <c r="E645" s="485">
        <v>42</v>
      </c>
      <c r="F645" s="196" t="s">
        <v>426</v>
      </c>
      <c r="G645" s="382"/>
      <c r="H645" s="461">
        <v>61.6</v>
      </c>
      <c r="I645" s="884"/>
      <c r="J645" s="461">
        <v>43379.742565468267</v>
      </c>
      <c r="K645" s="486">
        <v>1180026.3799999999</v>
      </c>
    </row>
    <row r="646" spans="1:11" x14ac:dyDescent="0.2">
      <c r="A646" s="384" t="s">
        <v>1468</v>
      </c>
      <c r="B646" s="382" t="s">
        <v>308</v>
      </c>
      <c r="C646" s="878"/>
      <c r="D646" s="881"/>
      <c r="E646" s="485">
        <v>68</v>
      </c>
      <c r="F646" s="196"/>
      <c r="G646" s="382"/>
      <c r="H646" s="461">
        <v>21.85</v>
      </c>
      <c r="I646" s="884"/>
      <c r="J646" s="461">
        <v>15387.132711939637</v>
      </c>
      <c r="K646" s="486"/>
    </row>
    <row r="647" spans="1:11" x14ac:dyDescent="0.2">
      <c r="A647" s="384" t="s">
        <v>1469</v>
      </c>
      <c r="B647" s="382" t="s">
        <v>308</v>
      </c>
      <c r="C647" s="878"/>
      <c r="D647" s="881"/>
      <c r="E647" s="472" t="s">
        <v>425</v>
      </c>
      <c r="F647" s="196"/>
      <c r="G647" s="382"/>
      <c r="H647" s="461">
        <v>21.85</v>
      </c>
      <c r="I647" s="884"/>
      <c r="J647" s="461">
        <v>15387.132711939637</v>
      </c>
      <c r="K647" s="486"/>
    </row>
    <row r="648" spans="1:11" ht="12.75" customHeight="1" x14ac:dyDescent="0.2">
      <c r="A648" s="384" t="s">
        <v>1470</v>
      </c>
      <c r="B648" s="382" t="s">
        <v>308</v>
      </c>
      <c r="C648" s="878"/>
      <c r="D648" s="881"/>
      <c r="E648" s="485">
        <v>91</v>
      </c>
      <c r="F648" s="196"/>
      <c r="G648" s="382"/>
      <c r="H648" s="461">
        <v>38.799999999999997</v>
      </c>
      <c r="I648" s="884"/>
      <c r="J648" s="461">
        <v>27323.604083444294</v>
      </c>
      <c r="K648" s="486"/>
    </row>
    <row r="649" spans="1:11" x14ac:dyDescent="0.2">
      <c r="A649" s="384" t="s">
        <v>12466</v>
      </c>
      <c r="B649" s="382" t="s">
        <v>308</v>
      </c>
      <c r="C649" s="879"/>
      <c r="D649" s="882"/>
      <c r="E649" s="485">
        <v>22</v>
      </c>
      <c r="F649" s="196" t="s">
        <v>12467</v>
      </c>
      <c r="G649" s="382" t="s">
        <v>143</v>
      </c>
      <c r="H649" s="461">
        <v>29</v>
      </c>
      <c r="I649" s="885"/>
      <c r="J649" s="461">
        <v>1013289</v>
      </c>
      <c r="K649" s="486">
        <v>554016.81000000006</v>
      </c>
    </row>
    <row r="650" spans="1:11" x14ac:dyDescent="0.2">
      <c r="A650" s="383" t="s">
        <v>889</v>
      </c>
      <c r="B650" s="382"/>
      <c r="C650" s="893" t="s">
        <v>12931</v>
      </c>
      <c r="D650" s="898">
        <v>26</v>
      </c>
      <c r="E650" s="485"/>
      <c r="F650" s="196"/>
      <c r="G650" s="382"/>
      <c r="H650" s="461">
        <f>3321-3321</f>
        <v>0</v>
      </c>
      <c r="I650" s="891">
        <v>1986</v>
      </c>
      <c r="J650" s="461">
        <f>10615900-10615900</f>
        <v>0</v>
      </c>
      <c r="K650" s="486"/>
    </row>
    <row r="651" spans="1:11" x14ac:dyDescent="0.2">
      <c r="A651" s="384" t="s">
        <v>1471</v>
      </c>
      <c r="B651" s="382" t="s">
        <v>308</v>
      </c>
      <c r="C651" s="893"/>
      <c r="D651" s="898"/>
      <c r="E651" s="485">
        <v>1</v>
      </c>
      <c r="F651" s="196"/>
      <c r="G651" s="382"/>
      <c r="H651" s="461">
        <v>82.1</v>
      </c>
      <c r="I651" s="891"/>
      <c r="J651" s="461">
        <v>262440.64739536279</v>
      </c>
      <c r="K651" s="486"/>
    </row>
    <row r="652" spans="1:11" ht="12.75" customHeight="1" x14ac:dyDescent="0.2">
      <c r="A652" s="384" t="s">
        <v>1472</v>
      </c>
      <c r="B652" s="382" t="s">
        <v>308</v>
      </c>
      <c r="C652" s="893"/>
      <c r="D652" s="898"/>
      <c r="E652" s="485">
        <v>39</v>
      </c>
      <c r="F652" s="196" t="s">
        <v>4311</v>
      </c>
      <c r="G652" s="382"/>
      <c r="H652" s="461">
        <v>27.2</v>
      </c>
      <c r="I652" s="891"/>
      <c r="J652" s="461">
        <v>84709.831376091519</v>
      </c>
      <c r="K652" s="486">
        <v>563944.67000000004</v>
      </c>
    </row>
    <row r="653" spans="1:11" ht="12.75" customHeight="1" x14ac:dyDescent="0.2">
      <c r="A653" s="384" t="s">
        <v>1473</v>
      </c>
      <c r="B653" s="382" t="s">
        <v>308</v>
      </c>
      <c r="C653" s="893"/>
      <c r="D653" s="898"/>
      <c r="E653" s="472" t="s">
        <v>11613</v>
      </c>
      <c r="F653" s="196"/>
      <c r="G653" s="382"/>
      <c r="H653" s="461">
        <v>16.600000000000001</v>
      </c>
      <c r="I653" s="891"/>
      <c r="J653" s="461">
        <v>53063.517012947901</v>
      </c>
      <c r="K653" s="486"/>
    </row>
    <row r="654" spans="1:11" ht="12.75" customHeight="1" x14ac:dyDescent="0.2">
      <c r="A654" s="383" t="s">
        <v>1474</v>
      </c>
      <c r="B654" s="382"/>
      <c r="C654" s="893" t="s">
        <v>12932</v>
      </c>
      <c r="D654" s="898">
        <v>1</v>
      </c>
      <c r="E654" s="485"/>
      <c r="F654" s="196"/>
      <c r="G654" s="382"/>
      <c r="H654" s="461">
        <f>830.1-830.1</f>
        <v>0</v>
      </c>
      <c r="I654" s="891">
        <v>1966</v>
      </c>
      <c r="J654" s="461">
        <f>2160000-2160000</f>
        <v>0</v>
      </c>
      <c r="K654" s="486"/>
    </row>
    <row r="655" spans="1:11" ht="27" customHeight="1" x14ac:dyDescent="0.2">
      <c r="A655" s="384" t="s">
        <v>1475</v>
      </c>
      <c r="B655" s="382" t="s">
        <v>308</v>
      </c>
      <c r="C655" s="893"/>
      <c r="D655" s="898"/>
      <c r="E655" s="485">
        <v>3</v>
      </c>
      <c r="F655" s="196"/>
      <c r="G655" s="382"/>
      <c r="H655" s="461">
        <v>79.599999999999994</v>
      </c>
      <c r="I655" s="891"/>
      <c r="J655" s="461">
        <v>207126.852186484</v>
      </c>
      <c r="K655" s="486"/>
    </row>
    <row r="656" spans="1:11" ht="12.75" customHeight="1" x14ac:dyDescent="0.2">
      <c r="A656" s="383" t="s">
        <v>1476</v>
      </c>
      <c r="B656" s="382"/>
      <c r="C656" s="877" t="s">
        <v>12933</v>
      </c>
      <c r="D656" s="880">
        <v>2</v>
      </c>
      <c r="E656" s="485"/>
      <c r="F656" s="196"/>
      <c r="G656" s="382"/>
      <c r="H656" s="461">
        <f>750.4-750.4</f>
        <v>0</v>
      </c>
      <c r="I656" s="883">
        <v>1966</v>
      </c>
      <c r="J656" s="461">
        <f>2248600-2248600</f>
        <v>0</v>
      </c>
      <c r="K656" s="486"/>
    </row>
    <row r="657" spans="1:11" x14ac:dyDescent="0.2">
      <c r="A657" s="384" t="s">
        <v>1477</v>
      </c>
      <c r="B657" s="382" t="s">
        <v>308</v>
      </c>
      <c r="C657" s="878"/>
      <c r="D657" s="881"/>
      <c r="E657" s="485">
        <v>5</v>
      </c>
      <c r="F657" s="196"/>
      <c r="G657" s="382"/>
      <c r="H657" s="461">
        <v>45.8</v>
      </c>
      <c r="I657" s="884"/>
      <c r="J657" s="461">
        <f>J656/750.4*H657</f>
        <v>0</v>
      </c>
      <c r="K657" s="486"/>
    </row>
    <row r="658" spans="1:11" x14ac:dyDescent="0.2">
      <c r="A658" s="384" t="s">
        <v>1478</v>
      </c>
      <c r="B658" s="382" t="s">
        <v>308</v>
      </c>
      <c r="C658" s="878"/>
      <c r="D658" s="881"/>
      <c r="E658" s="485">
        <v>7</v>
      </c>
      <c r="F658" s="196" t="s">
        <v>6111</v>
      </c>
      <c r="G658" s="514"/>
      <c r="H658" s="461">
        <v>8.14</v>
      </c>
      <c r="I658" s="884"/>
      <c r="J658" s="461">
        <f>2248600/750.4*H658</f>
        <v>24391.796375266527</v>
      </c>
      <c r="K658" s="917">
        <v>792448.29</v>
      </c>
    </row>
    <row r="659" spans="1:11" ht="12.75" customHeight="1" x14ac:dyDescent="0.2">
      <c r="A659" s="384" t="s">
        <v>1479</v>
      </c>
      <c r="B659" s="382" t="s">
        <v>308</v>
      </c>
      <c r="C659" s="878"/>
      <c r="D659" s="881"/>
      <c r="E659" s="472" t="s">
        <v>427</v>
      </c>
      <c r="F659" s="196"/>
      <c r="G659" s="515"/>
      <c r="H659" s="461">
        <v>16.28</v>
      </c>
      <c r="I659" s="884"/>
      <c r="J659" s="461">
        <f>2248600/750.4*H659</f>
        <v>48783.592750533055</v>
      </c>
      <c r="K659" s="918"/>
    </row>
    <row r="660" spans="1:11" ht="12.75" customHeight="1" x14ac:dyDescent="0.2">
      <c r="A660" s="384" t="s">
        <v>1480</v>
      </c>
      <c r="B660" s="382" t="s">
        <v>308</v>
      </c>
      <c r="C660" s="878"/>
      <c r="D660" s="881"/>
      <c r="E660" s="472" t="s">
        <v>428</v>
      </c>
      <c r="F660" s="196"/>
      <c r="G660" s="515"/>
      <c r="H660" s="461">
        <v>24.42</v>
      </c>
      <c r="I660" s="884"/>
      <c r="J660" s="461">
        <f>2248600/750.4*H660</f>
        <v>73175.389125799586</v>
      </c>
      <c r="K660" s="918"/>
    </row>
    <row r="661" spans="1:11" x14ac:dyDescent="0.2">
      <c r="A661" s="384" t="s">
        <v>1481</v>
      </c>
      <c r="B661" s="382" t="s">
        <v>308</v>
      </c>
      <c r="C661" s="879"/>
      <c r="D661" s="882"/>
      <c r="E661" s="472" t="s">
        <v>429</v>
      </c>
      <c r="F661" s="196"/>
      <c r="G661" s="516"/>
      <c r="H661" s="461">
        <v>16.28</v>
      </c>
      <c r="I661" s="885"/>
      <c r="J661" s="461">
        <f>2248600/750.4*H661</f>
        <v>48783.592750533055</v>
      </c>
      <c r="K661" s="919"/>
    </row>
    <row r="662" spans="1:11" x14ac:dyDescent="0.2">
      <c r="A662" s="383" t="s">
        <v>1482</v>
      </c>
      <c r="B662" s="382"/>
      <c r="C662" s="893" t="s">
        <v>12934</v>
      </c>
      <c r="D662" s="898">
        <v>3</v>
      </c>
      <c r="E662" s="472"/>
      <c r="F662" s="196"/>
      <c r="G662" s="382"/>
      <c r="H662" s="461">
        <f>2240.1-2240.1</f>
        <v>0</v>
      </c>
      <c r="I662" s="891">
        <v>1962</v>
      </c>
      <c r="J662" s="461">
        <f>11321700-11321700</f>
        <v>0</v>
      </c>
      <c r="K662" s="486"/>
    </row>
    <row r="663" spans="1:11" x14ac:dyDescent="0.2">
      <c r="A663" s="384" t="s">
        <v>1483</v>
      </c>
      <c r="B663" s="382" t="s">
        <v>308</v>
      </c>
      <c r="C663" s="920"/>
      <c r="D663" s="920"/>
      <c r="E663" s="472">
        <v>10</v>
      </c>
      <c r="F663" s="196"/>
      <c r="G663" s="382"/>
      <c r="H663" s="461">
        <v>49.9</v>
      </c>
      <c r="I663" s="920"/>
      <c r="J663" s="461">
        <v>252199.82590062942</v>
      </c>
      <c r="K663" s="486"/>
    </row>
    <row r="664" spans="1:11" ht="12.75" customHeight="1" x14ac:dyDescent="0.2">
      <c r="A664" s="384" t="s">
        <v>1484</v>
      </c>
      <c r="B664" s="382" t="s">
        <v>308</v>
      </c>
      <c r="C664" s="920"/>
      <c r="D664" s="920"/>
      <c r="E664" s="472">
        <v>11</v>
      </c>
      <c r="F664" s="196"/>
      <c r="G664" s="382"/>
      <c r="H664" s="461">
        <v>42.8</v>
      </c>
      <c r="I664" s="920"/>
      <c r="J664" s="461">
        <v>216315.68233561001</v>
      </c>
      <c r="K664" s="486"/>
    </row>
    <row r="665" spans="1:11" x14ac:dyDescent="0.2">
      <c r="A665" s="384" t="s">
        <v>1485</v>
      </c>
      <c r="B665" s="382" t="s">
        <v>308</v>
      </c>
      <c r="C665" s="920"/>
      <c r="D665" s="920"/>
      <c r="E665" s="472">
        <v>14</v>
      </c>
      <c r="F665" s="196"/>
      <c r="G665" s="382"/>
      <c r="H665" s="461">
        <v>49.9</v>
      </c>
      <c r="I665" s="920"/>
      <c r="J665" s="461">
        <v>252199.82590062942</v>
      </c>
      <c r="K665" s="486"/>
    </row>
    <row r="666" spans="1:11" ht="12.75" customHeight="1" x14ac:dyDescent="0.2">
      <c r="A666" s="384" t="s">
        <v>1486</v>
      </c>
      <c r="B666" s="382" t="s">
        <v>308</v>
      </c>
      <c r="C666" s="920"/>
      <c r="D666" s="920"/>
      <c r="E666" s="472" t="s">
        <v>430</v>
      </c>
      <c r="F666" s="196"/>
      <c r="G666" s="382"/>
      <c r="H666" s="461">
        <v>16.63</v>
      </c>
      <c r="I666" s="920"/>
      <c r="J666" s="461">
        <v>84049.761617784912</v>
      </c>
      <c r="K666" s="486"/>
    </row>
    <row r="667" spans="1:11" x14ac:dyDescent="0.2">
      <c r="A667" s="384" t="s">
        <v>1487</v>
      </c>
      <c r="B667" s="382" t="s">
        <v>308</v>
      </c>
      <c r="C667" s="920"/>
      <c r="D667" s="920"/>
      <c r="E667" s="472" t="s">
        <v>431</v>
      </c>
      <c r="F667" s="196"/>
      <c r="G667" s="382"/>
      <c r="H667" s="461">
        <v>24.16</v>
      </c>
      <c r="I667" s="920"/>
      <c r="J667" s="461">
        <f>11321700/2240.1*H667</f>
        <v>122107.17021561538</v>
      </c>
      <c r="K667" s="486"/>
    </row>
    <row r="668" spans="1:11" x14ac:dyDescent="0.2">
      <c r="A668" s="384" t="s">
        <v>1488</v>
      </c>
      <c r="B668" s="382" t="s">
        <v>308</v>
      </c>
      <c r="C668" s="920"/>
      <c r="D668" s="920"/>
      <c r="E668" s="485">
        <v>24</v>
      </c>
      <c r="F668" s="196"/>
      <c r="G668" s="382"/>
      <c r="H668" s="461">
        <v>45.85</v>
      </c>
      <c r="I668" s="920"/>
      <c r="J668" s="461">
        <v>231730.70175438598</v>
      </c>
      <c r="K668" s="486"/>
    </row>
    <row r="669" spans="1:11" x14ac:dyDescent="0.2">
      <c r="A669" s="384" t="s">
        <v>1489</v>
      </c>
      <c r="B669" s="382" t="s">
        <v>308</v>
      </c>
      <c r="C669" s="920"/>
      <c r="D669" s="920"/>
      <c r="E669" s="485">
        <v>25</v>
      </c>
      <c r="F669" s="196"/>
      <c r="G669" s="382"/>
      <c r="H669" s="461">
        <v>46.48</v>
      </c>
      <c r="I669" s="920"/>
      <c r="J669" s="461">
        <f>11321700/2240.1*H669</f>
        <v>234914.78773269049</v>
      </c>
      <c r="K669" s="486"/>
    </row>
    <row r="670" spans="1:11" x14ac:dyDescent="0.2">
      <c r="A670" s="384" t="s">
        <v>1490</v>
      </c>
      <c r="B670" s="382" t="s">
        <v>308</v>
      </c>
      <c r="C670" s="920"/>
      <c r="D670" s="920"/>
      <c r="E670" s="485">
        <v>26</v>
      </c>
      <c r="F670" s="196"/>
      <c r="G670" s="382"/>
      <c r="H670" s="461">
        <v>63.29</v>
      </c>
      <c r="I670" s="920"/>
      <c r="J670" s="461">
        <f t="shared" ref="J670:J676" si="6">11321700/2240.1*H670</f>
        <v>319874.28820141958</v>
      </c>
      <c r="K670" s="486"/>
    </row>
    <row r="671" spans="1:11" x14ac:dyDescent="0.2">
      <c r="A671" s="384" t="s">
        <v>1491</v>
      </c>
      <c r="B671" s="382" t="s">
        <v>308</v>
      </c>
      <c r="C671" s="920"/>
      <c r="D671" s="920"/>
      <c r="E671" s="485">
        <v>27</v>
      </c>
      <c r="F671" s="196"/>
      <c r="G671" s="382"/>
      <c r="H671" s="461">
        <v>54.76</v>
      </c>
      <c r="I671" s="920"/>
      <c r="J671" s="461">
        <f t="shared" si="6"/>
        <v>276762.77487612161</v>
      </c>
      <c r="K671" s="486"/>
    </row>
    <row r="672" spans="1:11" ht="12.75" customHeight="1" x14ac:dyDescent="0.2">
      <c r="A672" s="384" t="s">
        <v>1492</v>
      </c>
      <c r="B672" s="382" t="s">
        <v>308</v>
      </c>
      <c r="C672" s="920"/>
      <c r="D672" s="920"/>
      <c r="E672" s="485">
        <v>3</v>
      </c>
      <c r="F672" s="196" t="s">
        <v>432</v>
      </c>
      <c r="G672" s="382"/>
      <c r="H672" s="461">
        <v>55.69</v>
      </c>
      <c r="I672" s="920"/>
      <c r="J672" s="461">
        <f t="shared" si="6"/>
        <v>281463.0922726664</v>
      </c>
      <c r="K672" s="486">
        <v>1027121.39</v>
      </c>
    </row>
    <row r="673" spans="1:11" x14ac:dyDescent="0.2">
      <c r="A673" s="384" t="s">
        <v>1493</v>
      </c>
      <c r="B673" s="382" t="s">
        <v>308</v>
      </c>
      <c r="C673" s="920"/>
      <c r="D673" s="920"/>
      <c r="E673" s="485">
        <v>33</v>
      </c>
      <c r="F673" s="196"/>
      <c r="G673" s="382"/>
      <c r="H673" s="461">
        <v>44.8</v>
      </c>
      <c r="I673" s="920"/>
      <c r="J673" s="461">
        <f t="shared" si="6"/>
        <v>226423.89179054505</v>
      </c>
      <c r="K673" s="486"/>
    </row>
    <row r="674" spans="1:11" x14ac:dyDescent="0.2">
      <c r="A674" s="384" t="s">
        <v>1494</v>
      </c>
      <c r="B674" s="382" t="s">
        <v>308</v>
      </c>
      <c r="C674" s="920"/>
      <c r="D674" s="920"/>
      <c r="E674" s="485">
        <v>34</v>
      </c>
      <c r="F674" s="196"/>
      <c r="G674" s="382"/>
      <c r="H674" s="461">
        <v>64.599999999999994</v>
      </c>
      <c r="I674" s="920"/>
      <c r="J674" s="461">
        <f t="shared" si="6"/>
        <v>326495.16539440199</v>
      </c>
      <c r="K674" s="486"/>
    </row>
    <row r="675" spans="1:11" x14ac:dyDescent="0.2">
      <c r="A675" s="384" t="s">
        <v>1495</v>
      </c>
      <c r="B675" s="382" t="s">
        <v>308</v>
      </c>
      <c r="C675" s="920"/>
      <c r="D675" s="920"/>
      <c r="E675" s="485">
        <v>35</v>
      </c>
      <c r="F675" s="196"/>
      <c r="G675" s="382"/>
      <c r="H675" s="461">
        <v>47.9</v>
      </c>
      <c r="I675" s="920"/>
      <c r="J675" s="461">
        <f t="shared" si="6"/>
        <v>242091.61644569438</v>
      </c>
      <c r="K675" s="486"/>
    </row>
    <row r="676" spans="1:11" ht="12.75" customHeight="1" x14ac:dyDescent="0.2">
      <c r="A676" s="384" t="s">
        <v>1496</v>
      </c>
      <c r="B676" s="382" t="s">
        <v>308</v>
      </c>
      <c r="C676" s="920"/>
      <c r="D676" s="920"/>
      <c r="E676" s="485">
        <v>36</v>
      </c>
      <c r="F676" s="196"/>
      <c r="G676" s="382"/>
      <c r="H676" s="461">
        <v>46.4</v>
      </c>
      <c r="I676" s="920"/>
      <c r="J676" s="461">
        <f t="shared" si="6"/>
        <v>234510.4593544931</v>
      </c>
      <c r="K676" s="486"/>
    </row>
    <row r="677" spans="1:11" x14ac:dyDescent="0.2">
      <c r="A677" s="383" t="s">
        <v>890</v>
      </c>
      <c r="B677" s="382"/>
      <c r="C677" s="893" t="s">
        <v>12935</v>
      </c>
      <c r="D677" s="898">
        <v>5</v>
      </c>
      <c r="E677" s="485"/>
      <c r="F677" s="196"/>
      <c r="G677" s="382"/>
      <c r="H677" s="461">
        <f>2550.2-2550.2</f>
        <v>0</v>
      </c>
      <c r="I677" s="891">
        <v>1963</v>
      </c>
      <c r="J677" s="461">
        <f>5320700-5320700</f>
        <v>0</v>
      </c>
      <c r="K677" s="486"/>
    </row>
    <row r="678" spans="1:11" x14ac:dyDescent="0.2">
      <c r="A678" s="384" t="s">
        <v>891</v>
      </c>
      <c r="B678" s="382" t="s">
        <v>308</v>
      </c>
      <c r="C678" s="893"/>
      <c r="D678" s="898"/>
      <c r="E678" s="485">
        <v>30</v>
      </c>
      <c r="F678" s="196"/>
      <c r="G678" s="382"/>
      <c r="H678" s="461">
        <v>45.1</v>
      </c>
      <c r="I678" s="891"/>
      <c r="J678" s="461">
        <v>94095.980707395502</v>
      </c>
      <c r="K678" s="486"/>
    </row>
    <row r="679" spans="1:11" x14ac:dyDescent="0.2">
      <c r="A679" s="384" t="s">
        <v>1497</v>
      </c>
      <c r="B679" s="382" t="s">
        <v>308</v>
      </c>
      <c r="C679" s="893"/>
      <c r="D679" s="898"/>
      <c r="E679" s="472" t="s">
        <v>433</v>
      </c>
      <c r="F679" s="196"/>
      <c r="G679" s="382"/>
      <c r="H679" s="461">
        <v>22.3</v>
      </c>
      <c r="I679" s="891"/>
      <c r="J679" s="461">
        <v>46526.394008313073</v>
      </c>
      <c r="K679" s="486"/>
    </row>
    <row r="680" spans="1:11" ht="21" customHeight="1" x14ac:dyDescent="0.2">
      <c r="A680" s="384" t="s">
        <v>1498</v>
      </c>
      <c r="B680" s="382" t="s">
        <v>308</v>
      </c>
      <c r="C680" s="893"/>
      <c r="D680" s="898"/>
      <c r="E680" s="485">
        <v>45</v>
      </c>
      <c r="F680" s="196"/>
      <c r="G680" s="382"/>
      <c r="H680" s="461">
        <v>30.9</v>
      </c>
      <c r="I680" s="891"/>
      <c r="J680" s="461">
        <v>64469.308289545916</v>
      </c>
      <c r="K680" s="486"/>
    </row>
    <row r="681" spans="1:11" ht="12.75" customHeight="1" x14ac:dyDescent="0.2">
      <c r="A681" s="384" t="s">
        <v>1499</v>
      </c>
      <c r="B681" s="382" t="s">
        <v>308</v>
      </c>
      <c r="C681" s="893"/>
      <c r="D681" s="898"/>
      <c r="E681" s="485">
        <v>51</v>
      </c>
      <c r="F681" s="196"/>
      <c r="G681" s="382"/>
      <c r="H681" s="461">
        <v>42.6</v>
      </c>
      <c r="I681" s="891"/>
      <c r="J681" s="461">
        <v>88880.017253548751</v>
      </c>
      <c r="K681" s="486"/>
    </row>
    <row r="682" spans="1:11" ht="14.25" customHeight="1" x14ac:dyDescent="0.2">
      <c r="A682" s="384" t="s">
        <v>3549</v>
      </c>
      <c r="B682" s="382" t="s">
        <v>308</v>
      </c>
      <c r="C682" s="893"/>
      <c r="D682" s="898"/>
      <c r="E682" s="485">
        <v>43</v>
      </c>
      <c r="F682" s="196" t="s">
        <v>3550</v>
      </c>
      <c r="G682" s="382" t="s">
        <v>134</v>
      </c>
      <c r="H682" s="461">
        <v>44</v>
      </c>
      <c r="I682" s="891"/>
      <c r="J682" s="461">
        <v>1300000</v>
      </c>
      <c r="K682" s="486">
        <v>513488.36</v>
      </c>
    </row>
    <row r="683" spans="1:11" ht="14.25" customHeight="1" x14ac:dyDescent="0.2">
      <c r="A683" s="383" t="s">
        <v>892</v>
      </c>
      <c r="B683" s="382"/>
      <c r="C683" s="893" t="s">
        <v>12936</v>
      </c>
      <c r="D683" s="898">
        <v>6</v>
      </c>
      <c r="E683" s="485"/>
      <c r="F683" s="196"/>
      <c r="G683" s="382"/>
      <c r="H683" s="461">
        <f>2021.1-2021.1</f>
        <v>0</v>
      </c>
      <c r="I683" s="891">
        <v>1964</v>
      </c>
      <c r="J683" s="461">
        <f>3469300-3469300</f>
        <v>0</v>
      </c>
      <c r="K683" s="486"/>
    </row>
    <row r="684" spans="1:11" ht="14.25" customHeight="1" x14ac:dyDescent="0.2">
      <c r="A684" s="384" t="s">
        <v>893</v>
      </c>
      <c r="B684" s="382" t="s">
        <v>312</v>
      </c>
      <c r="C684" s="893"/>
      <c r="D684" s="898"/>
      <c r="E684" s="196">
        <v>12</v>
      </c>
      <c r="F684" s="382"/>
      <c r="G684" s="382"/>
      <c r="H684" s="461">
        <v>1</v>
      </c>
      <c r="I684" s="891"/>
      <c r="J684" s="461">
        <v>1716.5404977487508</v>
      </c>
      <c r="K684" s="486"/>
    </row>
    <row r="685" spans="1:11" ht="14.25" customHeight="1" x14ac:dyDescent="0.2">
      <c r="A685" s="384" t="s">
        <v>894</v>
      </c>
      <c r="B685" s="382" t="s">
        <v>312</v>
      </c>
      <c r="C685" s="893"/>
      <c r="D685" s="898"/>
      <c r="E685" s="360" t="s">
        <v>434</v>
      </c>
      <c r="F685" s="382"/>
      <c r="G685" s="382"/>
      <c r="H685" s="461">
        <v>18</v>
      </c>
      <c r="I685" s="891"/>
      <c r="J685" s="461">
        <v>30897.728959477514</v>
      </c>
      <c r="K685" s="486"/>
    </row>
    <row r="686" spans="1:11" ht="14.25" customHeight="1" x14ac:dyDescent="0.2">
      <c r="A686" s="384" t="s">
        <v>895</v>
      </c>
      <c r="B686" s="382" t="s">
        <v>312</v>
      </c>
      <c r="C686" s="893"/>
      <c r="D686" s="898"/>
      <c r="E686" s="360">
        <v>14</v>
      </c>
      <c r="F686" s="382"/>
      <c r="G686" s="382"/>
      <c r="H686" s="461">
        <v>18</v>
      </c>
      <c r="I686" s="891"/>
      <c r="J686" s="461">
        <v>30897.728959477514</v>
      </c>
      <c r="K686" s="486"/>
    </row>
    <row r="687" spans="1:11" ht="14.25" customHeight="1" x14ac:dyDescent="0.2">
      <c r="A687" s="384" t="s">
        <v>896</v>
      </c>
      <c r="B687" s="382" t="s">
        <v>312</v>
      </c>
      <c r="C687" s="893"/>
      <c r="D687" s="898"/>
      <c r="E687" s="360">
        <v>15</v>
      </c>
      <c r="F687" s="382"/>
      <c r="G687" s="382"/>
      <c r="H687" s="461">
        <v>13.5</v>
      </c>
      <c r="I687" s="891"/>
      <c r="J687" s="461">
        <v>23173.296719608137</v>
      </c>
      <c r="K687" s="486"/>
    </row>
    <row r="688" spans="1:11" ht="14.25" customHeight="1" x14ac:dyDescent="0.2">
      <c r="A688" s="384" t="s">
        <v>897</v>
      </c>
      <c r="B688" s="382" t="s">
        <v>312</v>
      </c>
      <c r="C688" s="893"/>
      <c r="D688" s="898"/>
      <c r="E688" s="360" t="s">
        <v>435</v>
      </c>
      <c r="F688" s="382"/>
      <c r="G688" s="382"/>
      <c r="H688" s="461">
        <v>1</v>
      </c>
      <c r="I688" s="891"/>
      <c r="J688" s="461">
        <v>1716.5404977487508</v>
      </c>
      <c r="K688" s="486"/>
    </row>
    <row r="689" spans="1:11" ht="14.25" customHeight="1" x14ac:dyDescent="0.2">
      <c r="A689" s="384" t="s">
        <v>898</v>
      </c>
      <c r="B689" s="382" t="s">
        <v>312</v>
      </c>
      <c r="C689" s="893"/>
      <c r="D689" s="898"/>
      <c r="E689" s="360">
        <v>19</v>
      </c>
      <c r="F689" s="382"/>
      <c r="G689" s="382"/>
      <c r="H689" s="461">
        <v>18</v>
      </c>
      <c r="I689" s="891"/>
      <c r="J689" s="461">
        <v>30897.728959477514</v>
      </c>
      <c r="K689" s="486"/>
    </row>
    <row r="690" spans="1:11" ht="14.25" customHeight="1" x14ac:dyDescent="0.2">
      <c r="A690" s="384" t="s">
        <v>899</v>
      </c>
      <c r="B690" s="382" t="s">
        <v>312</v>
      </c>
      <c r="C690" s="893"/>
      <c r="D690" s="898"/>
      <c r="E690" s="360" t="s">
        <v>8447</v>
      </c>
      <c r="F690" s="382"/>
      <c r="G690" s="382"/>
      <c r="H690" s="461">
        <v>18</v>
      </c>
      <c r="I690" s="891"/>
      <c r="J690" s="461">
        <v>30897.728959477514</v>
      </c>
      <c r="K690" s="486"/>
    </row>
    <row r="691" spans="1:11" ht="14.25" customHeight="1" x14ac:dyDescent="0.2">
      <c r="A691" s="384" t="s">
        <v>900</v>
      </c>
      <c r="B691" s="382" t="s">
        <v>312</v>
      </c>
      <c r="C691" s="893"/>
      <c r="D691" s="898"/>
      <c r="E691" s="360">
        <v>28</v>
      </c>
      <c r="F691" s="385"/>
      <c r="G691" s="385"/>
      <c r="H691" s="461">
        <v>18</v>
      </c>
      <c r="I691" s="891"/>
      <c r="J691" s="461">
        <v>30897.728959477514</v>
      </c>
      <c r="K691" s="486"/>
    </row>
    <row r="692" spans="1:11" ht="14.25" customHeight="1" x14ac:dyDescent="0.2">
      <c r="A692" s="384" t="s">
        <v>901</v>
      </c>
      <c r="B692" s="382" t="s">
        <v>312</v>
      </c>
      <c r="C692" s="893"/>
      <c r="D692" s="898"/>
      <c r="E692" s="360">
        <v>29</v>
      </c>
      <c r="F692" s="382"/>
      <c r="G692" s="382"/>
      <c r="H692" s="461">
        <v>18</v>
      </c>
      <c r="I692" s="891"/>
      <c r="J692" s="461">
        <v>30897.728959477514</v>
      </c>
      <c r="K692" s="486"/>
    </row>
    <row r="693" spans="1:11" ht="14.25" customHeight="1" x14ac:dyDescent="0.2">
      <c r="A693" s="384" t="s">
        <v>902</v>
      </c>
      <c r="B693" s="382" t="s">
        <v>312</v>
      </c>
      <c r="C693" s="893"/>
      <c r="D693" s="898"/>
      <c r="E693" s="360">
        <v>30</v>
      </c>
      <c r="F693" s="382"/>
      <c r="G693" s="382"/>
      <c r="H693" s="461">
        <v>18</v>
      </c>
      <c r="I693" s="891"/>
      <c r="J693" s="461">
        <v>30897.728959477514</v>
      </c>
      <c r="K693" s="486"/>
    </row>
    <row r="694" spans="1:11" ht="14.25" customHeight="1" x14ac:dyDescent="0.2">
      <c r="A694" s="384" t="s">
        <v>903</v>
      </c>
      <c r="B694" s="382" t="s">
        <v>312</v>
      </c>
      <c r="C694" s="893"/>
      <c r="D694" s="898"/>
      <c r="E694" s="360">
        <v>32</v>
      </c>
      <c r="F694" s="382"/>
      <c r="G694" s="382"/>
      <c r="H694" s="461">
        <v>18</v>
      </c>
      <c r="I694" s="891"/>
      <c r="J694" s="461">
        <v>30897.728959477514</v>
      </c>
      <c r="K694" s="486"/>
    </row>
    <row r="695" spans="1:11" ht="14.25" customHeight="1" x14ac:dyDescent="0.2">
      <c r="A695" s="384" t="s">
        <v>1500</v>
      </c>
      <c r="B695" s="382" t="s">
        <v>312</v>
      </c>
      <c r="C695" s="893"/>
      <c r="D695" s="898"/>
      <c r="E695" s="360" t="s">
        <v>437</v>
      </c>
      <c r="F695" s="382"/>
      <c r="G695" s="382"/>
      <c r="H695" s="461">
        <v>1</v>
      </c>
      <c r="I695" s="891"/>
      <c r="J695" s="461">
        <v>1716.5404977487508</v>
      </c>
      <c r="K695" s="486"/>
    </row>
    <row r="696" spans="1:11" ht="14.25" customHeight="1" x14ac:dyDescent="0.2">
      <c r="A696" s="384" t="s">
        <v>1501</v>
      </c>
      <c r="B696" s="382" t="s">
        <v>312</v>
      </c>
      <c r="C696" s="893"/>
      <c r="D696" s="898"/>
      <c r="E696" s="360">
        <v>37</v>
      </c>
      <c r="F696" s="382"/>
      <c r="G696" s="382"/>
      <c r="H696" s="461">
        <v>37</v>
      </c>
      <c r="I696" s="891"/>
      <c r="J696" s="461">
        <v>63511.998416703776</v>
      </c>
      <c r="K696" s="486"/>
    </row>
    <row r="697" spans="1:11" ht="14.25" customHeight="1" x14ac:dyDescent="0.2">
      <c r="A697" s="384" t="s">
        <v>1502</v>
      </c>
      <c r="B697" s="382" t="s">
        <v>312</v>
      </c>
      <c r="C697" s="893"/>
      <c r="D697" s="898"/>
      <c r="E697" s="360">
        <v>38</v>
      </c>
      <c r="F697" s="382"/>
      <c r="G697" s="382"/>
      <c r="H697" s="461">
        <v>18</v>
      </c>
      <c r="I697" s="891"/>
      <c r="J697" s="461">
        <v>30897.728959477514</v>
      </c>
      <c r="K697" s="486"/>
    </row>
    <row r="698" spans="1:11" ht="14.25" customHeight="1" x14ac:dyDescent="0.2">
      <c r="A698" s="384" t="s">
        <v>1503</v>
      </c>
      <c r="B698" s="382" t="s">
        <v>312</v>
      </c>
      <c r="C698" s="893"/>
      <c r="D698" s="898"/>
      <c r="E698" s="360">
        <v>39</v>
      </c>
      <c r="F698" s="382"/>
      <c r="G698" s="382"/>
      <c r="H698" s="461">
        <v>18</v>
      </c>
      <c r="I698" s="891"/>
      <c r="J698" s="461">
        <v>30897.728959477514</v>
      </c>
      <c r="K698" s="486"/>
    </row>
    <row r="699" spans="1:11" ht="14.25" customHeight="1" x14ac:dyDescent="0.2">
      <c r="A699" s="384" t="s">
        <v>1504</v>
      </c>
      <c r="B699" s="382" t="s">
        <v>312</v>
      </c>
      <c r="C699" s="893"/>
      <c r="D699" s="898"/>
      <c r="E699" s="360">
        <v>40</v>
      </c>
      <c r="F699" s="382"/>
      <c r="G699" s="382"/>
      <c r="H699" s="461">
        <v>18</v>
      </c>
      <c r="I699" s="891"/>
      <c r="J699" s="461">
        <v>30897.728959477514</v>
      </c>
      <c r="K699" s="486"/>
    </row>
    <row r="700" spans="1:11" ht="14.25" customHeight="1" x14ac:dyDescent="0.2">
      <c r="A700" s="384" t="s">
        <v>1505</v>
      </c>
      <c r="B700" s="382" t="s">
        <v>312</v>
      </c>
      <c r="C700" s="893"/>
      <c r="D700" s="898"/>
      <c r="E700" s="360">
        <v>41</v>
      </c>
      <c r="F700" s="382"/>
      <c r="G700" s="382"/>
      <c r="H700" s="461">
        <v>12</v>
      </c>
      <c r="I700" s="891"/>
      <c r="J700" s="461">
        <v>20598.48597298501</v>
      </c>
      <c r="K700" s="486"/>
    </row>
    <row r="701" spans="1:11" ht="14.25" customHeight="1" x14ac:dyDescent="0.2">
      <c r="A701" s="384" t="s">
        <v>1506</v>
      </c>
      <c r="B701" s="382" t="s">
        <v>312</v>
      </c>
      <c r="C701" s="893"/>
      <c r="D701" s="898"/>
      <c r="E701" s="360" t="s">
        <v>438</v>
      </c>
      <c r="F701" s="382"/>
      <c r="G701" s="382"/>
      <c r="H701" s="461">
        <v>6</v>
      </c>
      <c r="I701" s="891"/>
      <c r="J701" s="461">
        <v>10299.242986492505</v>
      </c>
      <c r="K701" s="486"/>
    </row>
    <row r="702" spans="1:11" ht="14.25" customHeight="1" x14ac:dyDescent="0.2">
      <c r="A702" s="384" t="s">
        <v>1507</v>
      </c>
      <c r="B702" s="382" t="s">
        <v>312</v>
      </c>
      <c r="C702" s="893"/>
      <c r="D702" s="898"/>
      <c r="E702" s="360">
        <v>42</v>
      </c>
      <c r="F702" s="382"/>
      <c r="G702" s="382"/>
      <c r="H702" s="461"/>
      <c r="I702" s="891"/>
      <c r="J702" s="461">
        <v>0</v>
      </c>
      <c r="K702" s="486"/>
    </row>
    <row r="703" spans="1:11" ht="14.25" customHeight="1" x14ac:dyDescent="0.2">
      <c r="A703" s="384" t="s">
        <v>1508</v>
      </c>
      <c r="B703" s="382" t="s">
        <v>312</v>
      </c>
      <c r="C703" s="893"/>
      <c r="D703" s="898"/>
      <c r="E703" s="360">
        <v>43</v>
      </c>
      <c r="F703" s="382"/>
      <c r="G703" s="382"/>
      <c r="H703" s="461">
        <v>18</v>
      </c>
      <c r="I703" s="891"/>
      <c r="J703" s="461">
        <v>30897.728959477514</v>
      </c>
      <c r="K703" s="486"/>
    </row>
    <row r="704" spans="1:11" ht="14.25" customHeight="1" x14ac:dyDescent="0.2">
      <c r="A704" s="384" t="s">
        <v>1509</v>
      </c>
      <c r="B704" s="382" t="s">
        <v>312</v>
      </c>
      <c r="C704" s="893"/>
      <c r="D704" s="898"/>
      <c r="E704" s="360">
        <v>44</v>
      </c>
      <c r="F704" s="382"/>
      <c r="G704" s="382"/>
      <c r="H704" s="461">
        <v>9</v>
      </c>
      <c r="I704" s="891"/>
      <c r="J704" s="461">
        <v>15448.864479738757</v>
      </c>
      <c r="K704" s="486"/>
    </row>
    <row r="705" spans="1:11" ht="14.25" customHeight="1" x14ac:dyDescent="0.2">
      <c r="A705" s="384" t="s">
        <v>1510</v>
      </c>
      <c r="B705" s="382" t="s">
        <v>312</v>
      </c>
      <c r="C705" s="893"/>
      <c r="D705" s="898"/>
      <c r="E705" s="360" t="s">
        <v>439</v>
      </c>
      <c r="F705" s="382"/>
      <c r="G705" s="382"/>
      <c r="H705" s="461">
        <v>9</v>
      </c>
      <c r="I705" s="891"/>
      <c r="J705" s="461">
        <v>15448.864479738757</v>
      </c>
      <c r="K705" s="486"/>
    </row>
    <row r="706" spans="1:11" ht="14.25" customHeight="1" x14ac:dyDescent="0.2">
      <c r="A706" s="384" t="s">
        <v>1511</v>
      </c>
      <c r="B706" s="382" t="s">
        <v>312</v>
      </c>
      <c r="C706" s="893"/>
      <c r="D706" s="898"/>
      <c r="E706" s="360">
        <v>45</v>
      </c>
      <c r="F706" s="382"/>
      <c r="G706" s="382"/>
      <c r="H706" s="461">
        <v>18</v>
      </c>
      <c r="I706" s="891"/>
      <c r="J706" s="461">
        <v>30897.728959477514</v>
      </c>
      <c r="K706" s="486"/>
    </row>
    <row r="707" spans="1:11" ht="14.25" customHeight="1" x14ac:dyDescent="0.2">
      <c r="A707" s="384" t="s">
        <v>1512</v>
      </c>
      <c r="B707" s="382" t="s">
        <v>312</v>
      </c>
      <c r="C707" s="893"/>
      <c r="D707" s="898"/>
      <c r="E707" s="360">
        <v>46</v>
      </c>
      <c r="F707" s="382"/>
      <c r="G707" s="382"/>
      <c r="H707" s="461">
        <v>9</v>
      </c>
      <c r="I707" s="891"/>
      <c r="J707" s="461">
        <v>15448.864479738757</v>
      </c>
      <c r="K707" s="486"/>
    </row>
    <row r="708" spans="1:11" ht="14.25" customHeight="1" x14ac:dyDescent="0.2">
      <c r="A708" s="384" t="s">
        <v>1513</v>
      </c>
      <c r="B708" s="382" t="s">
        <v>312</v>
      </c>
      <c r="C708" s="893"/>
      <c r="D708" s="898"/>
      <c r="E708" s="360" t="s">
        <v>440</v>
      </c>
      <c r="F708" s="382"/>
      <c r="G708" s="382"/>
      <c r="H708" s="461">
        <v>9</v>
      </c>
      <c r="I708" s="891"/>
      <c r="J708" s="461">
        <v>15448.864479738757</v>
      </c>
      <c r="K708" s="486"/>
    </row>
    <row r="709" spans="1:11" ht="14.25" customHeight="1" x14ac:dyDescent="0.2">
      <c r="A709" s="384" t="s">
        <v>1514</v>
      </c>
      <c r="B709" s="382" t="s">
        <v>312</v>
      </c>
      <c r="C709" s="893"/>
      <c r="D709" s="898"/>
      <c r="E709" s="360">
        <v>48</v>
      </c>
      <c r="F709" s="382"/>
      <c r="G709" s="382"/>
      <c r="H709" s="461">
        <v>18</v>
      </c>
      <c r="I709" s="891"/>
      <c r="J709" s="461">
        <v>30897.728959477514</v>
      </c>
      <c r="K709" s="486"/>
    </row>
    <row r="710" spans="1:11" ht="14.25" customHeight="1" x14ac:dyDescent="0.2">
      <c r="A710" s="384" t="s">
        <v>1515</v>
      </c>
      <c r="B710" s="382" t="s">
        <v>312</v>
      </c>
      <c r="C710" s="893"/>
      <c r="D710" s="898"/>
      <c r="E710" s="360">
        <v>50</v>
      </c>
      <c r="F710" s="382"/>
      <c r="G710" s="382"/>
      <c r="H710" s="461">
        <v>9</v>
      </c>
      <c r="I710" s="891"/>
      <c r="J710" s="461">
        <v>15448.864479738757</v>
      </c>
      <c r="K710" s="486"/>
    </row>
    <row r="711" spans="1:11" ht="14.25" customHeight="1" x14ac:dyDescent="0.2">
      <c r="A711" s="384" t="s">
        <v>1516</v>
      </c>
      <c r="B711" s="382" t="s">
        <v>312</v>
      </c>
      <c r="C711" s="893"/>
      <c r="D711" s="898"/>
      <c r="E711" s="360" t="s">
        <v>441</v>
      </c>
      <c r="F711" s="382"/>
      <c r="G711" s="382"/>
      <c r="H711" s="461">
        <v>9</v>
      </c>
      <c r="I711" s="891"/>
      <c r="J711" s="461">
        <v>15448.864479738757</v>
      </c>
      <c r="K711" s="486"/>
    </row>
    <row r="712" spans="1:11" ht="14.25" customHeight="1" x14ac:dyDescent="0.2">
      <c r="A712" s="384" t="s">
        <v>1517</v>
      </c>
      <c r="B712" s="382" t="s">
        <v>312</v>
      </c>
      <c r="C712" s="893"/>
      <c r="D712" s="898"/>
      <c r="E712" s="360">
        <v>51</v>
      </c>
      <c r="F712" s="382"/>
      <c r="G712" s="382"/>
      <c r="H712" s="461">
        <v>18</v>
      </c>
      <c r="I712" s="891"/>
      <c r="J712" s="461">
        <v>30897.728959477514</v>
      </c>
      <c r="K712" s="486"/>
    </row>
    <row r="713" spans="1:11" ht="14.25" customHeight="1" x14ac:dyDescent="0.2">
      <c r="A713" s="384" t="s">
        <v>1518</v>
      </c>
      <c r="B713" s="382" t="s">
        <v>312</v>
      </c>
      <c r="C713" s="893"/>
      <c r="D713" s="898"/>
      <c r="E713" s="360" t="s">
        <v>442</v>
      </c>
      <c r="F713" s="382"/>
      <c r="G713" s="382"/>
      <c r="H713" s="461"/>
      <c r="I713" s="891"/>
      <c r="J713" s="461">
        <v>0</v>
      </c>
      <c r="K713" s="486"/>
    </row>
    <row r="714" spans="1:11" ht="14.25" customHeight="1" x14ac:dyDescent="0.2">
      <c r="A714" s="384" t="s">
        <v>1519</v>
      </c>
      <c r="B714" s="382" t="s">
        <v>312</v>
      </c>
      <c r="C714" s="893"/>
      <c r="D714" s="898"/>
      <c r="E714" s="360">
        <v>52</v>
      </c>
      <c r="F714" s="382"/>
      <c r="G714" s="382"/>
      <c r="H714" s="461"/>
      <c r="I714" s="891"/>
      <c r="J714" s="461">
        <v>0</v>
      </c>
      <c r="K714" s="486"/>
    </row>
    <row r="715" spans="1:11" ht="14.25" customHeight="1" x14ac:dyDescent="0.2">
      <c r="A715" s="384" t="s">
        <v>1520</v>
      </c>
      <c r="B715" s="382" t="s">
        <v>312</v>
      </c>
      <c r="C715" s="893"/>
      <c r="D715" s="898"/>
      <c r="E715" s="360">
        <v>53</v>
      </c>
      <c r="F715" s="382"/>
      <c r="G715" s="382"/>
      <c r="H715" s="461">
        <v>18</v>
      </c>
      <c r="I715" s="891"/>
      <c r="J715" s="461">
        <v>30897.728959477514</v>
      </c>
      <c r="K715" s="486"/>
    </row>
    <row r="716" spans="1:11" ht="14.25" customHeight="1" x14ac:dyDescent="0.2">
      <c r="A716" s="384" t="s">
        <v>1521</v>
      </c>
      <c r="B716" s="382" t="s">
        <v>312</v>
      </c>
      <c r="C716" s="893"/>
      <c r="D716" s="898"/>
      <c r="E716" s="360">
        <v>57</v>
      </c>
      <c r="F716" s="382"/>
      <c r="G716" s="382"/>
      <c r="H716" s="461">
        <v>18</v>
      </c>
      <c r="I716" s="891"/>
      <c r="J716" s="461">
        <v>30897.728959477514</v>
      </c>
      <c r="K716" s="486"/>
    </row>
    <row r="717" spans="1:11" ht="14.25" customHeight="1" x14ac:dyDescent="0.2">
      <c r="A717" s="384" t="s">
        <v>1522</v>
      </c>
      <c r="B717" s="382" t="s">
        <v>312</v>
      </c>
      <c r="C717" s="893"/>
      <c r="D717" s="898"/>
      <c r="E717" s="360">
        <v>58</v>
      </c>
      <c r="F717" s="382"/>
      <c r="G717" s="382"/>
      <c r="H717" s="461">
        <v>18</v>
      </c>
      <c r="I717" s="891"/>
      <c r="J717" s="461">
        <v>30897.728959477514</v>
      </c>
      <c r="K717" s="486"/>
    </row>
    <row r="718" spans="1:11" ht="14.25" customHeight="1" x14ac:dyDescent="0.2">
      <c r="A718" s="384" t="s">
        <v>1523</v>
      </c>
      <c r="B718" s="382" t="s">
        <v>312</v>
      </c>
      <c r="C718" s="893"/>
      <c r="D718" s="898"/>
      <c r="E718" s="360" t="s">
        <v>443</v>
      </c>
      <c r="F718" s="382"/>
      <c r="G718" s="382"/>
      <c r="H718" s="461"/>
      <c r="I718" s="891"/>
      <c r="J718" s="461">
        <v>0</v>
      </c>
      <c r="K718" s="486"/>
    </row>
    <row r="719" spans="1:11" ht="14.25" customHeight="1" x14ac:dyDescent="0.2">
      <c r="A719" s="384" t="s">
        <v>1524</v>
      </c>
      <c r="B719" s="382" t="s">
        <v>312</v>
      </c>
      <c r="C719" s="893"/>
      <c r="D719" s="898"/>
      <c r="E719" s="360" t="s">
        <v>6622</v>
      </c>
      <c r="F719" s="382"/>
      <c r="G719" s="382"/>
      <c r="H719" s="461">
        <v>1</v>
      </c>
      <c r="I719" s="891"/>
      <c r="J719" s="461">
        <v>1716.5404977487508</v>
      </c>
      <c r="K719" s="486"/>
    </row>
    <row r="720" spans="1:11" x14ac:dyDescent="0.2">
      <c r="A720" s="384" t="s">
        <v>1525</v>
      </c>
      <c r="B720" s="382" t="s">
        <v>312</v>
      </c>
      <c r="C720" s="893"/>
      <c r="D720" s="898"/>
      <c r="E720" s="360">
        <v>61</v>
      </c>
      <c r="F720" s="382"/>
      <c r="G720" s="382"/>
      <c r="H720" s="461">
        <v>18</v>
      </c>
      <c r="I720" s="891"/>
      <c r="J720" s="461">
        <v>30897.728959477514</v>
      </c>
      <c r="K720" s="486"/>
    </row>
    <row r="721" spans="1:11" ht="12.75" customHeight="1" x14ac:dyDescent="0.2">
      <c r="A721" s="384" t="s">
        <v>1526</v>
      </c>
      <c r="B721" s="382" t="s">
        <v>312</v>
      </c>
      <c r="C721" s="893"/>
      <c r="D721" s="898"/>
      <c r="E721" s="360">
        <v>62</v>
      </c>
      <c r="F721" s="382"/>
      <c r="G721" s="382"/>
      <c r="H721" s="461"/>
      <c r="I721" s="891"/>
      <c r="J721" s="461">
        <v>0</v>
      </c>
      <c r="K721" s="486"/>
    </row>
    <row r="722" spans="1:11" ht="41.25" customHeight="1" x14ac:dyDescent="0.2">
      <c r="A722" s="383" t="s">
        <v>904</v>
      </c>
      <c r="B722" s="382" t="s">
        <v>308</v>
      </c>
      <c r="C722" s="617" t="s">
        <v>12937</v>
      </c>
      <c r="D722" s="619">
        <v>10</v>
      </c>
      <c r="E722" s="472">
        <v>2</v>
      </c>
      <c r="F722" s="196"/>
      <c r="G722" s="382"/>
      <c r="H722" s="461">
        <f>633.2-587</f>
        <v>46.200000000000045</v>
      </c>
      <c r="I722" s="618">
        <v>1964</v>
      </c>
      <c r="J722" s="461">
        <f>1442700/633.2*H722</f>
        <v>105263.3291219205</v>
      </c>
      <c r="K722" s="486"/>
    </row>
    <row r="723" spans="1:11" ht="12.75" customHeight="1" x14ac:dyDescent="0.2">
      <c r="A723" s="383" t="s">
        <v>905</v>
      </c>
      <c r="B723" s="382"/>
      <c r="C723" s="877" t="s">
        <v>12938</v>
      </c>
      <c r="D723" s="880">
        <v>11</v>
      </c>
      <c r="E723" s="472"/>
      <c r="F723" s="196"/>
      <c r="G723" s="382"/>
      <c r="H723" s="461">
        <f>640.3-640.3</f>
        <v>0</v>
      </c>
      <c r="I723" s="883">
        <v>1960</v>
      </c>
      <c r="J723" s="461">
        <f>1459600-1459600</f>
        <v>0</v>
      </c>
      <c r="K723" s="486"/>
    </row>
    <row r="724" spans="1:11" ht="27" customHeight="1" x14ac:dyDescent="0.2">
      <c r="A724" s="384" t="s">
        <v>4003</v>
      </c>
      <c r="B724" s="382" t="s">
        <v>308</v>
      </c>
      <c r="C724" s="879"/>
      <c r="D724" s="882"/>
      <c r="E724" s="472">
        <v>2</v>
      </c>
      <c r="F724" s="196"/>
      <c r="G724" s="382"/>
      <c r="H724" s="461">
        <f>640.3-592.7</f>
        <v>47.599999999999909</v>
      </c>
      <c r="I724" s="885"/>
      <c r="J724" s="461">
        <f>1459600/640.3*H724</f>
        <v>108506.88739653268</v>
      </c>
      <c r="K724" s="486"/>
    </row>
    <row r="725" spans="1:11" ht="16.5" customHeight="1" x14ac:dyDescent="0.2">
      <c r="A725" s="383" t="s">
        <v>906</v>
      </c>
      <c r="B725" s="382"/>
      <c r="C725" s="877" t="s">
        <v>12939</v>
      </c>
      <c r="D725" s="880">
        <v>12</v>
      </c>
      <c r="E725" s="472"/>
      <c r="F725" s="196"/>
      <c r="G725" s="382"/>
      <c r="H725" s="461">
        <f>635.1-635.1</f>
        <v>0</v>
      </c>
      <c r="I725" s="883">
        <v>1959</v>
      </c>
      <c r="J725" s="461">
        <f>1442200-1442200</f>
        <v>0</v>
      </c>
      <c r="K725" s="486"/>
    </row>
    <row r="726" spans="1:11" ht="16.5" customHeight="1" x14ac:dyDescent="0.2">
      <c r="A726" s="384" t="s">
        <v>1527</v>
      </c>
      <c r="B726" s="382" t="s">
        <v>308</v>
      </c>
      <c r="C726" s="878"/>
      <c r="D726" s="881"/>
      <c r="E726" s="472">
        <v>9</v>
      </c>
      <c r="F726" s="196"/>
      <c r="G726" s="382"/>
      <c r="H726" s="461">
        <v>36.72</v>
      </c>
      <c r="I726" s="884"/>
      <c r="J726" s="461">
        <v>83384.638639584315</v>
      </c>
      <c r="K726" s="486"/>
    </row>
    <row r="727" spans="1:11" ht="12.75" customHeight="1" x14ac:dyDescent="0.2">
      <c r="A727" s="384" t="s">
        <v>1528</v>
      </c>
      <c r="B727" s="382" t="s">
        <v>308</v>
      </c>
      <c r="C727" s="878"/>
      <c r="D727" s="881"/>
      <c r="E727" s="472" t="s">
        <v>445</v>
      </c>
      <c r="F727" s="196"/>
      <c r="G727" s="382"/>
      <c r="H727" s="461">
        <v>9.18</v>
      </c>
      <c r="I727" s="884"/>
      <c r="J727" s="461">
        <v>20846.159659896079</v>
      </c>
      <c r="K727" s="486"/>
    </row>
    <row r="728" spans="1:11" ht="13.5" customHeight="1" x14ac:dyDescent="0.2">
      <c r="A728" s="384" t="s">
        <v>1529</v>
      </c>
      <c r="B728" s="382" t="s">
        <v>308</v>
      </c>
      <c r="C728" s="878"/>
      <c r="D728" s="881"/>
      <c r="E728" s="472" t="s">
        <v>446</v>
      </c>
      <c r="F728" s="196"/>
      <c r="G728" s="382"/>
      <c r="H728" s="461">
        <v>18.36</v>
      </c>
      <c r="I728" s="884"/>
      <c r="J728" s="461">
        <v>41692.319319792157</v>
      </c>
      <c r="K728" s="486"/>
    </row>
    <row r="729" spans="1:11" ht="15" customHeight="1" x14ac:dyDescent="0.2">
      <c r="A729" s="383" t="s">
        <v>907</v>
      </c>
      <c r="B729" s="382"/>
      <c r="C729" s="877" t="s">
        <v>12940</v>
      </c>
      <c r="D729" s="880">
        <v>2</v>
      </c>
      <c r="E729" s="472"/>
      <c r="F729" s="196"/>
      <c r="G729" s="382"/>
      <c r="H729" s="461">
        <f>3088.1-3088.1</f>
        <v>0</v>
      </c>
      <c r="I729" s="883">
        <v>1971</v>
      </c>
      <c r="J729" s="461">
        <f>7002800-7002800</f>
        <v>0</v>
      </c>
      <c r="K729" s="486"/>
    </row>
    <row r="730" spans="1:11" ht="16.5" customHeight="1" x14ac:dyDescent="0.2">
      <c r="A730" s="384" t="s">
        <v>1530</v>
      </c>
      <c r="B730" s="382" t="s">
        <v>308</v>
      </c>
      <c r="C730" s="878"/>
      <c r="D730" s="881"/>
      <c r="E730" s="472">
        <v>12</v>
      </c>
      <c r="F730" s="196"/>
      <c r="G730" s="382"/>
      <c r="H730" s="461">
        <v>54</v>
      </c>
      <c r="I730" s="884"/>
      <c r="J730" s="461">
        <v>122454.32466565202</v>
      </c>
      <c r="K730" s="486"/>
    </row>
    <row r="731" spans="1:11" ht="17.25" customHeight="1" x14ac:dyDescent="0.2">
      <c r="A731" s="384" t="s">
        <v>1531</v>
      </c>
      <c r="B731" s="382" t="s">
        <v>308</v>
      </c>
      <c r="C731" s="878"/>
      <c r="D731" s="881"/>
      <c r="E731" s="472">
        <v>14</v>
      </c>
      <c r="F731" s="196"/>
      <c r="G731" s="382"/>
      <c r="H731" s="461">
        <v>41.8</v>
      </c>
      <c r="I731" s="884"/>
      <c r="J731" s="461">
        <v>94788.717981930633</v>
      </c>
      <c r="K731" s="486"/>
    </row>
    <row r="732" spans="1:11" ht="24" customHeight="1" x14ac:dyDescent="0.2">
      <c r="A732" s="384" t="s">
        <v>1532</v>
      </c>
      <c r="B732" s="382" t="s">
        <v>308</v>
      </c>
      <c r="C732" s="878"/>
      <c r="D732" s="881"/>
      <c r="E732" s="472">
        <v>2</v>
      </c>
      <c r="F732" s="196"/>
      <c r="G732" s="382"/>
      <c r="H732" s="461">
        <v>43.2</v>
      </c>
      <c r="I732" s="884"/>
      <c r="J732" s="461">
        <v>97963.459732521631</v>
      </c>
      <c r="K732" s="486"/>
    </row>
    <row r="733" spans="1:11" ht="12.75" customHeight="1" x14ac:dyDescent="0.2">
      <c r="A733" s="384" t="s">
        <v>1533</v>
      </c>
      <c r="B733" s="382" t="s">
        <v>308</v>
      </c>
      <c r="C733" s="878"/>
      <c r="D733" s="881"/>
      <c r="E733" s="472">
        <v>51</v>
      </c>
      <c r="F733" s="196"/>
      <c r="G733" s="382"/>
      <c r="H733" s="461">
        <v>41</v>
      </c>
      <c r="I733" s="884"/>
      <c r="J733" s="461">
        <v>92974.579838735794</v>
      </c>
      <c r="K733" s="486"/>
    </row>
    <row r="734" spans="1:11" ht="25.5" customHeight="1" x14ac:dyDescent="0.2">
      <c r="A734" s="384" t="s">
        <v>12668</v>
      </c>
      <c r="B734" s="382" t="s">
        <v>10781</v>
      </c>
      <c r="C734" s="879"/>
      <c r="D734" s="882"/>
      <c r="E734" s="472">
        <v>32</v>
      </c>
      <c r="F734" s="196" t="s">
        <v>12669</v>
      </c>
      <c r="G734" s="382" t="s">
        <v>133</v>
      </c>
      <c r="H734" s="461">
        <v>30.5</v>
      </c>
      <c r="I734" s="885"/>
      <c r="J734" s="461">
        <v>1065700.5</v>
      </c>
      <c r="K734" s="486">
        <v>582672.85</v>
      </c>
    </row>
    <row r="735" spans="1:11" ht="12.75" customHeight="1" x14ac:dyDescent="0.2">
      <c r="A735" s="383" t="s">
        <v>908</v>
      </c>
      <c r="B735" s="382"/>
      <c r="C735" s="893" t="s">
        <v>12941</v>
      </c>
      <c r="D735" s="898">
        <v>3</v>
      </c>
      <c r="E735" s="501"/>
      <c r="F735" s="196"/>
      <c r="G735" s="382"/>
      <c r="H735" s="461">
        <f>3321.7-3321.7</f>
        <v>0</v>
      </c>
      <c r="I735" s="891">
        <v>1971</v>
      </c>
      <c r="J735" s="461">
        <f>7133500-7133500</f>
        <v>0</v>
      </c>
      <c r="K735" s="486"/>
    </row>
    <row r="736" spans="1:11" ht="12.75" customHeight="1" x14ac:dyDescent="0.2">
      <c r="A736" s="384" t="s">
        <v>12942</v>
      </c>
      <c r="B736" s="382" t="s">
        <v>308</v>
      </c>
      <c r="C736" s="893"/>
      <c r="D736" s="898"/>
      <c r="E736" s="501">
        <v>39</v>
      </c>
      <c r="F736" s="196"/>
      <c r="G736" s="382"/>
      <c r="H736" s="461">
        <v>46.1</v>
      </c>
      <c r="I736" s="891"/>
      <c r="J736" s="461">
        <v>99001.821356534318</v>
      </c>
      <c r="K736" s="486"/>
    </row>
    <row r="737" spans="1:11" x14ac:dyDescent="0.2">
      <c r="A737" s="384" t="s">
        <v>1534</v>
      </c>
      <c r="B737" s="382" t="s">
        <v>308</v>
      </c>
      <c r="C737" s="893"/>
      <c r="D737" s="898"/>
      <c r="E737" s="501">
        <v>55</v>
      </c>
      <c r="F737" s="196" t="s">
        <v>447</v>
      </c>
      <c r="G737" s="382"/>
      <c r="H737" s="461">
        <v>57.9</v>
      </c>
      <c r="I737" s="891"/>
      <c r="J737" s="461">
        <v>124342.85155191619</v>
      </c>
      <c r="K737" s="486">
        <v>1109148.17</v>
      </c>
    </row>
    <row r="738" spans="1:11" x14ac:dyDescent="0.2">
      <c r="A738" s="383" t="s">
        <v>909</v>
      </c>
      <c r="B738" s="382"/>
      <c r="C738" s="893" t="s">
        <v>12943</v>
      </c>
      <c r="D738" s="898">
        <v>4</v>
      </c>
      <c r="E738" s="472"/>
      <c r="F738" s="196"/>
      <c r="G738" s="382"/>
      <c r="H738" s="461">
        <f>3455.3-3455.3</f>
        <v>0</v>
      </c>
      <c r="I738" s="891">
        <v>1970</v>
      </c>
      <c r="J738" s="461">
        <f>8908800-8908800</f>
        <v>0</v>
      </c>
      <c r="K738" s="486"/>
    </row>
    <row r="739" spans="1:11" ht="12.75" customHeight="1" x14ac:dyDescent="0.2">
      <c r="A739" s="384" t="s">
        <v>1535</v>
      </c>
      <c r="B739" s="382" t="s">
        <v>308</v>
      </c>
      <c r="C739" s="893"/>
      <c r="D739" s="898"/>
      <c r="E739" s="485">
        <v>15</v>
      </c>
      <c r="F739" s="196"/>
      <c r="G739" s="382"/>
      <c r="H739" s="461">
        <v>31.2</v>
      </c>
      <c r="I739" s="891"/>
      <c r="J739" s="461">
        <v>80442.960090296066</v>
      </c>
      <c r="K739" s="486"/>
    </row>
    <row r="740" spans="1:11" x14ac:dyDescent="0.2">
      <c r="A740" s="384" t="s">
        <v>1536</v>
      </c>
      <c r="B740" s="382" t="s">
        <v>308</v>
      </c>
      <c r="C740" s="893"/>
      <c r="D740" s="898"/>
      <c r="E740" s="485">
        <v>32</v>
      </c>
      <c r="F740" s="196"/>
      <c r="G740" s="382"/>
      <c r="H740" s="461">
        <v>48</v>
      </c>
      <c r="I740" s="891"/>
      <c r="J740" s="461">
        <v>123758.40013891703</v>
      </c>
      <c r="K740" s="486"/>
    </row>
    <row r="741" spans="1:11" ht="12.75" customHeight="1" x14ac:dyDescent="0.2">
      <c r="A741" s="384" t="s">
        <v>1537</v>
      </c>
      <c r="B741" s="382" t="s">
        <v>308</v>
      </c>
      <c r="C741" s="893"/>
      <c r="D741" s="898"/>
      <c r="E741" s="485">
        <v>4</v>
      </c>
      <c r="F741" s="196"/>
      <c r="G741" s="382"/>
      <c r="H741" s="461">
        <v>58.5</v>
      </c>
      <c r="I741" s="891"/>
      <c r="J741" s="461">
        <v>150830.55016930512</v>
      </c>
      <c r="K741" s="486"/>
    </row>
    <row r="742" spans="1:11" x14ac:dyDescent="0.2">
      <c r="A742" s="383" t="s">
        <v>910</v>
      </c>
      <c r="B742" s="382"/>
      <c r="C742" s="877" t="s">
        <v>12944</v>
      </c>
      <c r="D742" s="880">
        <v>5</v>
      </c>
      <c r="E742" s="472"/>
      <c r="F742" s="196"/>
      <c r="G742" s="382"/>
      <c r="H742" s="461">
        <f>3322.4-3322.4</f>
        <v>0</v>
      </c>
      <c r="I742" s="883">
        <v>1970</v>
      </c>
      <c r="J742" s="461">
        <f>8286100-8286100</f>
        <v>0</v>
      </c>
      <c r="K742" s="486"/>
    </row>
    <row r="743" spans="1:11" ht="12.75" customHeight="1" x14ac:dyDescent="0.2">
      <c r="A743" s="384" t="s">
        <v>911</v>
      </c>
      <c r="B743" s="382" t="s">
        <v>308</v>
      </c>
      <c r="C743" s="878"/>
      <c r="D743" s="881"/>
      <c r="E743" s="472" t="s">
        <v>449</v>
      </c>
      <c r="F743" s="196"/>
      <c r="G743" s="382"/>
      <c r="H743" s="461">
        <v>21.91</v>
      </c>
      <c r="I743" s="884"/>
      <c r="J743" s="461">
        <v>54643.766855285328</v>
      </c>
      <c r="K743" s="486"/>
    </row>
    <row r="744" spans="1:11" x14ac:dyDescent="0.2">
      <c r="A744" s="384" t="s">
        <v>1540</v>
      </c>
      <c r="B744" s="382" t="s">
        <v>308</v>
      </c>
      <c r="C744" s="878"/>
      <c r="D744" s="881"/>
      <c r="E744" s="472" t="s">
        <v>450</v>
      </c>
      <c r="F744" s="196"/>
      <c r="G744" s="382"/>
      <c r="H744" s="461">
        <v>17.8</v>
      </c>
      <c r="I744" s="884"/>
      <c r="J744" s="461">
        <v>44393.384300505655</v>
      </c>
      <c r="K744" s="486"/>
    </row>
    <row r="745" spans="1:11" x14ac:dyDescent="0.2">
      <c r="A745" s="384" t="s">
        <v>1541</v>
      </c>
      <c r="B745" s="382" t="s">
        <v>308</v>
      </c>
      <c r="C745" s="878"/>
      <c r="D745" s="881"/>
      <c r="E745" s="472">
        <v>68</v>
      </c>
      <c r="F745" s="196"/>
      <c r="G745" s="382"/>
      <c r="H745" s="461">
        <v>31.1</v>
      </c>
      <c r="I745" s="884"/>
      <c r="J745" s="461">
        <v>77563.722008186844</v>
      </c>
      <c r="K745" s="486"/>
    </row>
    <row r="746" spans="1:11" ht="12.75" customHeight="1" x14ac:dyDescent="0.2">
      <c r="A746" s="384" t="s">
        <v>12543</v>
      </c>
      <c r="B746" s="382" t="s">
        <v>10781</v>
      </c>
      <c r="C746" s="879"/>
      <c r="D746" s="882"/>
      <c r="E746" s="472">
        <v>11</v>
      </c>
      <c r="F746" s="196" t="s">
        <v>12544</v>
      </c>
      <c r="G746" s="382" t="s">
        <v>134</v>
      </c>
      <c r="H746" s="461">
        <v>30.2</v>
      </c>
      <c r="I746" s="885"/>
      <c r="J746" s="461">
        <v>1055218.2</v>
      </c>
      <c r="K746" s="486">
        <v>598565.81000000006</v>
      </c>
    </row>
    <row r="747" spans="1:11" x14ac:dyDescent="0.2">
      <c r="A747" s="383" t="s">
        <v>912</v>
      </c>
      <c r="B747" s="382"/>
      <c r="C747" s="893" t="s">
        <v>12945</v>
      </c>
      <c r="D747" s="898">
        <v>6</v>
      </c>
      <c r="E747" s="485"/>
      <c r="F747" s="196"/>
      <c r="G747" s="382"/>
      <c r="H747" s="461">
        <f>4387-4387</f>
        <v>0</v>
      </c>
      <c r="I747" s="891">
        <v>1968</v>
      </c>
      <c r="J747" s="461">
        <f>7853300-7853300</f>
        <v>0</v>
      </c>
      <c r="K747" s="486"/>
    </row>
    <row r="748" spans="1:11" x14ac:dyDescent="0.2">
      <c r="A748" s="384" t="s">
        <v>1542</v>
      </c>
      <c r="B748" s="382" t="s">
        <v>308</v>
      </c>
      <c r="C748" s="893"/>
      <c r="D748" s="898"/>
      <c r="E748" s="472">
        <v>21</v>
      </c>
      <c r="F748" s="196" t="s">
        <v>452</v>
      </c>
      <c r="G748" s="382"/>
      <c r="H748" s="461">
        <v>43.2</v>
      </c>
      <c r="I748" s="891"/>
      <c r="J748" s="461">
        <v>77333.612947344431</v>
      </c>
      <c r="K748" s="486">
        <v>800034.98</v>
      </c>
    </row>
    <row r="749" spans="1:11" ht="12.75" customHeight="1" x14ac:dyDescent="0.2">
      <c r="A749" s="384" t="s">
        <v>1543</v>
      </c>
      <c r="B749" s="382" t="s">
        <v>308</v>
      </c>
      <c r="C749" s="893"/>
      <c r="D749" s="898"/>
      <c r="E749" s="472">
        <v>22</v>
      </c>
      <c r="F749" s="196"/>
      <c r="G749" s="382"/>
      <c r="H749" s="461">
        <v>14.45</v>
      </c>
      <c r="I749" s="891"/>
      <c r="J749" s="461">
        <v>25867.377478914972</v>
      </c>
      <c r="K749" s="486"/>
    </row>
    <row r="750" spans="1:11" x14ac:dyDescent="0.2">
      <c r="A750" s="384" t="s">
        <v>1544</v>
      </c>
      <c r="B750" s="382" t="s">
        <v>308</v>
      </c>
      <c r="C750" s="893"/>
      <c r="D750" s="898"/>
      <c r="E750" s="472" t="s">
        <v>451</v>
      </c>
      <c r="F750" s="196"/>
      <c r="G750" s="382"/>
      <c r="H750" s="461">
        <v>14.45</v>
      </c>
      <c r="I750" s="891"/>
      <c r="J750" s="461">
        <v>25867.377478914972</v>
      </c>
      <c r="K750" s="486"/>
    </row>
    <row r="751" spans="1:11" x14ac:dyDescent="0.2">
      <c r="A751" s="384" t="s">
        <v>1545</v>
      </c>
      <c r="B751" s="382" t="s">
        <v>308</v>
      </c>
      <c r="C751" s="893"/>
      <c r="D751" s="898"/>
      <c r="E751" s="485">
        <v>32</v>
      </c>
      <c r="F751" s="196"/>
      <c r="G751" s="382"/>
      <c r="H751" s="461">
        <v>61</v>
      </c>
      <c r="I751" s="891"/>
      <c r="J751" s="461">
        <v>109197.92568953725</v>
      </c>
      <c r="K751" s="486"/>
    </row>
    <row r="752" spans="1:11" ht="12.75" customHeight="1" x14ac:dyDescent="0.2">
      <c r="A752" s="384" t="s">
        <v>1546</v>
      </c>
      <c r="B752" s="382" t="s">
        <v>308</v>
      </c>
      <c r="C752" s="893"/>
      <c r="D752" s="898"/>
      <c r="E752" s="485">
        <v>38</v>
      </c>
      <c r="F752" s="196"/>
      <c r="G752" s="382"/>
      <c r="H752" s="461">
        <v>42.7</v>
      </c>
      <c r="I752" s="891"/>
      <c r="J752" s="461">
        <v>76438.547982676086</v>
      </c>
      <c r="K752" s="486"/>
    </row>
    <row r="753" spans="1:11" ht="12.75" customHeight="1" x14ac:dyDescent="0.2">
      <c r="A753" s="384" t="s">
        <v>1547</v>
      </c>
      <c r="B753" s="382" t="s">
        <v>308</v>
      </c>
      <c r="C753" s="893"/>
      <c r="D753" s="898"/>
      <c r="E753" s="485">
        <v>62</v>
      </c>
      <c r="F753" s="196" t="s">
        <v>11933</v>
      </c>
      <c r="G753" s="382" t="s">
        <v>538</v>
      </c>
      <c r="H753" s="461">
        <v>46.4</v>
      </c>
      <c r="I753" s="891"/>
      <c r="J753" s="461">
        <v>83062.028721221781</v>
      </c>
      <c r="K753" s="486"/>
    </row>
    <row r="754" spans="1:11" x14ac:dyDescent="0.2">
      <c r="A754" s="384" t="s">
        <v>1548</v>
      </c>
      <c r="B754" s="382" t="s">
        <v>308</v>
      </c>
      <c r="C754" s="893"/>
      <c r="D754" s="898"/>
      <c r="E754" s="485">
        <v>74</v>
      </c>
      <c r="F754" s="196" t="s">
        <v>453</v>
      </c>
      <c r="G754" s="382"/>
      <c r="H754" s="461">
        <v>44.7</v>
      </c>
      <c r="I754" s="891"/>
      <c r="J754" s="461">
        <v>80018.807841349437</v>
      </c>
      <c r="K754" s="486">
        <v>859820.61</v>
      </c>
    </row>
    <row r="755" spans="1:11" x14ac:dyDescent="0.2">
      <c r="A755" s="383" t="s">
        <v>1549</v>
      </c>
      <c r="B755" s="382"/>
      <c r="C755" s="893" t="s">
        <v>12946</v>
      </c>
      <c r="D755" s="898">
        <v>7</v>
      </c>
      <c r="E755" s="485"/>
      <c r="F755" s="196"/>
      <c r="G755" s="382"/>
      <c r="H755" s="461">
        <f>3106.2-3106.2</f>
        <v>0</v>
      </c>
      <c r="I755" s="891">
        <v>1969</v>
      </c>
      <c r="J755" s="461">
        <f>6874600-6874600</f>
        <v>0</v>
      </c>
      <c r="K755" s="486"/>
    </row>
    <row r="756" spans="1:11" ht="27" customHeight="1" x14ac:dyDescent="0.2">
      <c r="A756" s="384" t="s">
        <v>1550</v>
      </c>
      <c r="B756" s="382" t="s">
        <v>308</v>
      </c>
      <c r="C756" s="893"/>
      <c r="D756" s="898"/>
      <c r="E756" s="485">
        <v>2</v>
      </c>
      <c r="F756" s="196" t="s">
        <v>454</v>
      </c>
      <c r="G756" s="382"/>
      <c r="H756" s="461">
        <v>40.1</v>
      </c>
      <c r="I756" s="891"/>
      <c r="J756" s="461">
        <v>88748.779859635571</v>
      </c>
      <c r="K756" s="486">
        <v>771337.95</v>
      </c>
    </row>
    <row r="757" spans="1:11" ht="25.5" customHeight="1" x14ac:dyDescent="0.2">
      <c r="A757" s="383" t="s">
        <v>913</v>
      </c>
      <c r="B757" s="382"/>
      <c r="C757" s="893" t="s">
        <v>12947</v>
      </c>
      <c r="D757" s="898">
        <v>8</v>
      </c>
      <c r="E757" s="485"/>
      <c r="F757" s="196"/>
      <c r="G757" s="382"/>
      <c r="H757" s="461">
        <f>3735.6-3735.6</f>
        <v>0</v>
      </c>
      <c r="I757" s="891">
        <v>1989</v>
      </c>
      <c r="J757" s="461">
        <f>14634500-14634500</f>
        <v>0</v>
      </c>
      <c r="K757" s="486"/>
    </row>
    <row r="758" spans="1:11" ht="12.75" customHeight="1" x14ac:dyDescent="0.2">
      <c r="A758" s="384" t="s">
        <v>914</v>
      </c>
      <c r="B758" s="382" t="s">
        <v>308</v>
      </c>
      <c r="C758" s="893"/>
      <c r="D758" s="898"/>
      <c r="E758" s="485">
        <v>12</v>
      </c>
      <c r="F758" s="196"/>
      <c r="G758" s="382"/>
      <c r="H758" s="461">
        <v>50.5</v>
      </c>
      <c r="I758" s="891"/>
      <c r="J758" s="461">
        <v>197837.62983188781</v>
      </c>
      <c r="K758" s="486"/>
    </row>
    <row r="759" spans="1:11" ht="24" customHeight="1" x14ac:dyDescent="0.2">
      <c r="A759" s="383" t="s">
        <v>915</v>
      </c>
      <c r="B759" s="382"/>
      <c r="C759" s="877" t="s">
        <v>12948</v>
      </c>
      <c r="D759" s="880">
        <v>12</v>
      </c>
      <c r="E759" s="485"/>
      <c r="F759" s="196"/>
      <c r="G759" s="382"/>
      <c r="H759" s="461">
        <f>1247.3-1247.3</f>
        <v>0</v>
      </c>
      <c r="I759" s="883">
        <v>1964</v>
      </c>
      <c r="J759" s="461">
        <f>2413600-2413600</f>
        <v>0</v>
      </c>
      <c r="K759" s="486"/>
    </row>
    <row r="760" spans="1:11" ht="24" customHeight="1" x14ac:dyDescent="0.2">
      <c r="A760" s="384" t="s">
        <v>916</v>
      </c>
      <c r="B760" s="382" t="s">
        <v>308</v>
      </c>
      <c r="C760" s="878"/>
      <c r="D760" s="881"/>
      <c r="E760" s="485">
        <v>10</v>
      </c>
      <c r="F760" s="196"/>
      <c r="G760" s="382"/>
      <c r="H760" s="461">
        <v>30.3</v>
      </c>
      <c r="I760" s="884"/>
      <c r="J760" s="461">
        <v>58632.309789144558</v>
      </c>
      <c r="K760" s="486"/>
    </row>
    <row r="761" spans="1:11" ht="12.75" customHeight="1" x14ac:dyDescent="0.2">
      <c r="A761" s="384" t="s">
        <v>12670</v>
      </c>
      <c r="B761" s="382" t="s">
        <v>10781</v>
      </c>
      <c r="C761" s="879"/>
      <c r="D761" s="882"/>
      <c r="E761" s="485">
        <v>12</v>
      </c>
      <c r="F761" s="196" t="s">
        <v>12671</v>
      </c>
      <c r="G761" s="382" t="s">
        <v>538</v>
      </c>
      <c r="H761" s="461">
        <v>41</v>
      </c>
      <c r="I761" s="885"/>
      <c r="J761" s="461">
        <v>1153053</v>
      </c>
      <c r="K761" s="486">
        <v>759292.46</v>
      </c>
    </row>
    <row r="762" spans="1:11" x14ac:dyDescent="0.2">
      <c r="A762" s="383" t="s">
        <v>917</v>
      </c>
      <c r="B762" s="382"/>
      <c r="C762" s="877" t="s">
        <v>12949</v>
      </c>
      <c r="D762" s="880">
        <v>13</v>
      </c>
      <c r="E762" s="485"/>
      <c r="F762" s="196"/>
      <c r="G762" s="382"/>
      <c r="H762" s="461">
        <f>2484-2484</f>
        <v>0</v>
      </c>
      <c r="I762" s="891">
        <v>1965</v>
      </c>
      <c r="J762" s="461">
        <f>4853700-4853700</f>
        <v>0</v>
      </c>
      <c r="K762" s="486"/>
    </row>
    <row r="763" spans="1:11" x14ac:dyDescent="0.2">
      <c r="A763" s="384" t="s">
        <v>918</v>
      </c>
      <c r="B763" s="382" t="s">
        <v>308</v>
      </c>
      <c r="C763" s="878"/>
      <c r="D763" s="881"/>
      <c r="E763" s="485">
        <v>2</v>
      </c>
      <c r="F763" s="196"/>
      <c r="G763" s="382"/>
      <c r="H763" s="461">
        <v>41.2</v>
      </c>
      <c r="I763" s="891"/>
      <c r="J763" s="461">
        <v>80504.202898550706</v>
      </c>
      <c r="K763" s="486"/>
    </row>
    <row r="764" spans="1:11" x14ac:dyDescent="0.2">
      <c r="A764" s="384" t="s">
        <v>1551</v>
      </c>
      <c r="B764" s="382" t="s">
        <v>308</v>
      </c>
      <c r="C764" s="878"/>
      <c r="D764" s="881"/>
      <c r="E764" s="485">
        <v>28</v>
      </c>
      <c r="F764" s="40" t="s">
        <v>11934</v>
      </c>
      <c r="G764" s="382" t="s">
        <v>134</v>
      </c>
      <c r="H764" s="461">
        <v>29.7</v>
      </c>
      <c r="I764" s="891"/>
      <c r="J764" s="461">
        <v>58033.36956521737</v>
      </c>
      <c r="K764" s="486"/>
    </row>
    <row r="765" spans="1:11" x14ac:dyDescent="0.2">
      <c r="A765" s="384" t="s">
        <v>1552</v>
      </c>
      <c r="B765" s="382" t="s">
        <v>308</v>
      </c>
      <c r="C765" s="878"/>
      <c r="D765" s="881"/>
      <c r="E765" s="472" t="s">
        <v>455</v>
      </c>
      <c r="F765" s="196"/>
      <c r="G765" s="382"/>
      <c r="H765" s="461">
        <v>30</v>
      </c>
      <c r="I765" s="891"/>
      <c r="J765" s="461">
        <v>58619.565217391282</v>
      </c>
      <c r="K765" s="486"/>
    </row>
    <row r="766" spans="1:11" x14ac:dyDescent="0.2">
      <c r="A766" s="384" t="s">
        <v>1553</v>
      </c>
      <c r="B766" s="382" t="s">
        <v>308</v>
      </c>
      <c r="C766" s="878"/>
      <c r="D766" s="881"/>
      <c r="E766" s="485">
        <v>4</v>
      </c>
      <c r="F766" s="196" t="s">
        <v>456</v>
      </c>
      <c r="G766" s="382"/>
      <c r="H766" s="461">
        <v>40.799999999999997</v>
      </c>
      <c r="I766" s="891"/>
      <c r="J766" s="461">
        <v>79722.608695652132</v>
      </c>
      <c r="K766" s="486">
        <v>755588.6</v>
      </c>
    </row>
    <row r="767" spans="1:11" ht="17.25" customHeight="1" x14ac:dyDescent="0.2">
      <c r="A767" s="384" t="s">
        <v>1554</v>
      </c>
      <c r="B767" s="382" t="s">
        <v>308</v>
      </c>
      <c r="C767" s="878"/>
      <c r="D767" s="881"/>
      <c r="E767" s="485">
        <v>45</v>
      </c>
      <c r="F767" s="196"/>
      <c r="G767" s="382"/>
      <c r="H767" s="461">
        <v>30</v>
      </c>
      <c r="I767" s="891"/>
      <c r="J767" s="461">
        <v>58619.565217391282</v>
      </c>
      <c r="K767" s="486"/>
    </row>
    <row r="768" spans="1:11" ht="12.75" customHeight="1" x14ac:dyDescent="0.2">
      <c r="A768" s="384" t="s">
        <v>1555</v>
      </c>
      <c r="B768" s="382" t="s">
        <v>308</v>
      </c>
      <c r="C768" s="879"/>
      <c r="D768" s="882"/>
      <c r="E768" s="485">
        <v>47</v>
      </c>
      <c r="F768" s="196" t="s">
        <v>457</v>
      </c>
      <c r="G768" s="382"/>
      <c r="H768" s="461">
        <v>41.9</v>
      </c>
      <c r="I768" s="891"/>
      <c r="J768" s="461">
        <v>81871.992753623155</v>
      </c>
      <c r="K768" s="486">
        <v>775959.86</v>
      </c>
    </row>
    <row r="769" spans="1:11" ht="12.75" customHeight="1" x14ac:dyDescent="0.2">
      <c r="A769" s="383" t="s">
        <v>919</v>
      </c>
      <c r="B769" s="382"/>
      <c r="C769" s="893" t="s">
        <v>12950</v>
      </c>
      <c r="D769" s="898">
        <v>14</v>
      </c>
      <c r="E769" s="485"/>
      <c r="F769" s="196"/>
      <c r="G769" s="486"/>
      <c r="H769" s="461">
        <f>2477.1-2477.1</f>
        <v>0</v>
      </c>
      <c r="I769" s="891">
        <v>1964</v>
      </c>
      <c r="J769" s="461">
        <f>7002800-7002800</f>
        <v>0</v>
      </c>
      <c r="K769" s="486"/>
    </row>
    <row r="770" spans="1:11" x14ac:dyDescent="0.2">
      <c r="A770" s="384" t="s">
        <v>920</v>
      </c>
      <c r="B770" s="382" t="s">
        <v>308</v>
      </c>
      <c r="C770" s="893"/>
      <c r="D770" s="898"/>
      <c r="E770" s="485">
        <v>15</v>
      </c>
      <c r="F770" s="196"/>
      <c r="G770" s="382"/>
      <c r="H770" s="461">
        <v>40.1</v>
      </c>
      <c r="I770" s="891"/>
      <c r="J770" s="461">
        <v>113363.32001130354</v>
      </c>
      <c r="K770" s="486"/>
    </row>
    <row r="771" spans="1:11" x14ac:dyDescent="0.2">
      <c r="A771" s="384" t="s">
        <v>921</v>
      </c>
      <c r="B771" s="382" t="s">
        <v>308</v>
      </c>
      <c r="C771" s="893"/>
      <c r="D771" s="898"/>
      <c r="E771" s="485">
        <v>21</v>
      </c>
      <c r="F771" s="196"/>
      <c r="G771" s="382"/>
      <c r="H771" s="461">
        <v>24.48</v>
      </c>
      <c r="I771" s="891"/>
      <c r="J771" s="461">
        <v>69205.338500666097</v>
      </c>
      <c r="K771" s="486"/>
    </row>
    <row r="772" spans="1:11" ht="12.75" customHeight="1" x14ac:dyDescent="0.2">
      <c r="A772" s="384" t="s">
        <v>922</v>
      </c>
      <c r="B772" s="382" t="s">
        <v>308</v>
      </c>
      <c r="C772" s="893"/>
      <c r="D772" s="898"/>
      <c r="E772" s="472" t="s">
        <v>458</v>
      </c>
      <c r="F772" s="196"/>
      <c r="G772" s="382"/>
      <c r="H772" s="461">
        <v>16.32</v>
      </c>
      <c r="I772" s="891"/>
      <c r="J772" s="461">
        <v>46136.892333777403</v>
      </c>
      <c r="K772" s="486"/>
    </row>
    <row r="773" spans="1:11" x14ac:dyDescent="0.2">
      <c r="A773" s="384" t="s">
        <v>923</v>
      </c>
      <c r="B773" s="382" t="s">
        <v>308</v>
      </c>
      <c r="C773" s="893"/>
      <c r="D773" s="898"/>
      <c r="E773" s="485">
        <v>29</v>
      </c>
      <c r="F773" s="196" t="s">
        <v>460</v>
      </c>
      <c r="G773" s="382"/>
      <c r="H773" s="461">
        <v>29.6</v>
      </c>
      <c r="I773" s="891"/>
      <c r="J773" s="461">
        <v>83679.657664204118</v>
      </c>
      <c r="K773" s="486">
        <v>355358.66</v>
      </c>
    </row>
    <row r="774" spans="1:11" ht="12.75" customHeight="1" x14ac:dyDescent="0.2">
      <c r="A774" s="384" t="s">
        <v>1556</v>
      </c>
      <c r="B774" s="382" t="s">
        <v>308</v>
      </c>
      <c r="C774" s="893"/>
      <c r="D774" s="898"/>
      <c r="E774" s="485">
        <v>39</v>
      </c>
      <c r="F774" s="196"/>
      <c r="G774" s="382"/>
      <c r="H774" s="461">
        <v>43.2</v>
      </c>
      <c r="I774" s="891"/>
      <c r="J774" s="461">
        <v>122127.06794235195</v>
      </c>
      <c r="K774" s="486"/>
    </row>
    <row r="775" spans="1:11" x14ac:dyDescent="0.2">
      <c r="A775" s="384" t="s">
        <v>1557</v>
      </c>
      <c r="B775" s="382" t="s">
        <v>308</v>
      </c>
      <c r="C775" s="893"/>
      <c r="D775" s="898"/>
      <c r="E775" s="485">
        <v>60</v>
      </c>
      <c r="F775" s="196"/>
      <c r="G775" s="382"/>
      <c r="H775" s="461">
        <v>14.85</v>
      </c>
      <c r="I775" s="891"/>
      <c r="J775" s="461">
        <v>41981.179605183483</v>
      </c>
      <c r="K775" s="486"/>
    </row>
    <row r="776" spans="1:11" ht="12.75" customHeight="1" x14ac:dyDescent="0.2">
      <c r="A776" s="384" t="s">
        <v>1558</v>
      </c>
      <c r="B776" s="382" t="s">
        <v>308</v>
      </c>
      <c r="C776" s="893"/>
      <c r="D776" s="898"/>
      <c r="E776" s="472" t="s">
        <v>459</v>
      </c>
      <c r="F776" s="196"/>
      <c r="G776" s="382"/>
      <c r="H776" s="461">
        <v>14.85</v>
      </c>
      <c r="I776" s="891"/>
      <c r="J776" s="461">
        <v>41981.179605183483</v>
      </c>
      <c r="K776" s="486"/>
    </row>
    <row r="777" spans="1:11" x14ac:dyDescent="0.2">
      <c r="A777" s="384" t="s">
        <v>3532</v>
      </c>
      <c r="B777" s="382" t="s">
        <v>308</v>
      </c>
      <c r="C777" s="893"/>
      <c r="D777" s="898"/>
      <c r="E777" s="472">
        <v>46</v>
      </c>
      <c r="F777" s="196" t="s">
        <v>5570</v>
      </c>
      <c r="G777" s="382" t="s">
        <v>143</v>
      </c>
      <c r="H777" s="461">
        <f>43.3</f>
        <v>43.3</v>
      </c>
      <c r="I777" s="891"/>
      <c r="J777" s="461">
        <f>7002800/2477.1*H777</f>
        <v>122409.76948851478</v>
      </c>
      <c r="K777" s="486"/>
    </row>
    <row r="778" spans="1:11" ht="12.75" customHeight="1" x14ac:dyDescent="0.2">
      <c r="A778" s="383" t="s">
        <v>924</v>
      </c>
      <c r="B778" s="382"/>
      <c r="C778" s="877" t="s">
        <v>12951</v>
      </c>
      <c r="D778" s="880">
        <v>15</v>
      </c>
      <c r="E778" s="485"/>
      <c r="F778" s="196"/>
      <c r="G778" s="382"/>
      <c r="H778" s="461">
        <f>2551.8-2551.8</f>
        <v>0</v>
      </c>
      <c r="I778" s="883">
        <v>1965</v>
      </c>
      <c r="J778" s="461">
        <f>4186600-4186600</f>
        <v>0</v>
      </c>
      <c r="K778" s="486"/>
    </row>
    <row r="779" spans="1:11" ht="25.5" customHeight="1" x14ac:dyDescent="0.2">
      <c r="A779" s="384" t="s">
        <v>1559</v>
      </c>
      <c r="B779" s="382" t="s">
        <v>308</v>
      </c>
      <c r="C779" s="878"/>
      <c r="D779" s="881"/>
      <c r="E779" s="485">
        <v>40</v>
      </c>
      <c r="F779" s="196" t="s">
        <v>461</v>
      </c>
      <c r="G779" s="382"/>
      <c r="H779" s="461">
        <v>42.5</v>
      </c>
      <c r="I779" s="884"/>
      <c r="J779" s="461">
        <v>69727.447292107536</v>
      </c>
      <c r="K779" s="486">
        <v>817502.81</v>
      </c>
    </row>
    <row r="780" spans="1:11" ht="25.5" customHeight="1" x14ac:dyDescent="0.2">
      <c r="A780" s="384" t="s">
        <v>12545</v>
      </c>
      <c r="B780" s="382" t="s">
        <v>10781</v>
      </c>
      <c r="C780" s="879"/>
      <c r="D780" s="882"/>
      <c r="E780" s="485">
        <v>20</v>
      </c>
      <c r="F780" s="196" t="s">
        <v>12952</v>
      </c>
      <c r="G780" s="382" t="s">
        <v>7882</v>
      </c>
      <c r="H780" s="461">
        <v>30.9</v>
      </c>
      <c r="I780" s="885"/>
      <c r="J780" s="461">
        <v>1079676.8999999999</v>
      </c>
      <c r="K780" s="486">
        <v>590314.46</v>
      </c>
    </row>
    <row r="781" spans="1:11" ht="12.75" customHeight="1" x14ac:dyDescent="0.2">
      <c r="A781" s="383" t="s">
        <v>925</v>
      </c>
      <c r="B781" s="382"/>
      <c r="C781" s="877" t="s">
        <v>12953</v>
      </c>
      <c r="D781" s="880">
        <v>16</v>
      </c>
      <c r="E781" s="485"/>
      <c r="F781" s="196"/>
      <c r="G781" s="382"/>
      <c r="H781" s="461">
        <f>2529.6-2529.6</f>
        <v>0</v>
      </c>
      <c r="I781" s="883">
        <v>1965</v>
      </c>
      <c r="J781" s="461">
        <f>4213700-4213700</f>
        <v>0</v>
      </c>
      <c r="K781" s="486"/>
    </row>
    <row r="782" spans="1:11" x14ac:dyDescent="0.2">
      <c r="A782" s="384" t="s">
        <v>926</v>
      </c>
      <c r="B782" s="382" t="s">
        <v>308</v>
      </c>
      <c r="C782" s="878"/>
      <c r="D782" s="881"/>
      <c r="E782" s="485">
        <v>11</v>
      </c>
      <c r="F782" s="196"/>
      <c r="G782" s="382"/>
      <c r="H782" s="461">
        <v>30.9</v>
      </c>
      <c r="I782" s="884"/>
      <c r="J782" s="461">
        <v>51471.904648956355</v>
      </c>
      <c r="K782" s="486"/>
    </row>
    <row r="783" spans="1:11" x14ac:dyDescent="0.2">
      <c r="A783" s="384" t="s">
        <v>927</v>
      </c>
      <c r="B783" s="382" t="s">
        <v>308</v>
      </c>
      <c r="C783" s="878"/>
      <c r="D783" s="881"/>
      <c r="E783" s="485">
        <v>18</v>
      </c>
      <c r="F783" s="196" t="s">
        <v>463</v>
      </c>
      <c r="G783" s="382"/>
      <c r="H783" s="461">
        <v>30.3</v>
      </c>
      <c r="I783" s="884"/>
      <c r="J783" s="461">
        <v>50472.450189753319</v>
      </c>
      <c r="K783" s="486">
        <v>578852.05000000005</v>
      </c>
    </row>
    <row r="784" spans="1:11" x14ac:dyDescent="0.2">
      <c r="A784" s="384" t="s">
        <v>928</v>
      </c>
      <c r="B784" s="382" t="s">
        <v>308</v>
      </c>
      <c r="C784" s="878"/>
      <c r="D784" s="881"/>
      <c r="E784" s="485">
        <v>2</v>
      </c>
      <c r="F784" s="196"/>
      <c r="G784" s="382"/>
      <c r="H784" s="461">
        <v>42.8</v>
      </c>
      <c r="I784" s="884"/>
      <c r="J784" s="461">
        <v>71294.418089816565</v>
      </c>
      <c r="K784" s="486"/>
    </row>
    <row r="785" spans="1:11" ht="12.75" customHeight="1" x14ac:dyDescent="0.2">
      <c r="A785" s="384" t="s">
        <v>929</v>
      </c>
      <c r="B785" s="382" t="s">
        <v>308</v>
      </c>
      <c r="C785" s="878"/>
      <c r="D785" s="881"/>
      <c r="E785" s="472" t="s">
        <v>462</v>
      </c>
      <c r="F785" s="196"/>
      <c r="G785" s="382"/>
      <c r="H785" s="461"/>
      <c r="I785" s="884"/>
      <c r="J785" s="461">
        <v>0</v>
      </c>
      <c r="K785" s="486"/>
    </row>
    <row r="786" spans="1:11" ht="12.75" customHeight="1" x14ac:dyDescent="0.2">
      <c r="A786" s="384" t="s">
        <v>930</v>
      </c>
      <c r="B786" s="382" t="s">
        <v>308</v>
      </c>
      <c r="C786" s="878"/>
      <c r="D786" s="881"/>
      <c r="E786" s="485">
        <v>33</v>
      </c>
      <c r="F786" s="196"/>
      <c r="G786" s="382"/>
      <c r="H786" s="461">
        <v>43.5</v>
      </c>
      <c r="I786" s="884"/>
      <c r="J786" s="461">
        <v>72460.448292220128</v>
      </c>
      <c r="K786" s="486"/>
    </row>
    <row r="787" spans="1:11" ht="12.75" customHeight="1" x14ac:dyDescent="0.2">
      <c r="A787" s="384" t="s">
        <v>931</v>
      </c>
      <c r="B787" s="382" t="s">
        <v>308</v>
      </c>
      <c r="C787" s="878"/>
      <c r="D787" s="881"/>
      <c r="E787" s="485">
        <v>37</v>
      </c>
      <c r="F787" s="196"/>
      <c r="G787" s="382"/>
      <c r="H787" s="461">
        <v>43.2</v>
      </c>
      <c r="I787" s="884"/>
      <c r="J787" s="461">
        <v>71960.721062618613</v>
      </c>
      <c r="K787" s="486"/>
    </row>
    <row r="788" spans="1:11" x14ac:dyDescent="0.2">
      <c r="A788" s="384" t="s">
        <v>932</v>
      </c>
      <c r="B788" s="382" t="s">
        <v>308</v>
      </c>
      <c r="C788" s="878"/>
      <c r="D788" s="881"/>
      <c r="E788" s="485">
        <v>44</v>
      </c>
      <c r="F788" s="196"/>
      <c r="G788" s="382"/>
      <c r="H788" s="461">
        <v>43.2</v>
      </c>
      <c r="I788" s="884"/>
      <c r="J788" s="461">
        <v>71960.721062618613</v>
      </c>
      <c r="K788" s="486"/>
    </row>
    <row r="789" spans="1:11" x14ac:dyDescent="0.2">
      <c r="A789" s="384" t="s">
        <v>933</v>
      </c>
      <c r="B789" s="382" t="s">
        <v>308</v>
      </c>
      <c r="C789" s="878"/>
      <c r="D789" s="881"/>
      <c r="E789" s="485">
        <v>59</v>
      </c>
      <c r="F789" s="196"/>
      <c r="G789" s="382"/>
      <c r="H789" s="461">
        <v>43</v>
      </c>
      <c r="I789" s="884"/>
      <c r="J789" s="461">
        <v>71627.569576217589</v>
      </c>
      <c r="K789" s="486"/>
    </row>
    <row r="790" spans="1:11" ht="25.5" x14ac:dyDescent="0.2">
      <c r="A790" s="384" t="s">
        <v>12672</v>
      </c>
      <c r="B790" s="382" t="s">
        <v>10781</v>
      </c>
      <c r="C790" s="879"/>
      <c r="D790" s="882"/>
      <c r="E790" s="485">
        <v>39</v>
      </c>
      <c r="F790" s="196" t="s">
        <v>12673</v>
      </c>
      <c r="G790" s="382" t="s">
        <v>134</v>
      </c>
      <c r="H790" s="461">
        <v>30.2</v>
      </c>
      <c r="I790" s="885"/>
      <c r="J790" s="461">
        <v>1055218.2</v>
      </c>
      <c r="K790" s="486">
        <v>574960.89</v>
      </c>
    </row>
    <row r="791" spans="1:11" ht="12.75" customHeight="1" x14ac:dyDescent="0.2">
      <c r="A791" s="383" t="s">
        <v>934</v>
      </c>
      <c r="B791" s="382"/>
      <c r="C791" s="877" t="s">
        <v>12954</v>
      </c>
      <c r="D791" s="880">
        <v>17</v>
      </c>
      <c r="E791" s="485"/>
      <c r="F791" s="196"/>
      <c r="G791" s="382"/>
      <c r="H791" s="461">
        <f>3792.6-3792.6</f>
        <v>0</v>
      </c>
      <c r="I791" s="883">
        <v>1969</v>
      </c>
      <c r="J791" s="461">
        <f>8266100-8266100</f>
        <v>0</v>
      </c>
      <c r="K791" s="486"/>
    </row>
    <row r="792" spans="1:11" x14ac:dyDescent="0.2">
      <c r="A792" s="384" t="s">
        <v>935</v>
      </c>
      <c r="B792" s="382" t="s">
        <v>308</v>
      </c>
      <c r="C792" s="878"/>
      <c r="D792" s="881"/>
      <c r="E792" s="485">
        <v>23</v>
      </c>
      <c r="F792" s="196" t="s">
        <v>464</v>
      </c>
      <c r="G792" s="382"/>
      <c r="H792" s="461">
        <v>41.7</v>
      </c>
      <c r="I792" s="884"/>
      <c r="J792" s="461">
        <v>90886.560670779945</v>
      </c>
      <c r="K792" s="486">
        <v>802114.53</v>
      </c>
    </row>
    <row r="793" spans="1:11" x14ac:dyDescent="0.2">
      <c r="A793" s="384" t="s">
        <v>936</v>
      </c>
      <c r="B793" s="382" t="s">
        <v>308</v>
      </c>
      <c r="C793" s="878"/>
      <c r="D793" s="881"/>
      <c r="E793" s="485">
        <v>35</v>
      </c>
      <c r="F793" s="196"/>
      <c r="G793" s="382"/>
      <c r="H793" s="461">
        <v>43.7</v>
      </c>
      <c r="I793" s="884"/>
      <c r="J793" s="461">
        <v>95245.628328850929</v>
      </c>
      <c r="K793" s="486"/>
    </row>
    <row r="794" spans="1:11" x14ac:dyDescent="0.2">
      <c r="A794" s="384" t="s">
        <v>937</v>
      </c>
      <c r="B794" s="382" t="s">
        <v>308</v>
      </c>
      <c r="C794" s="878"/>
      <c r="D794" s="881"/>
      <c r="E794" s="485">
        <v>37</v>
      </c>
      <c r="F794" s="196" t="s">
        <v>465</v>
      </c>
      <c r="G794" s="382"/>
      <c r="H794" s="461">
        <v>29.9</v>
      </c>
      <c r="I794" s="884"/>
      <c r="J794" s="461">
        <v>65168.061488161155</v>
      </c>
      <c r="K794" s="486">
        <v>592619.79</v>
      </c>
    </row>
    <row r="795" spans="1:11" ht="15" customHeight="1" x14ac:dyDescent="0.2">
      <c r="A795" s="384" t="s">
        <v>938</v>
      </c>
      <c r="B795" s="382" t="s">
        <v>308</v>
      </c>
      <c r="C795" s="878"/>
      <c r="D795" s="881"/>
      <c r="E795" s="485">
        <v>40</v>
      </c>
      <c r="F795" s="196"/>
      <c r="G795" s="382"/>
      <c r="H795" s="461">
        <v>41.6</v>
      </c>
      <c r="I795" s="884"/>
      <c r="J795" s="461">
        <v>90668.607287876395</v>
      </c>
      <c r="K795" s="486"/>
    </row>
    <row r="796" spans="1:11" ht="16.5" customHeight="1" x14ac:dyDescent="0.2">
      <c r="A796" s="384" t="s">
        <v>939</v>
      </c>
      <c r="B796" s="382" t="s">
        <v>308</v>
      </c>
      <c r="C796" s="878"/>
      <c r="D796" s="881"/>
      <c r="E796" s="485">
        <v>44</v>
      </c>
      <c r="F796" s="196"/>
      <c r="G796" s="382"/>
      <c r="H796" s="461">
        <v>43.4</v>
      </c>
      <c r="I796" s="884"/>
      <c r="J796" s="461">
        <v>94591.76818014028</v>
      </c>
      <c r="K796" s="486"/>
    </row>
    <row r="797" spans="1:11" ht="14.25" customHeight="1" x14ac:dyDescent="0.2">
      <c r="A797" s="384" t="s">
        <v>940</v>
      </c>
      <c r="B797" s="382" t="s">
        <v>308</v>
      </c>
      <c r="C797" s="878"/>
      <c r="D797" s="881"/>
      <c r="E797" s="485">
        <v>47</v>
      </c>
      <c r="F797" s="196"/>
      <c r="G797" s="382"/>
      <c r="H797" s="461">
        <v>42.5</v>
      </c>
      <c r="I797" s="884"/>
      <c r="J797" s="461">
        <v>92630.18773400833</v>
      </c>
      <c r="K797" s="486"/>
    </row>
    <row r="798" spans="1:11" ht="12.75" customHeight="1" x14ac:dyDescent="0.2">
      <c r="A798" s="384" t="s">
        <v>941</v>
      </c>
      <c r="B798" s="382" t="s">
        <v>308</v>
      </c>
      <c r="C798" s="878"/>
      <c r="D798" s="881"/>
      <c r="E798" s="485">
        <v>48</v>
      </c>
      <c r="F798" s="196"/>
      <c r="G798" s="382"/>
      <c r="H798" s="461">
        <v>43.8</v>
      </c>
      <c r="I798" s="884"/>
      <c r="J798" s="461">
        <v>95463.581711754465</v>
      </c>
      <c r="K798" s="486"/>
    </row>
    <row r="799" spans="1:11" x14ac:dyDescent="0.2">
      <c r="A799" s="384" t="s">
        <v>942</v>
      </c>
      <c r="B799" s="382" t="s">
        <v>308</v>
      </c>
      <c r="C799" s="878"/>
      <c r="D799" s="881"/>
      <c r="E799" s="485">
        <v>50</v>
      </c>
      <c r="F799" s="196"/>
      <c r="G799" s="382"/>
      <c r="H799" s="461">
        <v>21.65</v>
      </c>
      <c r="I799" s="884"/>
      <c r="J799" s="461">
        <v>47186.907398618365</v>
      </c>
      <c r="K799" s="486"/>
    </row>
    <row r="800" spans="1:11" ht="12.75" customHeight="1" x14ac:dyDescent="0.2">
      <c r="A800" s="384" t="s">
        <v>943</v>
      </c>
      <c r="B800" s="382" t="s">
        <v>308</v>
      </c>
      <c r="C800" s="878"/>
      <c r="D800" s="881"/>
      <c r="E800" s="472" t="s">
        <v>441</v>
      </c>
      <c r="F800" s="196"/>
      <c r="G800" s="382"/>
      <c r="H800" s="461">
        <v>21.65</v>
      </c>
      <c r="I800" s="884"/>
      <c r="J800" s="461">
        <v>47186.907398618365</v>
      </c>
      <c r="K800" s="486"/>
    </row>
    <row r="801" spans="1:11" ht="24" customHeight="1" x14ac:dyDescent="0.2">
      <c r="A801" s="384" t="s">
        <v>12674</v>
      </c>
      <c r="B801" s="382" t="s">
        <v>10781</v>
      </c>
      <c r="C801" s="879"/>
      <c r="D801" s="882"/>
      <c r="E801" s="485">
        <v>24</v>
      </c>
      <c r="F801" s="196" t="s">
        <v>12675</v>
      </c>
      <c r="G801" s="382" t="s">
        <v>134</v>
      </c>
      <c r="H801" s="461">
        <v>29.9</v>
      </c>
      <c r="I801" s="885"/>
      <c r="J801" s="461">
        <v>1044735.9</v>
      </c>
      <c r="K801" s="486">
        <v>592619.79</v>
      </c>
    </row>
    <row r="802" spans="1:11" ht="12.75" customHeight="1" x14ac:dyDescent="0.2">
      <c r="A802" s="383" t="s">
        <v>944</v>
      </c>
      <c r="B802" s="382"/>
      <c r="C802" s="893" t="s">
        <v>12955</v>
      </c>
      <c r="D802" s="898">
        <v>18</v>
      </c>
      <c r="E802" s="485"/>
      <c r="F802" s="196"/>
      <c r="G802" s="382"/>
      <c r="H802" s="461">
        <f>3316.1-3316.1</f>
        <v>0</v>
      </c>
      <c r="I802" s="891">
        <v>1967</v>
      </c>
      <c r="J802" s="461">
        <f>7780800-7780800</f>
        <v>0</v>
      </c>
      <c r="K802" s="486"/>
    </row>
    <row r="803" spans="1:11" x14ac:dyDescent="0.2">
      <c r="A803" s="384" t="s">
        <v>945</v>
      </c>
      <c r="B803" s="382" t="s">
        <v>308</v>
      </c>
      <c r="C803" s="893"/>
      <c r="D803" s="898"/>
      <c r="E803" s="485">
        <v>34</v>
      </c>
      <c r="F803" s="196"/>
      <c r="G803" s="382"/>
      <c r="H803" s="461">
        <v>42.4</v>
      </c>
      <c r="I803" s="891"/>
      <c r="J803" s="461">
        <v>99486.119236452461</v>
      </c>
      <c r="K803" s="486"/>
    </row>
    <row r="804" spans="1:11" x14ac:dyDescent="0.2">
      <c r="A804" s="384" t="s">
        <v>946</v>
      </c>
      <c r="B804" s="382" t="s">
        <v>308</v>
      </c>
      <c r="C804" s="893"/>
      <c r="D804" s="898"/>
      <c r="E804" s="472">
        <v>63</v>
      </c>
      <c r="F804" s="196"/>
      <c r="G804" s="382"/>
      <c r="H804" s="461">
        <v>57.3</v>
      </c>
      <c r="I804" s="891"/>
      <c r="J804" s="461">
        <v>134447.04321341336</v>
      </c>
      <c r="K804" s="486"/>
    </row>
    <row r="805" spans="1:11" x14ac:dyDescent="0.2">
      <c r="A805" s="384" t="s">
        <v>1560</v>
      </c>
      <c r="B805" s="382" t="s">
        <v>308</v>
      </c>
      <c r="C805" s="893"/>
      <c r="D805" s="898"/>
      <c r="E805" s="472" t="s">
        <v>466</v>
      </c>
      <c r="F805" s="196"/>
      <c r="G805" s="382"/>
      <c r="H805" s="461">
        <v>14.32</v>
      </c>
      <c r="I805" s="891"/>
      <c r="J805" s="461">
        <v>33600.028949669701</v>
      </c>
      <c r="K805" s="486"/>
    </row>
    <row r="806" spans="1:11" ht="12.75" customHeight="1" x14ac:dyDescent="0.2">
      <c r="A806" s="383" t="s">
        <v>947</v>
      </c>
      <c r="B806" s="382"/>
      <c r="C806" s="893" t="s">
        <v>12956</v>
      </c>
      <c r="D806" s="898">
        <v>19</v>
      </c>
      <c r="E806" s="485"/>
      <c r="F806" s="196"/>
      <c r="G806" s="382"/>
      <c r="H806" s="461">
        <f>3268.5-3268.5</f>
        <v>0</v>
      </c>
      <c r="I806" s="891">
        <v>1967</v>
      </c>
      <c r="J806" s="461">
        <f>7644700-7644700</f>
        <v>0</v>
      </c>
      <c r="K806" s="486"/>
    </row>
    <row r="807" spans="1:11" x14ac:dyDescent="0.2">
      <c r="A807" s="384" t="s">
        <v>948</v>
      </c>
      <c r="B807" s="382" t="s">
        <v>308</v>
      </c>
      <c r="C807" s="893"/>
      <c r="D807" s="898"/>
      <c r="E807" s="485">
        <v>17</v>
      </c>
      <c r="F807" s="196" t="s">
        <v>467</v>
      </c>
      <c r="G807" s="382"/>
      <c r="H807" s="461">
        <v>50.7</v>
      </c>
      <c r="I807" s="891"/>
      <c r="J807" s="461">
        <v>118582.312987609</v>
      </c>
      <c r="K807" s="486">
        <v>934920.19</v>
      </c>
    </row>
    <row r="808" spans="1:11" x14ac:dyDescent="0.2">
      <c r="A808" s="384" t="s">
        <v>949</v>
      </c>
      <c r="B808" s="382" t="s">
        <v>308</v>
      </c>
      <c r="C808" s="893"/>
      <c r="D808" s="898"/>
      <c r="E808" s="485">
        <v>36</v>
      </c>
      <c r="F808" s="196" t="s">
        <v>468</v>
      </c>
      <c r="G808" s="382"/>
      <c r="H808" s="461">
        <v>46.8</v>
      </c>
      <c r="I808" s="891"/>
      <c r="J808" s="461">
        <v>109460.59660394675</v>
      </c>
      <c r="K808" s="486">
        <v>866704.57</v>
      </c>
    </row>
    <row r="809" spans="1:11" ht="15" customHeight="1" x14ac:dyDescent="0.2">
      <c r="A809" s="384" t="s">
        <v>950</v>
      </c>
      <c r="B809" s="382" t="s">
        <v>308</v>
      </c>
      <c r="C809" s="893"/>
      <c r="D809" s="898"/>
      <c r="E809" s="485">
        <v>61</v>
      </c>
      <c r="F809" s="196" t="s">
        <v>469</v>
      </c>
      <c r="G809" s="382"/>
      <c r="H809" s="461">
        <v>61.7</v>
      </c>
      <c r="I809" s="891"/>
      <c r="J809" s="461">
        <v>144310.23099281016</v>
      </c>
      <c r="K809" s="486">
        <v>1181942.01</v>
      </c>
    </row>
    <row r="810" spans="1:11" ht="12.75" customHeight="1" x14ac:dyDescent="0.2">
      <c r="A810" s="383" t="s">
        <v>951</v>
      </c>
      <c r="B810" s="382"/>
      <c r="C810" s="893" t="s">
        <v>12957</v>
      </c>
      <c r="D810" s="898">
        <v>21</v>
      </c>
      <c r="E810" s="485"/>
      <c r="F810" s="196"/>
      <c r="G810" s="382"/>
      <c r="H810" s="461">
        <f>2737.7-2737.7</f>
        <v>0</v>
      </c>
      <c r="I810" s="891">
        <v>1985</v>
      </c>
      <c r="J810" s="461">
        <f>9678500-9678500</f>
        <v>0</v>
      </c>
      <c r="K810" s="486"/>
    </row>
    <row r="811" spans="1:11" ht="25.5" customHeight="1" x14ac:dyDescent="0.2">
      <c r="A811" s="384" t="s">
        <v>952</v>
      </c>
      <c r="B811" s="382" t="s">
        <v>308</v>
      </c>
      <c r="C811" s="893"/>
      <c r="D811" s="898"/>
      <c r="E811" s="485">
        <v>46</v>
      </c>
      <c r="F811" s="196" t="s">
        <v>470</v>
      </c>
      <c r="G811" s="382"/>
      <c r="H811" s="461">
        <v>79.2</v>
      </c>
      <c r="I811" s="891"/>
      <c r="J811" s="461">
        <v>279993.13292179571</v>
      </c>
      <c r="K811" s="486">
        <v>1681959.19</v>
      </c>
    </row>
    <row r="812" spans="1:11" ht="12.75" customHeight="1" x14ac:dyDescent="0.2">
      <c r="A812" s="383" t="s">
        <v>953</v>
      </c>
      <c r="B812" s="382"/>
      <c r="C812" s="877" t="s">
        <v>12958</v>
      </c>
      <c r="D812" s="880">
        <v>23</v>
      </c>
      <c r="E812" s="485"/>
      <c r="F812" s="196"/>
      <c r="G812" s="382"/>
      <c r="H812" s="461">
        <f>5492-5492</f>
        <v>0</v>
      </c>
      <c r="I812" s="883">
        <v>1988</v>
      </c>
      <c r="J812" s="461">
        <f>19796400-19796400</f>
        <v>0</v>
      </c>
      <c r="K812" s="486"/>
    </row>
    <row r="813" spans="1:11" x14ac:dyDescent="0.2">
      <c r="A813" s="384" t="s">
        <v>1561</v>
      </c>
      <c r="B813" s="382" t="s">
        <v>308</v>
      </c>
      <c r="C813" s="878"/>
      <c r="D813" s="881"/>
      <c r="E813" s="485">
        <v>78</v>
      </c>
      <c r="F813" s="196"/>
      <c r="G813" s="382"/>
      <c r="H813" s="461">
        <v>61.1</v>
      </c>
      <c r="I813" s="884"/>
      <c r="J813" s="461">
        <v>220240.35688273853</v>
      </c>
      <c r="K813" s="486"/>
    </row>
    <row r="814" spans="1:11" x14ac:dyDescent="0.2">
      <c r="A814" s="384" t="s">
        <v>1562</v>
      </c>
      <c r="B814" s="382" t="s">
        <v>308</v>
      </c>
      <c r="C814" s="879"/>
      <c r="D814" s="882"/>
      <c r="E814" s="485">
        <v>90</v>
      </c>
      <c r="F814" s="196"/>
      <c r="G814" s="382"/>
      <c r="H814" s="461">
        <v>62.7</v>
      </c>
      <c r="I814" s="885"/>
      <c r="J814" s="461">
        <v>226007.69847050257</v>
      </c>
      <c r="K814" s="486"/>
    </row>
    <row r="815" spans="1:11" ht="12.75" customHeight="1" x14ac:dyDescent="0.2">
      <c r="A815" s="383" t="s">
        <v>954</v>
      </c>
      <c r="B815" s="382"/>
      <c r="C815" s="893" t="s">
        <v>12959</v>
      </c>
      <c r="D815" s="898">
        <v>24</v>
      </c>
      <c r="E815" s="485"/>
      <c r="F815" s="196"/>
      <c r="G815" s="382"/>
      <c r="H815" s="461">
        <f>4633.6-4633.6</f>
        <v>0</v>
      </c>
      <c r="I815" s="891">
        <v>1980</v>
      </c>
      <c r="J815" s="461">
        <f>13173500-13173500</f>
        <v>0</v>
      </c>
      <c r="K815" s="486"/>
    </row>
    <row r="816" spans="1:11" ht="18.75" customHeight="1" x14ac:dyDescent="0.2">
      <c r="A816" s="384" t="s">
        <v>955</v>
      </c>
      <c r="B816" s="382" t="s">
        <v>308</v>
      </c>
      <c r="C816" s="893"/>
      <c r="D816" s="898"/>
      <c r="E816" s="485">
        <v>29</v>
      </c>
      <c r="F816" s="196" t="s">
        <v>471</v>
      </c>
      <c r="G816" s="382"/>
      <c r="H816" s="461">
        <v>80.599999999999994</v>
      </c>
      <c r="I816" s="891"/>
      <c r="J816" s="461">
        <v>229148.84754834251</v>
      </c>
      <c r="K816" s="486">
        <v>1533234.22</v>
      </c>
    </row>
    <row r="817" spans="1:11" ht="15.75" customHeight="1" x14ac:dyDescent="0.2">
      <c r="A817" s="384" t="s">
        <v>956</v>
      </c>
      <c r="B817" s="382" t="s">
        <v>308</v>
      </c>
      <c r="C817" s="893"/>
      <c r="D817" s="898"/>
      <c r="E817" s="485">
        <v>47</v>
      </c>
      <c r="F817" s="196"/>
      <c r="G817" s="382"/>
      <c r="H817" s="461">
        <v>77.3</v>
      </c>
      <c r="I817" s="891"/>
      <c r="J817" s="461">
        <v>219766.82277279004</v>
      </c>
      <c r="K817" s="486"/>
    </row>
    <row r="818" spans="1:11" ht="16.5" customHeight="1" x14ac:dyDescent="0.2">
      <c r="A818" s="384" t="s">
        <v>1563</v>
      </c>
      <c r="B818" s="382" t="s">
        <v>308</v>
      </c>
      <c r="C818" s="893"/>
      <c r="D818" s="898"/>
      <c r="E818" s="485">
        <v>51</v>
      </c>
      <c r="F818" s="196" t="s">
        <v>472</v>
      </c>
      <c r="G818" s="382"/>
      <c r="H818" s="461">
        <v>45</v>
      </c>
      <c r="I818" s="891"/>
      <c r="J818" s="461">
        <v>127936.70148480662</v>
      </c>
      <c r="K818" s="486">
        <v>833369.77</v>
      </c>
    </row>
    <row r="819" spans="1:11" ht="12.75" customHeight="1" x14ac:dyDescent="0.2">
      <c r="A819" s="384" t="s">
        <v>1564</v>
      </c>
      <c r="B819" s="382" t="s">
        <v>308</v>
      </c>
      <c r="C819" s="893"/>
      <c r="D819" s="898"/>
      <c r="E819" s="485">
        <v>66</v>
      </c>
      <c r="F819" s="196"/>
      <c r="G819" s="382"/>
      <c r="H819" s="461">
        <v>26.8</v>
      </c>
      <c r="I819" s="891"/>
      <c r="J819" s="461">
        <v>76193.413328729293</v>
      </c>
      <c r="K819" s="486"/>
    </row>
    <row r="820" spans="1:11" x14ac:dyDescent="0.2">
      <c r="A820" s="384" t="s">
        <v>1565</v>
      </c>
      <c r="B820" s="382" t="s">
        <v>308</v>
      </c>
      <c r="C820" s="893"/>
      <c r="D820" s="898"/>
      <c r="E820" s="485">
        <v>9</v>
      </c>
      <c r="F820" s="196"/>
      <c r="G820" s="382"/>
      <c r="H820" s="461"/>
      <c r="I820" s="891"/>
      <c r="J820" s="461">
        <v>0</v>
      </c>
      <c r="K820" s="486"/>
    </row>
    <row r="821" spans="1:11" x14ac:dyDescent="0.2">
      <c r="A821" s="384" t="s">
        <v>1566</v>
      </c>
      <c r="B821" s="382" t="s">
        <v>308</v>
      </c>
      <c r="C821" s="893"/>
      <c r="D821" s="898"/>
      <c r="E821" s="472" t="s">
        <v>444</v>
      </c>
      <c r="F821" s="196"/>
      <c r="G821" s="382"/>
      <c r="H821" s="461">
        <v>61.1</v>
      </c>
      <c r="I821" s="891"/>
      <c r="J821" s="461">
        <v>173709.61023825969</v>
      </c>
      <c r="K821" s="486"/>
    </row>
    <row r="822" spans="1:11" ht="12.75" customHeight="1" x14ac:dyDescent="0.2">
      <c r="A822" s="383" t="s">
        <v>957</v>
      </c>
      <c r="B822" s="382"/>
      <c r="C822" s="893" t="s">
        <v>12960</v>
      </c>
      <c r="D822" s="898">
        <v>25</v>
      </c>
      <c r="E822" s="485"/>
      <c r="F822" s="196"/>
      <c r="G822" s="382"/>
      <c r="H822" s="461">
        <f>2788.7-2788.7</f>
        <v>0</v>
      </c>
      <c r="I822" s="891">
        <v>1992</v>
      </c>
      <c r="J822" s="461">
        <f>887900-887900</f>
        <v>0</v>
      </c>
      <c r="K822" s="486"/>
    </row>
    <row r="823" spans="1:11" ht="25.5" customHeight="1" x14ac:dyDescent="0.2">
      <c r="A823" s="384" t="s">
        <v>1567</v>
      </c>
      <c r="B823" s="382" t="s">
        <v>308</v>
      </c>
      <c r="C823" s="893"/>
      <c r="D823" s="898"/>
      <c r="E823" s="485">
        <v>7</v>
      </c>
      <c r="F823" s="196" t="s">
        <v>473</v>
      </c>
      <c r="G823" s="382"/>
      <c r="H823" s="461">
        <v>31.4</v>
      </c>
      <c r="I823" s="891"/>
      <c r="J823" s="461">
        <v>9997.5113852332634</v>
      </c>
      <c r="K823" s="486">
        <v>703940.49</v>
      </c>
    </row>
    <row r="824" spans="1:11" ht="12.75" customHeight="1" x14ac:dyDescent="0.2">
      <c r="A824" s="383" t="s">
        <v>958</v>
      </c>
      <c r="B824" s="382"/>
      <c r="C824" s="893" t="s">
        <v>12961</v>
      </c>
      <c r="D824" s="898">
        <v>5</v>
      </c>
      <c r="E824" s="485"/>
      <c r="F824" s="196"/>
      <c r="G824" s="382"/>
      <c r="H824" s="461">
        <f>2733-2733</f>
        <v>0</v>
      </c>
      <c r="I824" s="891">
        <v>1991</v>
      </c>
      <c r="J824" s="461">
        <f>32000-32000</f>
        <v>0</v>
      </c>
      <c r="K824" s="486"/>
    </row>
    <row r="825" spans="1:11" x14ac:dyDescent="0.2">
      <c r="A825" s="384" t="s">
        <v>959</v>
      </c>
      <c r="B825" s="382" t="s">
        <v>308</v>
      </c>
      <c r="C825" s="893"/>
      <c r="D825" s="898"/>
      <c r="E825" s="485">
        <v>42</v>
      </c>
      <c r="F825" s="196"/>
      <c r="G825" s="382"/>
      <c r="H825" s="461">
        <v>71.099999999999994</v>
      </c>
      <c r="I825" s="891"/>
      <c r="J825" s="461">
        <v>832.49176728869361</v>
      </c>
      <c r="K825" s="486"/>
    </row>
    <row r="826" spans="1:11" x14ac:dyDescent="0.2">
      <c r="A826" s="384" t="s">
        <v>960</v>
      </c>
      <c r="B826" s="382" t="s">
        <v>308</v>
      </c>
      <c r="C826" s="893"/>
      <c r="D826" s="898"/>
      <c r="E826" s="485">
        <v>49</v>
      </c>
      <c r="F826" s="196"/>
      <c r="G826" s="382"/>
      <c r="H826" s="461">
        <v>61.2</v>
      </c>
      <c r="I826" s="891"/>
      <c r="J826" s="461">
        <v>716.57519209659722</v>
      </c>
      <c r="K826" s="486"/>
    </row>
    <row r="827" spans="1:11" ht="12.75" customHeight="1" x14ac:dyDescent="0.2">
      <c r="A827" s="383" t="s">
        <v>961</v>
      </c>
      <c r="B827" s="382"/>
      <c r="C827" s="893" t="s">
        <v>12962</v>
      </c>
      <c r="D827" s="898">
        <v>9</v>
      </c>
      <c r="E827" s="485"/>
      <c r="F827" s="196"/>
      <c r="G827" s="382"/>
      <c r="H827" s="461">
        <f>2735-2735</f>
        <v>0</v>
      </c>
      <c r="I827" s="891">
        <v>1986</v>
      </c>
      <c r="J827" s="461">
        <f>3680300-3680300</f>
        <v>0</v>
      </c>
      <c r="K827" s="486"/>
    </row>
    <row r="828" spans="1:11" ht="12.75" customHeight="1" x14ac:dyDescent="0.2">
      <c r="A828" s="384" t="s">
        <v>962</v>
      </c>
      <c r="B828" s="382" t="s">
        <v>308</v>
      </c>
      <c r="C828" s="893"/>
      <c r="D828" s="898"/>
      <c r="E828" s="485">
        <v>11</v>
      </c>
      <c r="F828" s="196"/>
      <c r="G828" s="382"/>
      <c r="H828" s="461">
        <v>48.4</v>
      </c>
      <c r="I828" s="891"/>
      <c r="J828" s="461">
        <v>65128.526508226692</v>
      </c>
      <c r="K828" s="486"/>
    </row>
    <row r="829" spans="1:11" x14ac:dyDescent="0.2">
      <c r="A829" s="384" t="s">
        <v>963</v>
      </c>
      <c r="B829" s="382" t="s">
        <v>308</v>
      </c>
      <c r="C829" s="893"/>
      <c r="D829" s="898"/>
      <c r="E829" s="485">
        <v>16</v>
      </c>
      <c r="F829" s="196"/>
      <c r="G829" s="382"/>
      <c r="H829" s="461">
        <v>59.8</v>
      </c>
      <c r="I829" s="891"/>
      <c r="J829" s="461">
        <v>80468.716636197438</v>
      </c>
      <c r="K829" s="486"/>
    </row>
    <row r="830" spans="1:11" ht="12.75" customHeight="1" x14ac:dyDescent="0.2">
      <c r="A830" s="383" t="s">
        <v>964</v>
      </c>
      <c r="B830" s="382"/>
      <c r="C830" s="893" t="s">
        <v>12963</v>
      </c>
      <c r="D830" s="898">
        <v>49</v>
      </c>
      <c r="E830" s="485"/>
      <c r="F830" s="196"/>
      <c r="G830" s="382"/>
      <c r="H830" s="461">
        <f>260.2-260.2</f>
        <v>0</v>
      </c>
      <c r="I830" s="891">
        <v>1951</v>
      </c>
      <c r="J830" s="461">
        <f>387200-387200</f>
        <v>0</v>
      </c>
      <c r="K830" s="486"/>
    </row>
    <row r="831" spans="1:11" ht="12.75" customHeight="1" x14ac:dyDescent="0.2">
      <c r="A831" s="384" t="s">
        <v>967</v>
      </c>
      <c r="B831" s="382" t="s">
        <v>308</v>
      </c>
      <c r="C831" s="893"/>
      <c r="D831" s="898"/>
      <c r="E831" s="485">
        <v>3</v>
      </c>
      <c r="F831" s="196"/>
      <c r="G831" s="382"/>
      <c r="H831" s="461">
        <v>45.1</v>
      </c>
      <c r="I831" s="891"/>
      <c r="J831" s="461">
        <v>67112.682551883176</v>
      </c>
      <c r="K831" s="486"/>
    </row>
    <row r="832" spans="1:11" x14ac:dyDescent="0.2">
      <c r="A832" s="384" t="s">
        <v>968</v>
      </c>
      <c r="B832" s="382" t="s">
        <v>308</v>
      </c>
      <c r="C832" s="893"/>
      <c r="D832" s="898"/>
      <c r="E832" s="485">
        <v>4</v>
      </c>
      <c r="F832" s="196"/>
      <c r="G832" s="382"/>
      <c r="H832" s="461">
        <v>40.6</v>
      </c>
      <c r="I832" s="891"/>
      <c r="J832" s="461">
        <v>60416.295157571112</v>
      </c>
      <c r="K832" s="486"/>
    </row>
    <row r="833" spans="1:11" ht="12.75" customHeight="1" x14ac:dyDescent="0.2">
      <c r="A833" s="383" t="s">
        <v>965</v>
      </c>
      <c r="B833" s="382"/>
      <c r="C833" s="893" t="s">
        <v>12964</v>
      </c>
      <c r="D833" s="898">
        <v>1</v>
      </c>
      <c r="E833" s="485"/>
      <c r="F833" s="196" t="s">
        <v>2742</v>
      </c>
      <c r="G833" s="382"/>
      <c r="H833" s="461">
        <f>1247.9-1247.9</f>
        <v>0</v>
      </c>
      <c r="I833" s="891">
        <v>1958</v>
      </c>
      <c r="J833" s="461">
        <f>2395500-2395500</f>
        <v>0</v>
      </c>
      <c r="K833" s="486"/>
    </row>
    <row r="834" spans="1:11" x14ac:dyDescent="0.2">
      <c r="A834" s="384" t="s">
        <v>2704</v>
      </c>
      <c r="B834" s="382" t="s">
        <v>308</v>
      </c>
      <c r="C834" s="893"/>
      <c r="D834" s="898"/>
      <c r="E834" s="485">
        <v>7</v>
      </c>
      <c r="F834" s="196" t="s">
        <v>2706</v>
      </c>
      <c r="G834" s="382"/>
      <c r="H834" s="461">
        <v>65.8</v>
      </c>
      <c r="I834" s="891"/>
      <c r="J834" s="461">
        <f>2395500/1247.9*H834</f>
        <v>126311.32302267807</v>
      </c>
      <c r="K834" s="486">
        <v>886260.2</v>
      </c>
    </row>
    <row r="835" spans="1:11" x14ac:dyDescent="0.2">
      <c r="A835" s="384" t="s">
        <v>2705</v>
      </c>
      <c r="B835" s="382" t="s">
        <v>308</v>
      </c>
      <c r="C835" s="893"/>
      <c r="D835" s="898"/>
      <c r="E835" s="485">
        <v>11</v>
      </c>
      <c r="F835" s="485" t="s">
        <v>2707</v>
      </c>
      <c r="G835" s="196"/>
      <c r="H835" s="486">
        <v>60.2</v>
      </c>
      <c r="I835" s="891"/>
      <c r="J835" s="461">
        <f>2395500/1247.9*H835</f>
        <v>115561.42319096081</v>
      </c>
      <c r="K835" s="486">
        <v>810833.8</v>
      </c>
    </row>
    <row r="836" spans="1:11" ht="12.75" customHeight="1" x14ac:dyDescent="0.2">
      <c r="A836" s="383" t="s">
        <v>966</v>
      </c>
      <c r="B836" s="382"/>
      <c r="C836" s="893" t="s">
        <v>12965</v>
      </c>
      <c r="D836" s="898">
        <v>2</v>
      </c>
      <c r="E836" s="485"/>
      <c r="F836" s="196"/>
      <c r="G836" s="382"/>
      <c r="H836" s="461">
        <f>2029.3-2029.3</f>
        <v>0</v>
      </c>
      <c r="I836" s="891">
        <v>1958</v>
      </c>
      <c r="J836" s="461">
        <f>3767600-3767600</f>
        <v>0</v>
      </c>
      <c r="K836" s="486"/>
    </row>
    <row r="837" spans="1:11" x14ac:dyDescent="0.2">
      <c r="A837" s="384" t="s">
        <v>969</v>
      </c>
      <c r="B837" s="382" t="s">
        <v>308</v>
      </c>
      <c r="C837" s="893"/>
      <c r="D837" s="898"/>
      <c r="E837" s="485">
        <v>1</v>
      </c>
      <c r="F837" s="196"/>
      <c r="G837" s="382"/>
      <c r="H837" s="461">
        <v>76.3</v>
      </c>
      <c r="I837" s="891"/>
      <c r="J837" s="461">
        <v>141658.64091065884</v>
      </c>
      <c r="K837" s="486"/>
    </row>
    <row r="838" spans="1:11" x14ac:dyDescent="0.2">
      <c r="A838" s="384" t="s">
        <v>1568</v>
      </c>
      <c r="B838" s="382" t="s">
        <v>308</v>
      </c>
      <c r="C838" s="893"/>
      <c r="D838" s="898"/>
      <c r="E838" s="485">
        <v>20</v>
      </c>
      <c r="F838" s="196"/>
      <c r="G838" s="382"/>
      <c r="H838" s="461">
        <v>51.9</v>
      </c>
      <c r="I838" s="891"/>
      <c r="J838" s="461">
        <v>96357.581432020888</v>
      </c>
      <c r="K838" s="486"/>
    </row>
    <row r="839" spans="1:11" x14ac:dyDescent="0.2">
      <c r="A839" s="384" t="s">
        <v>1569</v>
      </c>
      <c r="B839" s="382" t="s">
        <v>308</v>
      </c>
      <c r="C839" s="893"/>
      <c r="D839" s="898"/>
      <c r="E839" s="485">
        <v>32</v>
      </c>
      <c r="F839" s="196"/>
      <c r="G839" s="382"/>
      <c r="H839" s="461">
        <v>25.6</v>
      </c>
      <c r="I839" s="891"/>
      <c r="J839" s="461">
        <v>47528.980436603757</v>
      </c>
      <c r="K839" s="486"/>
    </row>
    <row r="840" spans="1:11" x14ac:dyDescent="0.2">
      <c r="A840" s="384" t="s">
        <v>3546</v>
      </c>
      <c r="B840" s="382" t="s">
        <v>308</v>
      </c>
      <c r="C840" s="893"/>
      <c r="D840" s="898"/>
      <c r="E840" s="485">
        <v>11</v>
      </c>
      <c r="F840" s="196" t="s">
        <v>11614</v>
      </c>
      <c r="G840" s="382" t="s">
        <v>134</v>
      </c>
      <c r="H840" s="461">
        <v>52.6</v>
      </c>
      <c r="I840" s="891"/>
      <c r="J840" s="461">
        <v>1450000</v>
      </c>
      <c r="K840" s="486">
        <v>1007619.93</v>
      </c>
    </row>
    <row r="841" spans="1:11" ht="12.75" customHeight="1" x14ac:dyDescent="0.2">
      <c r="A841" s="383" t="s">
        <v>970</v>
      </c>
      <c r="B841" s="382"/>
      <c r="C841" s="893" t="s">
        <v>12966</v>
      </c>
      <c r="D841" s="898">
        <v>4</v>
      </c>
      <c r="E841" s="485"/>
      <c r="F841" s="196"/>
      <c r="G841" s="382"/>
      <c r="H841" s="461">
        <f>2683.3-2683.3</f>
        <v>0</v>
      </c>
      <c r="I841" s="891">
        <v>1957</v>
      </c>
      <c r="J841" s="461">
        <f>4071500-4071500</f>
        <v>0</v>
      </c>
      <c r="K841" s="486"/>
    </row>
    <row r="842" spans="1:11" x14ac:dyDescent="0.2">
      <c r="A842" s="384" t="s">
        <v>971</v>
      </c>
      <c r="B842" s="382" t="s">
        <v>308</v>
      </c>
      <c r="C842" s="893"/>
      <c r="D842" s="898"/>
      <c r="E842" s="485">
        <v>1</v>
      </c>
      <c r="F842" s="196"/>
      <c r="G842" s="382"/>
      <c r="H842" s="461">
        <v>50.3</v>
      </c>
      <c r="I842" s="891"/>
      <c r="J842" s="461">
        <v>76322.606492006104</v>
      </c>
      <c r="K842" s="486"/>
    </row>
    <row r="843" spans="1:11" ht="15.75" customHeight="1" x14ac:dyDescent="0.2">
      <c r="A843" s="384" t="s">
        <v>972</v>
      </c>
      <c r="B843" s="382" t="s">
        <v>308</v>
      </c>
      <c r="C843" s="893"/>
      <c r="D843" s="898"/>
      <c r="E843" s="485">
        <v>19</v>
      </c>
      <c r="F843" s="196"/>
      <c r="G843" s="382"/>
      <c r="H843" s="461">
        <v>55.6</v>
      </c>
      <c r="I843" s="891"/>
      <c r="J843" s="461">
        <v>84364.55111243618</v>
      </c>
      <c r="K843" s="486"/>
    </row>
    <row r="844" spans="1:11" ht="17.25" customHeight="1" x14ac:dyDescent="0.2">
      <c r="A844" s="384" t="s">
        <v>1570</v>
      </c>
      <c r="B844" s="382" t="s">
        <v>308</v>
      </c>
      <c r="C844" s="893"/>
      <c r="D844" s="898"/>
      <c r="E844" s="485">
        <v>31</v>
      </c>
      <c r="F844" s="196"/>
      <c r="G844" s="382"/>
      <c r="H844" s="461">
        <v>74.5</v>
      </c>
      <c r="I844" s="891"/>
      <c r="J844" s="461">
        <v>113042.42909849811</v>
      </c>
      <c r="K844" s="486"/>
    </row>
    <row r="845" spans="1:11" ht="24" customHeight="1" x14ac:dyDescent="0.2">
      <c r="A845" s="383" t="s">
        <v>973</v>
      </c>
      <c r="B845" s="382"/>
      <c r="C845" s="877" t="s">
        <v>12967</v>
      </c>
      <c r="D845" s="880">
        <v>6</v>
      </c>
      <c r="E845" s="485"/>
      <c r="F845" s="385" t="s">
        <v>6804</v>
      </c>
      <c r="G845" s="382"/>
      <c r="H845" s="461">
        <f>534.6-534.6</f>
        <v>0</v>
      </c>
      <c r="I845" s="883">
        <v>1956</v>
      </c>
      <c r="J845" s="461">
        <f>906800-906800</f>
        <v>0</v>
      </c>
      <c r="K845" s="486"/>
    </row>
    <row r="846" spans="1:11" x14ac:dyDescent="0.2">
      <c r="A846" s="384" t="s">
        <v>6803</v>
      </c>
      <c r="B846" s="382" t="s">
        <v>308</v>
      </c>
      <c r="C846" s="878"/>
      <c r="D846" s="881"/>
      <c r="E846" s="485">
        <v>2</v>
      </c>
      <c r="F846" s="196" t="s">
        <v>11615</v>
      </c>
      <c r="G846" s="382"/>
      <c r="H846" s="461">
        <f>534.6-472.5</f>
        <v>62.100000000000023</v>
      </c>
      <c r="I846" s="884"/>
      <c r="J846" s="461">
        <f>906800/534.6*62.1</f>
        <v>105335.35353535353</v>
      </c>
      <c r="K846" s="486"/>
    </row>
    <row r="847" spans="1:11" x14ac:dyDescent="0.2">
      <c r="A847" s="384" t="s">
        <v>8949</v>
      </c>
      <c r="B847" s="382" t="s">
        <v>308</v>
      </c>
      <c r="C847" s="878"/>
      <c r="D847" s="881"/>
      <c r="E847" s="485">
        <v>6</v>
      </c>
      <c r="F847" s="196" t="s">
        <v>8950</v>
      </c>
      <c r="G847" s="196" t="s">
        <v>543</v>
      </c>
      <c r="H847" s="461">
        <v>63.3</v>
      </c>
      <c r="I847" s="884"/>
      <c r="J847" s="461">
        <v>1873047</v>
      </c>
      <c r="K847" s="486"/>
    </row>
    <row r="848" spans="1:11" x14ac:dyDescent="0.2">
      <c r="A848" s="384" t="s">
        <v>12468</v>
      </c>
      <c r="B848" s="382" t="s">
        <v>308</v>
      </c>
      <c r="C848" s="879"/>
      <c r="D848" s="882"/>
      <c r="E848" s="485">
        <v>3</v>
      </c>
      <c r="F848" s="196" t="s">
        <v>12469</v>
      </c>
      <c r="G848" s="382" t="s">
        <v>143</v>
      </c>
      <c r="H848" s="461">
        <v>78</v>
      </c>
      <c r="I848" s="885"/>
      <c r="J848" s="461">
        <v>2598055.7999999998</v>
      </c>
      <c r="K848" s="486">
        <v>888554.94</v>
      </c>
    </row>
    <row r="849" spans="1:12" ht="12.75" customHeight="1" x14ac:dyDescent="0.2">
      <c r="A849" s="383" t="s">
        <v>974</v>
      </c>
      <c r="B849" s="382"/>
      <c r="C849" s="893" t="s">
        <v>12968</v>
      </c>
      <c r="D849" s="898">
        <v>9</v>
      </c>
      <c r="E849" s="485"/>
      <c r="F849" s="196"/>
      <c r="G849" s="382"/>
      <c r="H849" s="461">
        <f>539.2-539.2</f>
        <v>0</v>
      </c>
      <c r="I849" s="891">
        <v>1950</v>
      </c>
      <c r="J849" s="461">
        <f>1117200-1117200</f>
        <v>0</v>
      </c>
      <c r="K849" s="486"/>
    </row>
    <row r="850" spans="1:12" x14ac:dyDescent="0.2">
      <c r="A850" s="384" t="s">
        <v>1571</v>
      </c>
      <c r="B850" s="382" t="s">
        <v>308</v>
      </c>
      <c r="C850" s="893"/>
      <c r="D850" s="898"/>
      <c r="E850" s="485">
        <v>9</v>
      </c>
      <c r="F850" s="196"/>
      <c r="G850" s="382"/>
      <c r="H850" s="461">
        <v>62.8</v>
      </c>
      <c r="I850" s="891"/>
      <c r="J850" s="461">
        <v>130118.99109792284</v>
      </c>
      <c r="K850" s="486"/>
    </row>
    <row r="851" spans="1:12" x14ac:dyDescent="0.2">
      <c r="A851" s="384" t="s">
        <v>1572</v>
      </c>
      <c r="B851" s="382" t="s">
        <v>308</v>
      </c>
      <c r="C851" s="893"/>
      <c r="D851" s="898"/>
      <c r="E851" s="485">
        <v>11</v>
      </c>
      <c r="F851" s="196"/>
      <c r="G851" s="382"/>
      <c r="H851" s="461">
        <v>19.5</v>
      </c>
      <c r="I851" s="891"/>
      <c r="J851" s="461">
        <v>40403.189910979228</v>
      </c>
      <c r="K851" s="486"/>
    </row>
    <row r="852" spans="1:12" ht="12.75" customHeight="1" x14ac:dyDescent="0.2">
      <c r="A852" s="383" t="s">
        <v>975</v>
      </c>
      <c r="B852" s="382"/>
      <c r="C852" s="893" t="s">
        <v>12969</v>
      </c>
      <c r="D852" s="898">
        <v>10</v>
      </c>
      <c r="E852" s="485"/>
      <c r="F852" s="196"/>
      <c r="G852" s="382"/>
      <c r="H852" s="461">
        <f>183.4-183.4</f>
        <v>0</v>
      </c>
      <c r="I852" s="891">
        <v>1953</v>
      </c>
      <c r="J852" s="461">
        <f>344900-344900</f>
        <v>0</v>
      </c>
      <c r="K852" s="486"/>
    </row>
    <row r="853" spans="1:12" x14ac:dyDescent="0.2">
      <c r="A853" s="384" t="s">
        <v>976</v>
      </c>
      <c r="B853" s="382" t="s">
        <v>308</v>
      </c>
      <c r="C853" s="893"/>
      <c r="D853" s="898"/>
      <c r="E853" s="485">
        <v>1</v>
      </c>
      <c r="F853" s="196"/>
      <c r="G853" s="382"/>
      <c r="H853" s="461">
        <v>62.8</v>
      </c>
      <c r="I853" s="891"/>
      <c r="J853" s="461">
        <v>118100.98146128679</v>
      </c>
      <c r="K853" s="486"/>
    </row>
    <row r="854" spans="1:12" ht="12.75" customHeight="1" x14ac:dyDescent="0.2">
      <c r="A854" s="384" t="s">
        <v>977</v>
      </c>
      <c r="B854" s="382" t="s">
        <v>308</v>
      </c>
      <c r="C854" s="893"/>
      <c r="D854" s="898"/>
      <c r="E854" s="485">
        <v>2</v>
      </c>
      <c r="F854" s="196"/>
      <c r="G854" s="382"/>
      <c r="H854" s="461">
        <v>92</v>
      </c>
      <c r="I854" s="891"/>
      <c r="J854" s="461">
        <v>173014.17666303163</v>
      </c>
      <c r="K854" s="486"/>
    </row>
    <row r="855" spans="1:12" ht="27.75" customHeight="1" x14ac:dyDescent="0.2">
      <c r="A855" s="384" t="s">
        <v>12676</v>
      </c>
      <c r="B855" s="382" t="s">
        <v>308</v>
      </c>
      <c r="C855" s="608" t="s">
        <v>12970</v>
      </c>
      <c r="D855" s="610">
        <v>12</v>
      </c>
      <c r="E855" s="485">
        <v>5</v>
      </c>
      <c r="F855" s="40" t="s">
        <v>12677</v>
      </c>
      <c r="G855" s="382" t="s">
        <v>543</v>
      </c>
      <c r="H855" s="461">
        <v>43.3</v>
      </c>
      <c r="I855" s="612">
        <v>1951</v>
      </c>
      <c r="J855" s="461">
        <v>1103000</v>
      </c>
      <c r="K855" s="486">
        <v>546635.65</v>
      </c>
    </row>
    <row r="856" spans="1:12" ht="12.75" customHeight="1" x14ac:dyDescent="0.2">
      <c r="A856" s="383" t="s">
        <v>978</v>
      </c>
      <c r="B856" s="382"/>
      <c r="C856" s="877" t="s">
        <v>12971</v>
      </c>
      <c r="D856" s="880">
        <v>17</v>
      </c>
      <c r="E856" s="485"/>
      <c r="F856" s="196" t="s">
        <v>360</v>
      </c>
      <c r="G856" s="382"/>
      <c r="H856" s="461">
        <f>177.6-177.6</f>
        <v>0</v>
      </c>
      <c r="I856" s="883">
        <v>1952</v>
      </c>
      <c r="J856" s="461">
        <f>323200-323200</f>
        <v>0</v>
      </c>
      <c r="K856" s="486">
        <v>1526164.75</v>
      </c>
    </row>
    <row r="857" spans="1:12" x14ac:dyDescent="0.2">
      <c r="A857" s="384" t="s">
        <v>4319</v>
      </c>
      <c r="B857" s="382" t="s">
        <v>308</v>
      </c>
      <c r="C857" s="878"/>
      <c r="D857" s="881"/>
      <c r="E857" s="485">
        <v>1</v>
      </c>
      <c r="F857" s="196" t="s">
        <v>4321</v>
      </c>
      <c r="G857" s="382"/>
      <c r="H857" s="461">
        <v>95.6</v>
      </c>
      <c r="I857" s="884"/>
      <c r="J857" s="461">
        <f>323200/177.6*H857</f>
        <v>173974.77477477476</v>
      </c>
      <c r="K857" s="486">
        <v>990720.96</v>
      </c>
    </row>
    <row r="858" spans="1:12" ht="12.75" customHeight="1" x14ac:dyDescent="0.2">
      <c r="A858" s="384" t="s">
        <v>4320</v>
      </c>
      <c r="B858" s="382" t="s">
        <v>308</v>
      </c>
      <c r="C858" s="879"/>
      <c r="D858" s="882"/>
      <c r="E858" s="485">
        <v>2</v>
      </c>
      <c r="F858" s="196" t="s">
        <v>4322</v>
      </c>
      <c r="G858" s="382"/>
      <c r="H858" s="461">
        <v>81.900000000000006</v>
      </c>
      <c r="I858" s="885"/>
      <c r="J858" s="461">
        <f>323200/177.6*H858</f>
        <v>149043.24324324325</v>
      </c>
      <c r="K858" s="486">
        <v>848745.26</v>
      </c>
    </row>
    <row r="859" spans="1:12" ht="12.75" customHeight="1" x14ac:dyDescent="0.2">
      <c r="A859" s="383" t="s">
        <v>979</v>
      </c>
      <c r="B859" s="382"/>
      <c r="C859" s="877" t="s">
        <v>12972</v>
      </c>
      <c r="D859" s="880">
        <v>1</v>
      </c>
      <c r="E859" s="485"/>
      <c r="F859" s="196"/>
      <c r="G859" s="382"/>
      <c r="H859" s="461">
        <f>1353.4-1353.4</f>
        <v>0</v>
      </c>
      <c r="I859" s="883">
        <v>1959</v>
      </c>
      <c r="J859" s="461">
        <f>2783700-2783700</f>
        <v>0</v>
      </c>
      <c r="K859" s="486"/>
      <c r="L859" s="486"/>
    </row>
    <row r="860" spans="1:12" ht="12.75" customHeight="1" x14ac:dyDescent="0.2">
      <c r="A860" s="384" t="s">
        <v>1573</v>
      </c>
      <c r="B860" s="382" t="s">
        <v>308</v>
      </c>
      <c r="C860" s="878"/>
      <c r="D860" s="881"/>
      <c r="E860" s="485">
        <v>14</v>
      </c>
      <c r="F860" s="196" t="s">
        <v>362</v>
      </c>
      <c r="G860" s="382"/>
      <c r="H860" s="461">
        <v>60</v>
      </c>
      <c r="I860" s="884"/>
      <c r="J860" s="461">
        <v>123409.1916654352</v>
      </c>
      <c r="K860" s="486">
        <v>621791.4</v>
      </c>
    </row>
    <row r="861" spans="1:12" x14ac:dyDescent="0.2">
      <c r="A861" s="384" t="s">
        <v>1574</v>
      </c>
      <c r="B861" s="382" t="s">
        <v>308</v>
      </c>
      <c r="C861" s="878"/>
      <c r="D861" s="881"/>
      <c r="E861" s="485">
        <v>15</v>
      </c>
      <c r="F861" s="196" t="s">
        <v>363</v>
      </c>
      <c r="G861" s="382"/>
      <c r="H861" s="461">
        <v>75.8</v>
      </c>
      <c r="I861" s="884"/>
      <c r="J861" s="461">
        <v>155906.94547066645</v>
      </c>
      <c r="K861" s="486">
        <v>785529.8</v>
      </c>
    </row>
    <row r="862" spans="1:12" x14ac:dyDescent="0.2">
      <c r="A862" s="384" t="s">
        <v>1575</v>
      </c>
      <c r="B862" s="382" t="s">
        <v>308</v>
      </c>
      <c r="C862" s="878"/>
      <c r="D862" s="881"/>
      <c r="E862" s="485">
        <v>16</v>
      </c>
      <c r="F862" s="196" t="s">
        <v>364</v>
      </c>
      <c r="G862" s="382"/>
      <c r="H862" s="461">
        <v>37.9</v>
      </c>
      <c r="I862" s="884"/>
      <c r="J862" s="461">
        <v>77953.472735333227</v>
      </c>
      <c r="K862" s="486">
        <v>392764.9</v>
      </c>
    </row>
    <row r="863" spans="1:12" ht="12.75" customHeight="1" x14ac:dyDescent="0.2">
      <c r="A863" s="384" t="s">
        <v>1576</v>
      </c>
      <c r="B863" s="382" t="s">
        <v>308</v>
      </c>
      <c r="C863" s="878"/>
      <c r="D863" s="881"/>
      <c r="E863" s="485">
        <v>17</v>
      </c>
      <c r="F863" s="196" t="s">
        <v>365</v>
      </c>
      <c r="G863" s="382"/>
      <c r="H863" s="461">
        <v>98.5</v>
      </c>
      <c r="I863" s="884"/>
      <c r="J863" s="461">
        <v>202596.75631742278</v>
      </c>
      <c r="K863" s="486">
        <v>1020774.22</v>
      </c>
    </row>
    <row r="864" spans="1:12" x14ac:dyDescent="0.2">
      <c r="A864" s="384" t="s">
        <v>1577</v>
      </c>
      <c r="B864" s="382" t="s">
        <v>308</v>
      </c>
      <c r="C864" s="878"/>
      <c r="D864" s="881"/>
      <c r="E864" s="485">
        <v>3</v>
      </c>
      <c r="F864" s="196" t="s">
        <v>366</v>
      </c>
      <c r="G864" s="382"/>
      <c r="H864" s="461">
        <v>64.900000000000006</v>
      </c>
      <c r="I864" s="884"/>
      <c r="J864" s="461">
        <v>133487.60898477907</v>
      </c>
      <c r="K864" s="486">
        <v>672571.03</v>
      </c>
    </row>
    <row r="865" spans="1:11" x14ac:dyDescent="0.2">
      <c r="A865" s="384" t="s">
        <v>1578</v>
      </c>
      <c r="B865" s="382" t="s">
        <v>308</v>
      </c>
      <c r="C865" s="878"/>
      <c r="D865" s="881"/>
      <c r="E865" s="485">
        <v>4</v>
      </c>
      <c r="F865" s="196" t="s">
        <v>367</v>
      </c>
      <c r="G865" s="382"/>
      <c r="H865" s="461">
        <v>79</v>
      </c>
      <c r="I865" s="884"/>
      <c r="J865" s="461">
        <v>162488.76902615634</v>
      </c>
      <c r="K865" s="486">
        <v>818692.01</v>
      </c>
    </row>
    <row r="866" spans="1:11" x14ac:dyDescent="0.2">
      <c r="A866" s="384" t="s">
        <v>1579</v>
      </c>
      <c r="B866" s="382" t="s">
        <v>308</v>
      </c>
      <c r="C866" s="878"/>
      <c r="D866" s="881"/>
      <c r="E866" s="485">
        <v>5</v>
      </c>
      <c r="F866" s="196" t="s">
        <v>368</v>
      </c>
      <c r="G866" s="382"/>
      <c r="H866" s="461">
        <v>85.6</v>
      </c>
      <c r="I866" s="884"/>
      <c r="J866" s="461">
        <v>176063.78010935421</v>
      </c>
      <c r="K866" s="486">
        <v>887089.06</v>
      </c>
    </row>
    <row r="867" spans="1:11" x14ac:dyDescent="0.2">
      <c r="A867" s="384" t="s">
        <v>1580</v>
      </c>
      <c r="B867" s="382" t="s">
        <v>308</v>
      </c>
      <c r="C867" s="878"/>
      <c r="D867" s="881"/>
      <c r="E867" s="485">
        <v>6</v>
      </c>
      <c r="F867" s="196" t="s">
        <v>369</v>
      </c>
      <c r="G867" s="382"/>
      <c r="H867" s="461">
        <v>64.2</v>
      </c>
      <c r="I867" s="884"/>
      <c r="J867" s="461">
        <v>132047.83508201566</v>
      </c>
      <c r="K867" s="486">
        <v>665316.80000000005</v>
      </c>
    </row>
    <row r="868" spans="1:11" x14ac:dyDescent="0.2">
      <c r="A868" s="384" t="s">
        <v>1581</v>
      </c>
      <c r="B868" s="382" t="s">
        <v>308</v>
      </c>
      <c r="C868" s="878"/>
      <c r="D868" s="881"/>
      <c r="E868" s="485">
        <v>7</v>
      </c>
      <c r="F868" s="196" t="s">
        <v>370</v>
      </c>
      <c r="G868" s="382"/>
      <c r="H868" s="461">
        <v>80.5</v>
      </c>
      <c r="I868" s="884"/>
      <c r="J868" s="461">
        <v>165573.99881779222</v>
      </c>
      <c r="K868" s="486">
        <v>834236.8</v>
      </c>
    </row>
    <row r="869" spans="1:11" x14ac:dyDescent="0.2">
      <c r="A869" s="384" t="s">
        <v>1582</v>
      </c>
      <c r="B869" s="382" t="s">
        <v>308</v>
      </c>
      <c r="C869" s="878"/>
      <c r="D869" s="881"/>
      <c r="E869" s="485">
        <v>8</v>
      </c>
      <c r="F869" s="196" t="s">
        <v>371</v>
      </c>
      <c r="G869" s="382"/>
      <c r="H869" s="461">
        <v>63.7</v>
      </c>
      <c r="I869" s="884"/>
      <c r="J869" s="461">
        <v>131019.42515147036</v>
      </c>
      <c r="K869" s="486">
        <f>879834.83/84.9*63.7</f>
        <v>660135.20224970556</v>
      </c>
    </row>
    <row r="870" spans="1:11" x14ac:dyDescent="0.2">
      <c r="A870" s="384" t="s">
        <v>1583</v>
      </c>
      <c r="B870" s="382" t="s">
        <v>308</v>
      </c>
      <c r="C870" s="878"/>
      <c r="D870" s="881"/>
      <c r="E870" s="472" t="s">
        <v>361</v>
      </c>
      <c r="F870" s="196" t="s">
        <v>371</v>
      </c>
      <c r="G870" s="382"/>
      <c r="H870" s="461">
        <v>21.2</v>
      </c>
      <c r="I870" s="884"/>
      <c r="J870" s="461">
        <v>43604.581055120434</v>
      </c>
      <c r="K870" s="486">
        <f>879834.83/84.9*21.2</f>
        <v>219699.62775029446</v>
      </c>
    </row>
    <row r="871" spans="1:11" ht="12.75" customHeight="1" x14ac:dyDescent="0.2">
      <c r="A871" s="384" t="s">
        <v>1584</v>
      </c>
      <c r="B871" s="382" t="s">
        <v>308</v>
      </c>
      <c r="C871" s="878"/>
      <c r="D871" s="881"/>
      <c r="E871" s="485">
        <v>9</v>
      </c>
      <c r="F871" s="196"/>
      <c r="G871" s="382"/>
      <c r="H871" s="461">
        <v>84.4</v>
      </c>
      <c r="I871" s="884"/>
      <c r="J871" s="461">
        <v>173595.59627604551</v>
      </c>
      <c r="K871" s="486"/>
    </row>
    <row r="872" spans="1:11" x14ac:dyDescent="0.2">
      <c r="A872" s="770" t="s">
        <v>14260</v>
      </c>
      <c r="B872" s="761" t="s">
        <v>308</v>
      </c>
      <c r="C872" s="878"/>
      <c r="D872" s="881"/>
      <c r="E872" s="766">
        <v>10</v>
      </c>
      <c r="F872" s="771" t="s">
        <v>14261</v>
      </c>
      <c r="G872" s="761" t="s">
        <v>143</v>
      </c>
      <c r="H872" s="772">
        <v>80</v>
      </c>
      <c r="I872" s="884"/>
      <c r="J872" s="772">
        <v>2832000</v>
      </c>
      <c r="K872" s="773">
        <v>829055.2</v>
      </c>
    </row>
    <row r="873" spans="1:11" x14ac:dyDescent="0.2">
      <c r="A873" s="770" t="s">
        <v>14262</v>
      </c>
      <c r="B873" s="761" t="s">
        <v>308</v>
      </c>
      <c r="C873" s="878"/>
      <c r="D873" s="881"/>
      <c r="E873" s="766">
        <v>1</v>
      </c>
      <c r="F873" s="771" t="s">
        <v>14263</v>
      </c>
      <c r="G873" s="761" t="s">
        <v>143</v>
      </c>
      <c r="H873" s="772">
        <v>54.9</v>
      </c>
      <c r="I873" s="884"/>
      <c r="J873" s="772">
        <v>2039000</v>
      </c>
      <c r="K873" s="773">
        <v>568939.13</v>
      </c>
    </row>
    <row r="874" spans="1:11" x14ac:dyDescent="0.2">
      <c r="A874" s="770" t="s">
        <v>14264</v>
      </c>
      <c r="B874" s="761" t="s">
        <v>308</v>
      </c>
      <c r="C874" s="879"/>
      <c r="D874" s="882"/>
      <c r="E874" s="766">
        <v>18</v>
      </c>
      <c r="F874" s="771" t="s">
        <v>14265</v>
      </c>
      <c r="G874" s="761" t="s">
        <v>14266</v>
      </c>
      <c r="H874" s="772">
        <v>62.7</v>
      </c>
      <c r="I874" s="885"/>
      <c r="J874" s="772">
        <v>2298000</v>
      </c>
      <c r="K874" s="773">
        <v>649772.01</v>
      </c>
    </row>
    <row r="875" spans="1:11" ht="12.75" customHeight="1" x14ac:dyDescent="0.2">
      <c r="A875" s="383" t="s">
        <v>980</v>
      </c>
      <c r="B875" s="382"/>
      <c r="C875" s="877" t="s">
        <v>12973</v>
      </c>
      <c r="D875" s="880">
        <v>6</v>
      </c>
      <c r="E875" s="485"/>
      <c r="F875" s="196"/>
      <c r="G875" s="382"/>
      <c r="H875" s="461">
        <f>797.2-797.2</f>
        <v>0</v>
      </c>
      <c r="I875" s="883">
        <v>1957</v>
      </c>
      <c r="J875" s="461">
        <f>1550000-1550000</f>
        <v>0</v>
      </c>
      <c r="K875" s="486"/>
    </row>
    <row r="876" spans="1:11" ht="26.25" customHeight="1" x14ac:dyDescent="0.2">
      <c r="A876" s="384" t="s">
        <v>981</v>
      </c>
      <c r="B876" s="382" t="s">
        <v>308</v>
      </c>
      <c r="C876" s="879"/>
      <c r="D876" s="882"/>
      <c r="E876" s="485">
        <v>10</v>
      </c>
      <c r="F876" s="196"/>
      <c r="G876" s="382"/>
      <c r="H876" s="461">
        <v>47.7</v>
      </c>
      <c r="I876" s="885"/>
      <c r="J876" s="461">
        <v>92743.351731058705</v>
      </c>
      <c r="K876" s="486"/>
    </row>
    <row r="877" spans="1:11" ht="12.75" customHeight="1" x14ac:dyDescent="0.2">
      <c r="A877" s="383" t="s">
        <v>982</v>
      </c>
      <c r="B877" s="382"/>
      <c r="C877" s="877" t="s">
        <v>12974</v>
      </c>
      <c r="D877" s="880">
        <v>10</v>
      </c>
      <c r="E877" s="485"/>
      <c r="F877" s="196"/>
      <c r="G877" s="382"/>
      <c r="H877" s="461">
        <f>825.4-825.4</f>
        <v>0</v>
      </c>
      <c r="I877" s="883">
        <v>1958</v>
      </c>
      <c r="J877" s="461">
        <f>1572300-1572300</f>
        <v>0</v>
      </c>
      <c r="K877" s="486"/>
    </row>
    <row r="878" spans="1:11" ht="12.75" customHeight="1" x14ac:dyDescent="0.2">
      <c r="A878" s="384" t="s">
        <v>1585</v>
      </c>
      <c r="B878" s="382" t="s">
        <v>308</v>
      </c>
      <c r="C878" s="878"/>
      <c r="D878" s="881"/>
      <c r="E878" s="485">
        <v>14</v>
      </c>
      <c r="F878" s="196"/>
      <c r="G878" s="382"/>
      <c r="H878" s="461">
        <v>70.25</v>
      </c>
      <c r="I878" s="884"/>
      <c r="J878" s="461">
        <v>133818.8454082869</v>
      </c>
      <c r="K878" s="486"/>
    </row>
    <row r="879" spans="1:11" x14ac:dyDescent="0.2">
      <c r="A879" s="384" t="s">
        <v>1586</v>
      </c>
      <c r="B879" s="382" t="s">
        <v>308</v>
      </c>
      <c r="C879" s="878"/>
      <c r="D879" s="881"/>
      <c r="E879" s="472" t="s">
        <v>372</v>
      </c>
      <c r="F879" s="196"/>
      <c r="G879" s="382"/>
      <c r="H879" s="461">
        <v>14.05</v>
      </c>
      <c r="I879" s="884"/>
      <c r="J879" s="461">
        <v>26763.769081657381</v>
      </c>
      <c r="K879" s="486"/>
    </row>
    <row r="880" spans="1:11" x14ac:dyDescent="0.2">
      <c r="A880" s="384" t="s">
        <v>3547</v>
      </c>
      <c r="B880" s="382" t="s">
        <v>308</v>
      </c>
      <c r="C880" s="879"/>
      <c r="D880" s="882"/>
      <c r="E880" s="472">
        <v>9</v>
      </c>
      <c r="F880" s="196" t="s">
        <v>3548</v>
      </c>
      <c r="G880" s="382" t="s">
        <v>143</v>
      </c>
      <c r="H880" s="461">
        <v>63.8</v>
      </c>
      <c r="I880" s="885"/>
      <c r="J880" s="461">
        <v>1253000</v>
      </c>
      <c r="K880" s="486">
        <v>806020.49</v>
      </c>
    </row>
    <row r="881" spans="1:11" ht="39" customHeight="1" x14ac:dyDescent="0.2">
      <c r="A881" s="383" t="s">
        <v>983</v>
      </c>
      <c r="B881" s="382" t="s">
        <v>308</v>
      </c>
      <c r="C881" s="617" t="s">
        <v>12975</v>
      </c>
      <c r="D881" s="619">
        <v>2</v>
      </c>
      <c r="E881" s="485">
        <v>1</v>
      </c>
      <c r="F881" s="196" t="s">
        <v>11616</v>
      </c>
      <c r="G881" s="382"/>
      <c r="H881" s="461">
        <f>147.6-80.9</f>
        <v>66.699999999999989</v>
      </c>
      <c r="I881" s="618">
        <v>1991</v>
      </c>
      <c r="J881" s="461">
        <f>902800/147.6*75.3</f>
        <v>460574.79674796748</v>
      </c>
      <c r="K881" s="486">
        <v>776141.21</v>
      </c>
    </row>
    <row r="882" spans="1:11" ht="38.25" x14ac:dyDescent="0.2">
      <c r="A882" s="383" t="s">
        <v>984</v>
      </c>
      <c r="B882" s="382" t="s">
        <v>308</v>
      </c>
      <c r="C882" s="617" t="s">
        <v>12976</v>
      </c>
      <c r="D882" s="619">
        <v>5</v>
      </c>
      <c r="E882" s="485">
        <v>1</v>
      </c>
      <c r="F882" s="196" t="s">
        <v>274</v>
      </c>
      <c r="G882" s="382" t="s">
        <v>275</v>
      </c>
      <c r="H882" s="461">
        <f>228.5-113.6</f>
        <v>114.9</v>
      </c>
      <c r="I882" s="618">
        <v>1992</v>
      </c>
      <c r="J882" s="461">
        <f>105100/228.5*114.9</f>
        <v>52848.971553610507</v>
      </c>
      <c r="K882" s="486">
        <v>1317427.31</v>
      </c>
    </row>
    <row r="883" spans="1:11" ht="38.25" x14ac:dyDescent="0.2">
      <c r="A883" s="383" t="s">
        <v>985</v>
      </c>
      <c r="B883" s="382" t="s">
        <v>308</v>
      </c>
      <c r="C883" s="617" t="s">
        <v>12977</v>
      </c>
      <c r="D883" s="619">
        <v>1</v>
      </c>
      <c r="E883" s="485">
        <v>2</v>
      </c>
      <c r="F883" s="196" t="s">
        <v>11617</v>
      </c>
      <c r="G883" s="382"/>
      <c r="H883" s="461">
        <f>132.4-68.1</f>
        <v>64.300000000000011</v>
      </c>
      <c r="I883" s="618">
        <v>1954</v>
      </c>
      <c r="J883" s="461">
        <f>236000/132.4*64.3</f>
        <v>114613.29305135951</v>
      </c>
      <c r="K883" s="486">
        <f>1054845.36-705733.24</f>
        <v>349112.12000000011</v>
      </c>
    </row>
    <row r="884" spans="1:11" ht="37.5" customHeight="1" x14ac:dyDescent="0.2">
      <c r="A884" s="383" t="s">
        <v>986</v>
      </c>
      <c r="B884" s="382" t="s">
        <v>308</v>
      </c>
      <c r="C884" s="617" t="s">
        <v>12978</v>
      </c>
      <c r="D884" s="619">
        <v>5</v>
      </c>
      <c r="E884" s="485">
        <v>2</v>
      </c>
      <c r="F884" s="196" t="s">
        <v>276</v>
      </c>
      <c r="G884" s="382"/>
      <c r="H884" s="461">
        <f>133.9-69</f>
        <v>64.900000000000006</v>
      </c>
      <c r="I884" s="618">
        <v>1951</v>
      </c>
      <c r="J884" s="461">
        <f>236200/133.9*64.9</f>
        <v>114483.7938760269</v>
      </c>
      <c r="K884" s="486">
        <v>672571.03</v>
      </c>
    </row>
    <row r="885" spans="1:11" ht="12.75" customHeight="1" x14ac:dyDescent="0.2">
      <c r="A885" s="383" t="s">
        <v>987</v>
      </c>
      <c r="B885" s="382"/>
      <c r="C885" s="877" t="s">
        <v>12979</v>
      </c>
      <c r="D885" s="880">
        <v>6</v>
      </c>
      <c r="E885" s="485"/>
      <c r="F885" s="196" t="s">
        <v>277</v>
      </c>
      <c r="G885" s="382"/>
      <c r="H885" s="461">
        <f>115-115</f>
        <v>0</v>
      </c>
      <c r="I885" s="883">
        <v>1954</v>
      </c>
      <c r="J885" s="461">
        <f>236160-236160</f>
        <v>0</v>
      </c>
      <c r="K885" s="486">
        <v>916217.65</v>
      </c>
    </row>
    <row r="886" spans="1:11" ht="38.25" customHeight="1" x14ac:dyDescent="0.2">
      <c r="A886" s="384" t="s">
        <v>9202</v>
      </c>
      <c r="B886" s="382" t="s">
        <v>308</v>
      </c>
      <c r="C886" s="878"/>
      <c r="D886" s="881"/>
      <c r="E886" s="485">
        <v>1</v>
      </c>
      <c r="F886" s="196" t="s">
        <v>9203</v>
      </c>
      <c r="G886" s="382"/>
      <c r="H886" s="461">
        <v>59.1</v>
      </c>
      <c r="I886" s="884"/>
      <c r="J886" s="461">
        <f>236160/115*H886</f>
        <v>121365.7043478261</v>
      </c>
      <c r="K886" s="486">
        <v>612464.53</v>
      </c>
    </row>
    <row r="887" spans="1:11" ht="39.75" customHeight="1" x14ac:dyDescent="0.2">
      <c r="A887" s="788" t="s">
        <v>988</v>
      </c>
      <c r="B887" s="765" t="s">
        <v>323</v>
      </c>
      <c r="C887" s="877" t="s">
        <v>14558</v>
      </c>
      <c r="D887" s="880">
        <v>8</v>
      </c>
      <c r="E887" s="766"/>
      <c r="F887" s="771" t="s">
        <v>278</v>
      </c>
      <c r="G887" s="761" t="s">
        <v>143</v>
      </c>
      <c r="H887" s="772">
        <f>122.8-27.4</f>
        <v>95.4</v>
      </c>
      <c r="I887" s="913">
        <v>1954</v>
      </c>
      <c r="J887" s="772">
        <f>242.6*1000-J888</f>
        <v>188469.38110749185</v>
      </c>
      <c r="K887" s="773">
        <v>978361.11</v>
      </c>
    </row>
    <row r="888" spans="1:11" ht="39.75" customHeight="1" x14ac:dyDescent="0.2">
      <c r="A888" s="789" t="s">
        <v>14559</v>
      </c>
      <c r="B888" s="765" t="s">
        <v>308</v>
      </c>
      <c r="C888" s="878"/>
      <c r="D888" s="881"/>
      <c r="E888" s="766">
        <v>2</v>
      </c>
      <c r="F888" s="771" t="s">
        <v>14560</v>
      </c>
      <c r="G888" s="761" t="s">
        <v>143</v>
      </c>
      <c r="H888" s="772">
        <v>27.4</v>
      </c>
      <c r="I888" s="914"/>
      <c r="J888" s="772">
        <f>242600/122.8*27.4</f>
        <v>54130.618892508137</v>
      </c>
      <c r="K888" s="773">
        <v>283951.40999999997</v>
      </c>
    </row>
    <row r="889" spans="1:11" ht="38.25" x14ac:dyDescent="0.2">
      <c r="A889" s="383" t="s">
        <v>989</v>
      </c>
      <c r="B889" s="382" t="s">
        <v>308</v>
      </c>
      <c r="C889" s="617" t="s">
        <v>12980</v>
      </c>
      <c r="D889" s="619">
        <v>10</v>
      </c>
      <c r="E889" s="485">
        <v>2</v>
      </c>
      <c r="F889" s="196" t="s">
        <v>11618</v>
      </c>
      <c r="G889" s="382"/>
      <c r="H889" s="461">
        <f>89.7-44.8</f>
        <v>44.900000000000006</v>
      </c>
      <c r="I889" s="618">
        <v>1955</v>
      </c>
      <c r="J889" s="461">
        <f>242600/89.7*44.9</f>
        <v>121435.22853957636</v>
      </c>
      <c r="K889" s="486">
        <f>714649.77-464270.91</f>
        <v>250378.86000000004</v>
      </c>
    </row>
    <row r="890" spans="1:11" ht="38.25" x14ac:dyDescent="0.2">
      <c r="A890" s="383" t="s">
        <v>990</v>
      </c>
      <c r="B890" s="382" t="s">
        <v>308</v>
      </c>
      <c r="C890" s="617" t="s">
        <v>12981</v>
      </c>
      <c r="D890" s="619">
        <v>12</v>
      </c>
      <c r="E890" s="485">
        <v>1</v>
      </c>
      <c r="F890" s="196" t="s">
        <v>11619</v>
      </c>
      <c r="G890" s="382"/>
      <c r="H890" s="461">
        <f>97.2-48.2</f>
        <v>49</v>
      </c>
      <c r="I890" s="618">
        <v>1950</v>
      </c>
      <c r="J890" s="461">
        <f>200100/97.2*49</f>
        <v>100873.45679012345</v>
      </c>
      <c r="K890" s="486">
        <f>774403.09-499505.76</f>
        <v>274897.32999999996</v>
      </c>
    </row>
    <row r="891" spans="1:11" ht="38.25" x14ac:dyDescent="0.2">
      <c r="A891" s="383" t="s">
        <v>991</v>
      </c>
      <c r="B891" s="382" t="s">
        <v>308</v>
      </c>
      <c r="C891" s="617" t="s">
        <v>12982</v>
      </c>
      <c r="D891" s="619">
        <v>14</v>
      </c>
      <c r="E891" s="485">
        <v>2</v>
      </c>
      <c r="F891" s="196" t="s">
        <v>279</v>
      </c>
      <c r="G891" s="382"/>
      <c r="H891" s="461">
        <f>112.9-57.3</f>
        <v>55.600000000000009</v>
      </c>
      <c r="I891" s="618">
        <v>1954</v>
      </c>
      <c r="J891" s="461">
        <f>264500/112.9*55.6</f>
        <v>130258.63596102744</v>
      </c>
      <c r="K891" s="486">
        <v>576193.36</v>
      </c>
    </row>
    <row r="892" spans="1:11" ht="12.75" customHeight="1" x14ac:dyDescent="0.2">
      <c r="A892" s="383" t="s">
        <v>1587</v>
      </c>
      <c r="B892" s="382"/>
      <c r="C892" s="877" t="s">
        <v>12983</v>
      </c>
      <c r="D892" s="880">
        <v>18</v>
      </c>
      <c r="E892" s="485"/>
      <c r="F892" s="196" t="s">
        <v>280</v>
      </c>
      <c r="G892" s="486"/>
      <c r="H892" s="461">
        <f>93.4-93.4</f>
        <v>0</v>
      </c>
      <c r="I892" s="883">
        <v>1954</v>
      </c>
      <c r="J892" s="461">
        <f>185800-185800</f>
        <v>0</v>
      </c>
      <c r="K892" s="486">
        <v>744128.07</v>
      </c>
    </row>
    <row r="893" spans="1:11" x14ac:dyDescent="0.2">
      <c r="A893" s="384" t="s">
        <v>6788</v>
      </c>
      <c r="B893" s="382" t="s">
        <v>308</v>
      </c>
      <c r="C893" s="878"/>
      <c r="D893" s="881"/>
      <c r="E893" s="485">
        <v>1</v>
      </c>
      <c r="F893" s="196" t="s">
        <v>6791</v>
      </c>
      <c r="G893" s="486" t="s">
        <v>143</v>
      </c>
      <c r="H893" s="461">
        <v>47.9</v>
      </c>
      <c r="I893" s="884"/>
      <c r="J893" s="461">
        <f>185800/93.4*H893</f>
        <v>95287.152034261235</v>
      </c>
      <c r="K893" s="486">
        <v>496396.79999999999</v>
      </c>
    </row>
    <row r="894" spans="1:11" x14ac:dyDescent="0.2">
      <c r="A894" s="384" t="s">
        <v>6789</v>
      </c>
      <c r="B894" s="382" t="s">
        <v>308</v>
      </c>
      <c r="C894" s="879"/>
      <c r="D894" s="882"/>
      <c r="E894" s="485">
        <v>2</v>
      </c>
      <c r="F894" s="196" t="s">
        <v>6790</v>
      </c>
      <c r="G894" s="486" t="s">
        <v>143</v>
      </c>
      <c r="H894" s="461">
        <v>45.5</v>
      </c>
      <c r="I894" s="885"/>
      <c r="J894" s="461">
        <f>185800/93.4*H894</f>
        <v>90512.847965738751</v>
      </c>
      <c r="K894" s="486">
        <v>471525.15</v>
      </c>
    </row>
    <row r="895" spans="1:11" ht="12.75" customHeight="1" x14ac:dyDescent="0.2">
      <c r="A895" s="383" t="s">
        <v>992</v>
      </c>
      <c r="B895" s="382"/>
      <c r="C895" s="877" t="s">
        <v>12984</v>
      </c>
      <c r="D895" s="905">
        <v>2</v>
      </c>
      <c r="E895" s="367"/>
      <c r="F895" s="196"/>
      <c r="G895" s="382"/>
      <c r="H895" s="461">
        <f>559.2-559.2</f>
        <v>0</v>
      </c>
      <c r="I895" s="883">
        <v>1951</v>
      </c>
      <c r="J895" s="461">
        <f>1095000-1095000</f>
        <v>0</v>
      </c>
      <c r="K895" s="486"/>
    </row>
    <row r="896" spans="1:11" x14ac:dyDescent="0.2">
      <c r="A896" s="384" t="s">
        <v>1588</v>
      </c>
      <c r="B896" s="382" t="s">
        <v>308</v>
      </c>
      <c r="C896" s="878"/>
      <c r="D896" s="912"/>
      <c r="E896" s="485">
        <v>2</v>
      </c>
      <c r="F896" s="196" t="s">
        <v>373</v>
      </c>
      <c r="G896" s="382"/>
      <c r="H896" s="461">
        <v>45.1</v>
      </c>
      <c r="I896" s="884"/>
      <c r="J896" s="461">
        <v>88312.768240343343</v>
      </c>
      <c r="K896" s="486">
        <v>467379.87</v>
      </c>
    </row>
    <row r="897" spans="1:11" x14ac:dyDescent="0.2">
      <c r="A897" s="384" t="s">
        <v>1589</v>
      </c>
      <c r="B897" s="382" t="s">
        <v>308</v>
      </c>
      <c r="C897" s="878"/>
      <c r="D897" s="912"/>
      <c r="E897" s="485">
        <v>3</v>
      </c>
      <c r="F897" s="196" t="s">
        <v>374</v>
      </c>
      <c r="G897" s="382"/>
      <c r="H897" s="461">
        <v>46.4</v>
      </c>
      <c r="I897" s="884"/>
      <c r="J897" s="461">
        <v>90858.369098712443</v>
      </c>
      <c r="K897" s="486">
        <v>480852.02</v>
      </c>
    </row>
    <row r="898" spans="1:11" x14ac:dyDescent="0.2">
      <c r="A898" s="384" t="s">
        <v>1590</v>
      </c>
      <c r="B898" s="382" t="s">
        <v>308</v>
      </c>
      <c r="C898" s="878"/>
      <c r="D898" s="912"/>
      <c r="E898" s="485">
        <v>6</v>
      </c>
      <c r="F898" s="196" t="s">
        <v>375</v>
      </c>
      <c r="G898" s="382"/>
      <c r="H898" s="461">
        <v>45.9</v>
      </c>
      <c r="I898" s="884"/>
      <c r="J898" s="461">
        <v>89879.291845493557</v>
      </c>
      <c r="K898" s="486">
        <v>475670.42</v>
      </c>
    </row>
    <row r="899" spans="1:11" x14ac:dyDescent="0.2">
      <c r="A899" s="384" t="s">
        <v>12358</v>
      </c>
      <c r="B899" s="382" t="s">
        <v>308</v>
      </c>
      <c r="C899" s="878"/>
      <c r="D899" s="912"/>
      <c r="E899" s="485">
        <v>7</v>
      </c>
      <c r="F899" s="196" t="s">
        <v>12361</v>
      </c>
      <c r="G899" s="382" t="s">
        <v>543</v>
      </c>
      <c r="H899" s="461">
        <f>44.6</f>
        <v>44.6</v>
      </c>
      <c r="I899" s="884"/>
      <c r="J899" s="461">
        <v>1281321.2</v>
      </c>
      <c r="K899" s="486">
        <v>462198.27</v>
      </c>
    </row>
    <row r="900" spans="1:11" x14ac:dyDescent="0.2">
      <c r="A900" s="384" t="s">
        <v>12359</v>
      </c>
      <c r="B900" s="382" t="s">
        <v>308</v>
      </c>
      <c r="C900" s="878"/>
      <c r="D900" s="912"/>
      <c r="E900" s="485">
        <v>8</v>
      </c>
      <c r="F900" s="196" t="s">
        <v>12362</v>
      </c>
      <c r="G900" s="382" t="s">
        <v>543</v>
      </c>
      <c r="H900" s="461">
        <v>45.2</v>
      </c>
      <c r="I900" s="884"/>
      <c r="J900" s="461">
        <v>1281321.2</v>
      </c>
      <c r="K900" s="486">
        <v>468416.19</v>
      </c>
    </row>
    <row r="901" spans="1:11" x14ac:dyDescent="0.2">
      <c r="A901" s="384" t="s">
        <v>12360</v>
      </c>
      <c r="B901" s="382" t="s">
        <v>308</v>
      </c>
      <c r="C901" s="878"/>
      <c r="D901" s="912"/>
      <c r="E901" s="485">
        <v>5</v>
      </c>
      <c r="F901" s="196" t="s">
        <v>12363</v>
      </c>
      <c r="G901" s="382" t="s">
        <v>7882</v>
      </c>
      <c r="H901" s="461">
        <v>44.7</v>
      </c>
      <c r="I901" s="884"/>
      <c r="J901" s="461">
        <v>1281321.2</v>
      </c>
      <c r="K901" s="486">
        <v>463234.59</v>
      </c>
    </row>
    <row r="902" spans="1:11" x14ac:dyDescent="0.2">
      <c r="A902" s="384" t="s">
        <v>12404</v>
      </c>
      <c r="B902" s="382" t="s">
        <v>308</v>
      </c>
      <c r="C902" s="879"/>
      <c r="D902" s="906"/>
      <c r="E902" s="485">
        <v>1</v>
      </c>
      <c r="F902" s="196" t="s">
        <v>12405</v>
      </c>
      <c r="G902" s="196" t="s">
        <v>143</v>
      </c>
      <c r="H902" s="359">
        <v>46.9</v>
      </c>
      <c r="I902" s="885"/>
      <c r="J902" s="461"/>
      <c r="K902" s="486">
        <v>486033.61</v>
      </c>
    </row>
    <row r="903" spans="1:11" x14ac:dyDescent="0.2">
      <c r="A903" s="383" t="s">
        <v>993</v>
      </c>
      <c r="B903" s="382" t="s">
        <v>308</v>
      </c>
      <c r="C903" s="877" t="s">
        <v>12985</v>
      </c>
      <c r="D903" s="915">
        <v>3</v>
      </c>
      <c r="E903" s="485">
        <v>2</v>
      </c>
      <c r="F903" s="196"/>
      <c r="G903" s="382"/>
      <c r="H903" s="461">
        <f>177.6-95.2</f>
        <v>82.399999999999991</v>
      </c>
      <c r="I903" s="883">
        <v>1950</v>
      </c>
      <c r="J903" s="461">
        <f>447600/177.6*82.4</f>
        <v>207670.2702702703</v>
      </c>
      <c r="K903" s="486">
        <f>1414958.74-986575.69</f>
        <v>428383.05000000005</v>
      </c>
    </row>
    <row r="904" spans="1:11" ht="43.5" customHeight="1" x14ac:dyDescent="0.2">
      <c r="A904" s="384" t="s">
        <v>12678</v>
      </c>
      <c r="B904" s="382" t="s">
        <v>308</v>
      </c>
      <c r="C904" s="879"/>
      <c r="D904" s="916"/>
      <c r="E904" s="485">
        <v>1</v>
      </c>
      <c r="F904" s="196" t="s">
        <v>12679</v>
      </c>
      <c r="G904" s="382" t="s">
        <v>143</v>
      </c>
      <c r="H904" s="461">
        <v>95.2</v>
      </c>
      <c r="I904" s="885"/>
      <c r="J904" s="461">
        <v>2592000</v>
      </c>
      <c r="K904" s="486">
        <v>986575.69</v>
      </c>
    </row>
    <row r="905" spans="1:11" ht="38.25" customHeight="1" x14ac:dyDescent="0.2">
      <c r="A905" s="383" t="s">
        <v>994</v>
      </c>
      <c r="B905" s="382" t="s">
        <v>308</v>
      </c>
      <c r="C905" s="617" t="s">
        <v>12986</v>
      </c>
      <c r="D905" s="517">
        <v>5</v>
      </c>
      <c r="E905" s="485">
        <v>2</v>
      </c>
      <c r="F905" s="196"/>
      <c r="G905" s="382"/>
      <c r="H905" s="461">
        <f>130.5-65</f>
        <v>65.5</v>
      </c>
      <c r="I905" s="618">
        <v>1950</v>
      </c>
      <c r="J905" s="461">
        <f>361900/130.5*65.5</f>
        <v>181643.29501915711</v>
      </c>
      <c r="K905" s="486">
        <f>1039707.86/130.5*65.5</f>
        <v>521845.70750957855</v>
      </c>
    </row>
    <row r="906" spans="1:11" x14ac:dyDescent="0.2">
      <c r="A906" s="383" t="s">
        <v>995</v>
      </c>
      <c r="B906" s="382"/>
      <c r="C906" s="877" t="s">
        <v>12987</v>
      </c>
      <c r="D906" s="880">
        <v>1</v>
      </c>
      <c r="E906" s="485"/>
      <c r="F906" s="196"/>
      <c r="G906" s="382" t="s">
        <v>196</v>
      </c>
      <c r="H906" s="461">
        <f>112.8-112.8</f>
        <v>0</v>
      </c>
      <c r="I906" s="883">
        <v>1948</v>
      </c>
      <c r="J906" s="461">
        <f>190700-190700</f>
        <v>0</v>
      </c>
      <c r="K906" s="486">
        <v>969320.86</v>
      </c>
    </row>
    <row r="907" spans="1:11" ht="12.75" customHeight="1" x14ac:dyDescent="0.2">
      <c r="A907" s="384" t="s">
        <v>4323</v>
      </c>
      <c r="B907" s="382" t="s">
        <v>308</v>
      </c>
      <c r="C907" s="878"/>
      <c r="D907" s="881"/>
      <c r="E907" s="485">
        <v>1</v>
      </c>
      <c r="F907" s="196" t="s">
        <v>4325</v>
      </c>
      <c r="G907" s="382" t="s">
        <v>143</v>
      </c>
      <c r="H907" s="461">
        <v>56.5</v>
      </c>
      <c r="I907" s="884"/>
      <c r="J907" s="461">
        <f>190700/112.8*H907</f>
        <v>95519.060283687955</v>
      </c>
      <c r="K907" s="486">
        <v>594224.06000000006</v>
      </c>
    </row>
    <row r="908" spans="1:11" ht="16.5" customHeight="1" x14ac:dyDescent="0.2">
      <c r="A908" s="384" t="s">
        <v>4324</v>
      </c>
      <c r="B908" s="382" t="s">
        <v>308</v>
      </c>
      <c r="C908" s="879"/>
      <c r="D908" s="882"/>
      <c r="E908" s="485">
        <v>2</v>
      </c>
      <c r="F908" s="196" t="s">
        <v>4326</v>
      </c>
      <c r="G908" s="382" t="s">
        <v>143</v>
      </c>
      <c r="H908" s="461">
        <v>56.3</v>
      </c>
      <c r="I908" s="885"/>
      <c r="J908" s="461">
        <f>190700/112.8*H908</f>
        <v>95180.939716312059</v>
      </c>
      <c r="K908" s="486">
        <v>592120.61</v>
      </c>
    </row>
    <row r="909" spans="1:11" ht="20.25" customHeight="1" x14ac:dyDescent="0.2">
      <c r="A909" s="383" t="s">
        <v>996</v>
      </c>
      <c r="B909" s="382"/>
      <c r="C909" s="893" t="s">
        <v>12988</v>
      </c>
      <c r="D909" s="898">
        <v>5</v>
      </c>
      <c r="E909" s="485"/>
      <c r="F909" s="196" t="s">
        <v>11620</v>
      </c>
      <c r="G909" s="382" t="s">
        <v>196</v>
      </c>
      <c r="H909" s="492">
        <f>106.3-106.3</f>
        <v>0</v>
      </c>
      <c r="I909" s="891">
        <v>1949</v>
      </c>
      <c r="J909" s="461">
        <f>193500-193500</f>
        <v>0</v>
      </c>
      <c r="K909" s="486">
        <v>913464.6</v>
      </c>
    </row>
    <row r="910" spans="1:11" ht="12.75" customHeight="1" x14ac:dyDescent="0.2">
      <c r="A910" s="384" t="s">
        <v>4980</v>
      </c>
      <c r="B910" s="382" t="s">
        <v>308</v>
      </c>
      <c r="C910" s="893"/>
      <c r="D910" s="898"/>
      <c r="E910" s="485">
        <v>2</v>
      </c>
      <c r="F910" s="196" t="s">
        <v>4981</v>
      </c>
      <c r="G910" s="382" t="s">
        <v>3072</v>
      </c>
      <c r="H910" s="492">
        <v>53</v>
      </c>
      <c r="I910" s="891"/>
      <c r="J910" s="461">
        <f>193500/106.3*H910</f>
        <v>96476.952022577621</v>
      </c>
      <c r="K910" s="486">
        <v>557413.72</v>
      </c>
    </row>
    <row r="911" spans="1:11" ht="12.75" customHeight="1" x14ac:dyDescent="0.2">
      <c r="A911" s="383" t="s">
        <v>997</v>
      </c>
      <c r="B911" s="382"/>
      <c r="C911" s="893" t="s">
        <v>12989</v>
      </c>
      <c r="D911" s="898">
        <v>6</v>
      </c>
      <c r="E911" s="485"/>
      <c r="F911" s="196" t="s">
        <v>11621</v>
      </c>
      <c r="G911" s="382" t="s">
        <v>196</v>
      </c>
      <c r="H911" s="492">
        <f>93.2-93.2</f>
        <v>0</v>
      </c>
      <c r="I911" s="891">
        <v>1947</v>
      </c>
      <c r="J911" s="461">
        <f>215200-215200</f>
        <v>0</v>
      </c>
      <c r="K911" s="486">
        <v>772500.32</v>
      </c>
    </row>
    <row r="912" spans="1:11" ht="12.75" customHeight="1" x14ac:dyDescent="0.2">
      <c r="A912" s="384" t="s">
        <v>4327</v>
      </c>
      <c r="B912" s="382" t="s">
        <v>308</v>
      </c>
      <c r="C912" s="893"/>
      <c r="D912" s="898"/>
      <c r="E912" s="485">
        <v>1</v>
      </c>
      <c r="F912" s="196" t="s">
        <v>4329</v>
      </c>
      <c r="G912" s="382" t="s">
        <v>143</v>
      </c>
      <c r="H912" s="492">
        <v>46.6</v>
      </c>
      <c r="I912" s="891"/>
      <c r="J912" s="461">
        <f>215200/93.2*H912</f>
        <v>107600.00000000001</v>
      </c>
      <c r="K912" s="486">
        <v>501039.94</v>
      </c>
    </row>
    <row r="913" spans="1:11" ht="12.75" customHeight="1" x14ac:dyDescent="0.2">
      <c r="A913" s="384" t="s">
        <v>4328</v>
      </c>
      <c r="B913" s="382" t="s">
        <v>308</v>
      </c>
      <c r="C913" s="893"/>
      <c r="D913" s="898"/>
      <c r="E913" s="485">
        <v>2</v>
      </c>
      <c r="F913" s="196" t="s">
        <v>4330</v>
      </c>
      <c r="G913" s="382" t="s">
        <v>143</v>
      </c>
      <c r="H913" s="492">
        <v>46.6</v>
      </c>
      <c r="I913" s="891"/>
      <c r="J913" s="461">
        <f>215200/93.2*H913</f>
        <v>107600.00000000001</v>
      </c>
      <c r="K913" s="486">
        <v>501039.94</v>
      </c>
    </row>
    <row r="914" spans="1:11" x14ac:dyDescent="0.2">
      <c r="A914" s="383" t="s">
        <v>998</v>
      </c>
      <c r="B914" s="382"/>
      <c r="C914" s="893" t="s">
        <v>12990</v>
      </c>
      <c r="D914" s="898">
        <v>17</v>
      </c>
      <c r="E914" s="485"/>
      <c r="F914" s="196"/>
      <c r="G914" s="382"/>
      <c r="H914" s="492">
        <f>106.2-106.2</f>
        <v>0</v>
      </c>
      <c r="I914" s="891">
        <v>1949</v>
      </c>
      <c r="J914" s="461">
        <f>229272-229272</f>
        <v>0</v>
      </c>
      <c r="K914" s="486"/>
    </row>
    <row r="915" spans="1:11" ht="12.75" customHeight="1" x14ac:dyDescent="0.2">
      <c r="A915" s="384" t="s">
        <v>1591</v>
      </c>
      <c r="B915" s="382" t="s">
        <v>308</v>
      </c>
      <c r="C915" s="893"/>
      <c r="D915" s="898"/>
      <c r="E915" s="485">
        <v>1</v>
      </c>
      <c r="F915" s="196" t="s">
        <v>269</v>
      </c>
      <c r="G915" s="382" t="s">
        <v>143</v>
      </c>
      <c r="H915" s="492">
        <v>54.1</v>
      </c>
      <c r="I915" s="891"/>
      <c r="J915" s="461">
        <v>116809.13370998116</v>
      </c>
      <c r="K915" s="486">
        <v>568982.68000000005</v>
      </c>
    </row>
    <row r="916" spans="1:11" x14ac:dyDescent="0.2">
      <c r="A916" s="384" t="s">
        <v>1592</v>
      </c>
      <c r="B916" s="382" t="s">
        <v>308</v>
      </c>
      <c r="C916" s="893"/>
      <c r="D916" s="898"/>
      <c r="E916" s="485">
        <v>2</v>
      </c>
      <c r="F916" s="196" t="s">
        <v>141</v>
      </c>
      <c r="G916" s="382" t="s">
        <v>143</v>
      </c>
      <c r="H916" s="492">
        <v>52.3</v>
      </c>
      <c r="I916" s="891"/>
      <c r="J916" s="461">
        <v>112922.69303201506</v>
      </c>
      <c r="K916" s="486">
        <v>550051.65</v>
      </c>
    </row>
    <row r="917" spans="1:11" x14ac:dyDescent="0.2">
      <c r="A917" s="383" t="s">
        <v>999</v>
      </c>
      <c r="B917" s="382"/>
      <c r="C917" s="893" t="s">
        <v>12991</v>
      </c>
      <c r="D917" s="898">
        <v>19</v>
      </c>
      <c r="E917" s="485"/>
      <c r="F917" s="196"/>
      <c r="G917" s="382"/>
      <c r="H917" s="492">
        <f>130.5-130.5</f>
        <v>0</v>
      </c>
      <c r="I917" s="891">
        <v>1948</v>
      </c>
      <c r="J917" s="461">
        <f>222712-222712</f>
        <v>0</v>
      </c>
      <c r="K917" s="486"/>
    </row>
    <row r="918" spans="1:11" ht="12.75" customHeight="1" x14ac:dyDescent="0.2">
      <c r="A918" s="384" t="s">
        <v>1593</v>
      </c>
      <c r="B918" s="382" t="s">
        <v>308</v>
      </c>
      <c r="C918" s="893"/>
      <c r="D918" s="898"/>
      <c r="E918" s="485">
        <v>2</v>
      </c>
      <c r="F918" s="196" t="s">
        <v>270</v>
      </c>
      <c r="G918" s="382" t="s">
        <v>143</v>
      </c>
      <c r="H918" s="492">
        <v>65.099999999999994</v>
      </c>
      <c r="I918" s="891"/>
      <c r="J918" s="461">
        <v>111094.02298850573</v>
      </c>
      <c r="K918" s="486">
        <v>684672.32</v>
      </c>
    </row>
    <row r="919" spans="1:11" x14ac:dyDescent="0.2">
      <c r="A919" s="383" t="s">
        <v>1000</v>
      </c>
      <c r="B919" s="382"/>
      <c r="C919" s="893" t="s">
        <v>12992</v>
      </c>
      <c r="D919" s="898">
        <v>3</v>
      </c>
      <c r="E919" s="485"/>
      <c r="F919" s="196" t="s">
        <v>11622</v>
      </c>
      <c r="G919" s="382" t="s">
        <v>196</v>
      </c>
      <c r="H919" s="492">
        <f>133.7-133.7</f>
        <v>0</v>
      </c>
      <c r="I919" s="891">
        <v>1950</v>
      </c>
      <c r="J919" s="461">
        <f>214500-214500</f>
        <v>0</v>
      </c>
      <c r="K919" s="486">
        <v>1148920.2</v>
      </c>
    </row>
    <row r="920" spans="1:11" ht="12.75" customHeight="1" x14ac:dyDescent="0.2">
      <c r="A920" s="384" t="s">
        <v>4331</v>
      </c>
      <c r="B920" s="382" t="s">
        <v>308</v>
      </c>
      <c r="C920" s="893"/>
      <c r="D920" s="898"/>
      <c r="E920" s="485">
        <v>1</v>
      </c>
      <c r="F920" s="196" t="s">
        <v>4333</v>
      </c>
      <c r="G920" s="382" t="s">
        <v>143</v>
      </c>
      <c r="H920" s="492">
        <v>66.099999999999994</v>
      </c>
      <c r="I920" s="891"/>
      <c r="J920" s="461">
        <f>214500/133.7*H920</f>
        <v>106046.74644727001</v>
      </c>
      <c r="K920" s="486">
        <v>695189.56</v>
      </c>
    </row>
    <row r="921" spans="1:11" x14ac:dyDescent="0.2">
      <c r="A921" s="384" t="s">
        <v>4332</v>
      </c>
      <c r="B921" s="382" t="s">
        <v>308</v>
      </c>
      <c r="C921" s="893"/>
      <c r="D921" s="898"/>
      <c r="E921" s="485">
        <v>2</v>
      </c>
      <c r="F921" s="196" t="s">
        <v>4334</v>
      </c>
      <c r="G921" s="382" t="s">
        <v>143</v>
      </c>
      <c r="H921" s="492">
        <v>67.599999999999994</v>
      </c>
      <c r="I921" s="891"/>
      <c r="J921" s="461">
        <f>214500/133.7*H921</f>
        <v>108453.25355272999</v>
      </c>
      <c r="K921" s="486">
        <v>710965.42</v>
      </c>
    </row>
    <row r="922" spans="1:11" ht="12.75" customHeight="1" x14ac:dyDescent="0.2">
      <c r="A922" s="383" t="s">
        <v>1001</v>
      </c>
      <c r="B922" s="382"/>
      <c r="C922" s="893" t="s">
        <v>12993</v>
      </c>
      <c r="D922" s="898">
        <v>4</v>
      </c>
      <c r="E922" s="485"/>
      <c r="F922" s="196"/>
      <c r="G922" s="382"/>
      <c r="H922" s="492">
        <f>907.8-907.8</f>
        <v>0</v>
      </c>
      <c r="I922" s="891">
        <v>1953</v>
      </c>
      <c r="J922" s="461">
        <f>1170468-1170468</f>
        <v>0</v>
      </c>
      <c r="K922" s="486"/>
    </row>
    <row r="923" spans="1:11" ht="12.75" customHeight="1" x14ac:dyDescent="0.2">
      <c r="A923" s="384" t="s">
        <v>1002</v>
      </c>
      <c r="B923" s="382" t="s">
        <v>308</v>
      </c>
      <c r="C923" s="893"/>
      <c r="D923" s="898"/>
      <c r="E923" s="485">
        <v>3</v>
      </c>
      <c r="F923" s="196"/>
      <c r="G923" s="382"/>
      <c r="H923" s="492">
        <v>85.3</v>
      </c>
      <c r="I923" s="891"/>
      <c r="J923" s="461">
        <v>109984.19255342586</v>
      </c>
      <c r="K923" s="486"/>
    </row>
    <row r="924" spans="1:11" x14ac:dyDescent="0.2">
      <c r="A924" s="384" t="s">
        <v>1594</v>
      </c>
      <c r="B924" s="382" t="s">
        <v>308</v>
      </c>
      <c r="C924" s="893"/>
      <c r="D924" s="898"/>
      <c r="E924" s="485">
        <v>7</v>
      </c>
      <c r="F924" s="196" t="s">
        <v>271</v>
      </c>
      <c r="G924" s="382"/>
      <c r="H924" s="492">
        <v>62</v>
      </c>
      <c r="I924" s="891"/>
      <c r="J924" s="461">
        <v>79941.617096276721</v>
      </c>
      <c r="K924" s="486">
        <v>652068.88</v>
      </c>
    </row>
    <row r="925" spans="1:11" x14ac:dyDescent="0.2">
      <c r="A925" s="384" t="s">
        <v>1595</v>
      </c>
      <c r="B925" s="382" t="s">
        <v>308</v>
      </c>
      <c r="C925" s="893"/>
      <c r="D925" s="898"/>
      <c r="E925" s="485">
        <v>10</v>
      </c>
      <c r="F925" s="196"/>
      <c r="G925" s="382"/>
      <c r="H925" s="492">
        <v>63.2</v>
      </c>
      <c r="I925" s="891"/>
      <c r="J925" s="461">
        <v>81488.87420136595</v>
      </c>
      <c r="K925" s="486"/>
    </row>
    <row r="926" spans="1:11" x14ac:dyDescent="0.2">
      <c r="A926" s="384" t="s">
        <v>1596</v>
      </c>
      <c r="B926" s="382" t="s">
        <v>308</v>
      </c>
      <c r="C926" s="893"/>
      <c r="D926" s="898"/>
      <c r="E926" s="485">
        <v>11</v>
      </c>
      <c r="F926" s="196"/>
      <c r="G926" s="382"/>
      <c r="H926" s="492">
        <v>79.599999999999994</v>
      </c>
      <c r="I926" s="891"/>
      <c r="J926" s="461">
        <v>102634.72130425203</v>
      </c>
      <c r="K926" s="486"/>
    </row>
    <row r="927" spans="1:11" ht="25.5" x14ac:dyDescent="0.2">
      <c r="A927" s="383" t="s">
        <v>1003</v>
      </c>
      <c r="B927" s="382" t="s">
        <v>308</v>
      </c>
      <c r="C927" s="617" t="s">
        <v>12994</v>
      </c>
      <c r="D927" s="619">
        <v>5</v>
      </c>
      <c r="E927" s="485">
        <v>1</v>
      </c>
      <c r="F927" s="196" t="s">
        <v>311</v>
      </c>
      <c r="G927" s="382"/>
      <c r="H927" s="492">
        <f>154.3-75.1</f>
        <v>79.200000000000017</v>
      </c>
      <c r="I927" s="618">
        <v>1973</v>
      </c>
      <c r="J927" s="461">
        <f>323866/154.3*H927</f>
        <v>166235.82112767338</v>
      </c>
      <c r="K927" s="486">
        <v>890861.4</v>
      </c>
    </row>
    <row r="928" spans="1:11" ht="24" customHeight="1" x14ac:dyDescent="0.2">
      <c r="A928" s="383" t="s">
        <v>1004</v>
      </c>
      <c r="B928" s="382"/>
      <c r="C928" s="877" t="s">
        <v>12995</v>
      </c>
      <c r="D928" s="880">
        <v>7</v>
      </c>
      <c r="E928" s="485"/>
      <c r="F928" s="196" t="s">
        <v>272</v>
      </c>
      <c r="G928" s="382" t="s">
        <v>273</v>
      </c>
      <c r="H928" s="461">
        <f>169.9-169.9</f>
        <v>0</v>
      </c>
      <c r="I928" s="883">
        <v>1951</v>
      </c>
      <c r="J928" s="461">
        <f>754072-754072</f>
        <v>0</v>
      </c>
      <c r="K928" s="486">
        <v>1784879.35</v>
      </c>
    </row>
    <row r="929" spans="1:11" ht="12.75" customHeight="1" x14ac:dyDescent="0.2">
      <c r="A929" s="384" t="s">
        <v>6782</v>
      </c>
      <c r="B929" s="382" t="s">
        <v>308</v>
      </c>
      <c r="C929" s="879"/>
      <c r="D929" s="882"/>
      <c r="E929" s="504" t="s">
        <v>5475</v>
      </c>
      <c r="F929" s="196" t="s">
        <v>6783</v>
      </c>
      <c r="G929" s="382" t="s">
        <v>143</v>
      </c>
      <c r="H929" s="461">
        <v>78.400000000000006</v>
      </c>
      <c r="I929" s="885"/>
      <c r="J929" s="461">
        <f>754072/169.9*H929</f>
        <v>347964.94879340788</v>
      </c>
      <c r="K929" s="486">
        <v>881862.8</v>
      </c>
    </row>
    <row r="930" spans="1:11" x14ac:dyDescent="0.2">
      <c r="A930" s="386" t="s">
        <v>1005</v>
      </c>
      <c r="B930" s="382"/>
      <c r="C930" s="893" t="s">
        <v>12996</v>
      </c>
      <c r="D930" s="898">
        <v>12</v>
      </c>
      <c r="E930" s="485"/>
      <c r="F930" s="196"/>
      <c r="G930" s="382"/>
      <c r="H930" s="492">
        <f>901.7-901.7</f>
        <v>0</v>
      </c>
      <c r="I930" s="891">
        <v>1956</v>
      </c>
      <c r="J930" s="461">
        <f>1516016-1516016</f>
        <v>0</v>
      </c>
      <c r="K930" s="486"/>
    </row>
    <row r="931" spans="1:11" ht="12.75" customHeight="1" x14ac:dyDescent="0.2">
      <c r="A931" s="382" t="s">
        <v>1597</v>
      </c>
      <c r="B931" s="382" t="s">
        <v>308</v>
      </c>
      <c r="C931" s="893"/>
      <c r="D931" s="898"/>
      <c r="E931" s="485">
        <v>5</v>
      </c>
      <c r="F931" s="196"/>
      <c r="G931" s="382"/>
      <c r="H931" s="492">
        <v>82.8</v>
      </c>
      <c r="I931" s="891"/>
      <c r="J931" s="461">
        <v>139209.04957302872</v>
      </c>
      <c r="K931" s="486"/>
    </row>
    <row r="932" spans="1:11" x14ac:dyDescent="0.2">
      <c r="A932" s="382" t="s">
        <v>1598</v>
      </c>
      <c r="B932" s="382" t="s">
        <v>308</v>
      </c>
      <c r="C932" s="893"/>
      <c r="D932" s="898"/>
      <c r="E932" s="485">
        <v>7</v>
      </c>
      <c r="F932" s="196"/>
      <c r="G932" s="382"/>
      <c r="H932" s="492">
        <v>84.5</v>
      </c>
      <c r="I932" s="891"/>
      <c r="J932" s="461">
        <v>142067.20638793393</v>
      </c>
      <c r="K932" s="486"/>
    </row>
    <row r="933" spans="1:11" x14ac:dyDescent="0.2">
      <c r="A933" s="382" t="s">
        <v>1599</v>
      </c>
      <c r="B933" s="382" t="s">
        <v>308</v>
      </c>
      <c r="C933" s="893"/>
      <c r="D933" s="898"/>
      <c r="E933" s="485">
        <v>8</v>
      </c>
      <c r="F933" s="196"/>
      <c r="G933" s="382"/>
      <c r="H933" s="492">
        <v>63.6</v>
      </c>
      <c r="I933" s="891"/>
      <c r="J933" s="461">
        <v>106928.690251747</v>
      </c>
      <c r="K933" s="486"/>
    </row>
    <row r="934" spans="1:11" ht="25.5" x14ac:dyDescent="0.2">
      <c r="A934" s="383" t="s">
        <v>1006</v>
      </c>
      <c r="B934" s="382" t="s">
        <v>308</v>
      </c>
      <c r="C934" s="617" t="s">
        <v>12997</v>
      </c>
      <c r="D934" s="619">
        <v>14</v>
      </c>
      <c r="E934" s="485">
        <v>3</v>
      </c>
      <c r="F934" s="196"/>
      <c r="G934" s="382"/>
      <c r="H934" s="492">
        <f>745.2-680.4</f>
        <v>64.800000000000068</v>
      </c>
      <c r="I934" s="618">
        <v>1976</v>
      </c>
      <c r="J934" s="461">
        <f>1265300/745.2*64.8</f>
        <v>110026.08695652173</v>
      </c>
      <c r="K934" s="486"/>
    </row>
    <row r="935" spans="1:11" ht="24" x14ac:dyDescent="0.2">
      <c r="A935" s="383" t="s">
        <v>1007</v>
      </c>
      <c r="B935" s="382"/>
      <c r="C935" s="877" t="s">
        <v>12998</v>
      </c>
      <c r="D935" s="880">
        <v>31</v>
      </c>
      <c r="E935" s="485"/>
      <c r="F935" s="196"/>
      <c r="G935" s="196" t="s">
        <v>318</v>
      </c>
      <c r="H935" s="461">
        <f>713.7-713.7</f>
        <v>0</v>
      </c>
      <c r="I935" s="883">
        <v>1960</v>
      </c>
      <c r="J935" s="461">
        <f>1089616-1089616</f>
        <v>0</v>
      </c>
      <c r="K935" s="486"/>
    </row>
    <row r="936" spans="1:11" ht="24" customHeight="1" x14ac:dyDescent="0.2">
      <c r="A936" s="384" t="s">
        <v>1600</v>
      </c>
      <c r="B936" s="382" t="s">
        <v>312</v>
      </c>
      <c r="C936" s="878"/>
      <c r="D936" s="881"/>
      <c r="E936" s="485">
        <v>1</v>
      </c>
      <c r="F936" s="196"/>
      <c r="G936" s="382"/>
      <c r="H936" s="461">
        <v>29.6</v>
      </c>
      <c r="I936" s="884"/>
      <c r="J936" s="461">
        <v>45190.079865489701</v>
      </c>
      <c r="K936" s="486"/>
    </row>
    <row r="937" spans="1:11" x14ac:dyDescent="0.2">
      <c r="A937" s="384" t="s">
        <v>1601</v>
      </c>
      <c r="B937" s="382" t="s">
        <v>308</v>
      </c>
      <c r="C937" s="878"/>
      <c r="D937" s="881"/>
      <c r="E937" s="485">
        <v>10</v>
      </c>
      <c r="F937" s="196"/>
      <c r="G937" s="385"/>
      <c r="H937" s="461">
        <v>19.8</v>
      </c>
      <c r="I937" s="884"/>
      <c r="J937" s="461">
        <v>30228.499369482975</v>
      </c>
      <c r="K937" s="486"/>
    </row>
    <row r="938" spans="1:11" ht="12.75" customHeight="1" x14ac:dyDescent="0.2">
      <c r="A938" s="384" t="s">
        <v>1602</v>
      </c>
      <c r="B938" s="382" t="s">
        <v>308</v>
      </c>
      <c r="C938" s="878"/>
      <c r="D938" s="881"/>
      <c r="E938" s="485">
        <v>11</v>
      </c>
      <c r="F938" s="196"/>
      <c r="G938" s="385"/>
      <c r="H938" s="461">
        <v>10.6</v>
      </c>
      <c r="I938" s="884"/>
      <c r="J938" s="461">
        <v>16182.934005884825</v>
      </c>
      <c r="K938" s="486"/>
    </row>
    <row r="939" spans="1:11" x14ac:dyDescent="0.2">
      <c r="A939" s="384" t="s">
        <v>1603</v>
      </c>
      <c r="B939" s="382" t="s">
        <v>312</v>
      </c>
      <c r="C939" s="878"/>
      <c r="D939" s="881"/>
      <c r="E939" s="485">
        <v>12</v>
      </c>
      <c r="F939" s="196"/>
      <c r="G939" s="382"/>
      <c r="H939" s="461">
        <v>10.050000000000001</v>
      </c>
      <c r="I939" s="884"/>
      <c r="J939" s="461">
        <v>15343.253467843631</v>
      </c>
      <c r="K939" s="486"/>
    </row>
    <row r="940" spans="1:11" x14ac:dyDescent="0.2">
      <c r="A940" s="384" t="s">
        <v>1604</v>
      </c>
      <c r="B940" s="382" t="s">
        <v>308</v>
      </c>
      <c r="C940" s="878"/>
      <c r="D940" s="881"/>
      <c r="E940" s="485">
        <v>13</v>
      </c>
      <c r="F940" s="196"/>
      <c r="G940" s="385"/>
      <c r="H940" s="461">
        <v>20.6</v>
      </c>
      <c r="I940" s="884"/>
      <c r="J940" s="461">
        <v>31449.852879361075</v>
      </c>
      <c r="K940" s="486"/>
    </row>
    <row r="941" spans="1:11" ht="12.75" customHeight="1" x14ac:dyDescent="0.2">
      <c r="A941" s="384" t="s">
        <v>1605</v>
      </c>
      <c r="B941" s="382" t="s">
        <v>308</v>
      </c>
      <c r="C941" s="878"/>
      <c r="D941" s="881"/>
      <c r="E941" s="485">
        <v>2</v>
      </c>
      <c r="F941" s="196"/>
      <c r="G941" s="385"/>
      <c r="H941" s="461">
        <v>34.4</v>
      </c>
      <c r="I941" s="884"/>
      <c r="J941" s="461">
        <v>52518.200924758297</v>
      </c>
      <c r="K941" s="486"/>
    </row>
    <row r="942" spans="1:11" x14ac:dyDescent="0.2">
      <c r="A942" s="384" t="s">
        <v>1606</v>
      </c>
      <c r="B942" s="382" t="s">
        <v>308</v>
      </c>
      <c r="C942" s="878"/>
      <c r="D942" s="881"/>
      <c r="E942" s="485">
        <v>5</v>
      </c>
      <c r="F942" s="385"/>
      <c r="G942" s="385"/>
      <c r="H942" s="461">
        <v>20.100000000000001</v>
      </c>
      <c r="I942" s="884"/>
      <c r="J942" s="461">
        <v>30686.506935687299</v>
      </c>
      <c r="K942" s="486"/>
    </row>
    <row r="943" spans="1:11" ht="12.75" customHeight="1" x14ac:dyDescent="0.2">
      <c r="A943" s="384" t="s">
        <v>1607</v>
      </c>
      <c r="B943" s="382" t="s">
        <v>312</v>
      </c>
      <c r="C943" s="878"/>
      <c r="D943" s="881"/>
      <c r="E943" s="485">
        <v>6</v>
      </c>
      <c r="F943" s="196"/>
      <c r="G943" s="382"/>
      <c r="H943" s="461">
        <v>11.6</v>
      </c>
      <c r="I943" s="884"/>
      <c r="J943" s="461">
        <v>17709.625893232449</v>
      </c>
      <c r="K943" s="486"/>
    </row>
    <row r="944" spans="1:11" x14ac:dyDescent="0.2">
      <c r="A944" s="384" t="s">
        <v>1608</v>
      </c>
      <c r="B944" s="382" t="s">
        <v>308</v>
      </c>
      <c r="C944" s="878"/>
      <c r="D944" s="881"/>
      <c r="E944" s="485">
        <v>7</v>
      </c>
      <c r="F944" s="196"/>
      <c r="G944" s="382"/>
      <c r="H944" s="461">
        <v>21</v>
      </c>
      <c r="I944" s="884"/>
      <c r="J944" s="461">
        <v>32060.529634300125</v>
      </c>
      <c r="K944" s="486"/>
    </row>
    <row r="945" spans="1:11" x14ac:dyDescent="0.2">
      <c r="A945" s="384" t="s">
        <v>1609</v>
      </c>
      <c r="B945" s="382" t="s">
        <v>308</v>
      </c>
      <c r="C945" s="878"/>
      <c r="D945" s="881"/>
      <c r="E945" s="485">
        <v>8</v>
      </c>
      <c r="F945" s="385"/>
      <c r="G945" s="385"/>
      <c r="H945" s="461">
        <v>25.3</v>
      </c>
      <c r="I945" s="884"/>
      <c r="J945" s="461">
        <v>38625.304749894916</v>
      </c>
      <c r="K945" s="486"/>
    </row>
    <row r="946" spans="1:11" ht="12.75" customHeight="1" x14ac:dyDescent="0.2">
      <c r="A946" s="384" t="s">
        <v>1610</v>
      </c>
      <c r="B946" s="382" t="s">
        <v>312</v>
      </c>
      <c r="C946" s="878"/>
      <c r="D946" s="881"/>
      <c r="E946" s="485">
        <v>9</v>
      </c>
      <c r="F946" s="196"/>
      <c r="G946" s="382"/>
      <c r="H946" s="461">
        <v>20.9</v>
      </c>
      <c r="I946" s="884"/>
      <c r="J946" s="461">
        <v>31907.860445565366</v>
      </c>
      <c r="K946" s="486"/>
    </row>
    <row r="947" spans="1:11" x14ac:dyDescent="0.2">
      <c r="A947" s="384" t="s">
        <v>6484</v>
      </c>
      <c r="B947" s="382" t="s">
        <v>308</v>
      </c>
      <c r="C947" s="879"/>
      <c r="D947" s="882"/>
      <c r="E947" s="472" t="s">
        <v>419</v>
      </c>
      <c r="F947" s="196"/>
      <c r="G947" s="382" t="s">
        <v>11623</v>
      </c>
      <c r="H947" s="461">
        <v>53.2</v>
      </c>
      <c r="I947" s="885"/>
      <c r="J947" s="461">
        <f>1089616/713.7*H947</f>
        <v>81221.201064873196</v>
      </c>
      <c r="K947" s="486"/>
    </row>
    <row r="948" spans="1:11" x14ac:dyDescent="0.2">
      <c r="A948" s="383" t="s">
        <v>1008</v>
      </c>
      <c r="B948" s="382"/>
      <c r="C948" s="877" t="s">
        <v>12999</v>
      </c>
      <c r="D948" s="880">
        <v>4</v>
      </c>
      <c r="E948" s="485"/>
      <c r="F948" s="196" t="s">
        <v>5055</v>
      </c>
      <c r="G948" s="486"/>
      <c r="H948" s="492">
        <f>1071.6-1071.6</f>
        <v>0</v>
      </c>
      <c r="I948" s="883">
        <v>1949</v>
      </c>
      <c r="J948" s="461">
        <f>40000-40000</f>
        <v>0</v>
      </c>
      <c r="K948" s="486"/>
    </row>
    <row r="949" spans="1:11" ht="12.75" customHeight="1" x14ac:dyDescent="0.2">
      <c r="A949" s="384" t="s">
        <v>1611</v>
      </c>
      <c r="B949" s="382" t="s">
        <v>308</v>
      </c>
      <c r="C949" s="878"/>
      <c r="D949" s="881"/>
      <c r="E949" s="485">
        <v>11</v>
      </c>
      <c r="F949" s="196"/>
      <c r="G949" s="382"/>
      <c r="H949" s="492">
        <v>17.899999999999999</v>
      </c>
      <c r="I949" s="884"/>
      <c r="J949" s="461">
        <f>40000/1071.6*H949</f>
        <v>668.15976110488987</v>
      </c>
      <c r="K949" s="486"/>
    </row>
    <row r="950" spans="1:11" x14ac:dyDescent="0.2">
      <c r="A950" s="384" t="s">
        <v>1612</v>
      </c>
      <c r="B950" s="382" t="s">
        <v>308</v>
      </c>
      <c r="C950" s="878"/>
      <c r="D950" s="881"/>
      <c r="E950" s="485">
        <v>12</v>
      </c>
      <c r="F950" s="196"/>
      <c r="G950" s="382"/>
      <c r="H950" s="492">
        <v>20.7</v>
      </c>
      <c r="I950" s="884"/>
      <c r="J950" s="461">
        <f t="shared" ref="J950:J957" si="7">J949/H949*H950</f>
        <v>772.67637178051518</v>
      </c>
      <c r="K950" s="486"/>
    </row>
    <row r="951" spans="1:11" x14ac:dyDescent="0.2">
      <c r="A951" s="384" t="s">
        <v>1613</v>
      </c>
      <c r="B951" s="382" t="s">
        <v>308</v>
      </c>
      <c r="C951" s="878"/>
      <c r="D951" s="881"/>
      <c r="E951" s="485">
        <v>2</v>
      </c>
      <c r="F951" s="196"/>
      <c r="G951" s="382"/>
      <c r="H951" s="492">
        <v>17.399999999999999</v>
      </c>
      <c r="I951" s="884"/>
      <c r="J951" s="461">
        <f t="shared" si="7"/>
        <v>649.49608062709967</v>
      </c>
      <c r="K951" s="486"/>
    </row>
    <row r="952" spans="1:11" ht="12.75" customHeight="1" x14ac:dyDescent="0.2">
      <c r="A952" s="384" t="s">
        <v>1614</v>
      </c>
      <c r="B952" s="382" t="s">
        <v>308</v>
      </c>
      <c r="C952" s="878"/>
      <c r="D952" s="881"/>
      <c r="E952" s="485">
        <v>3</v>
      </c>
      <c r="F952" s="196"/>
      <c r="G952" s="382"/>
      <c r="H952" s="492">
        <v>17.399999999999999</v>
      </c>
      <c r="I952" s="884"/>
      <c r="J952" s="461">
        <f t="shared" si="7"/>
        <v>649.49608062709967</v>
      </c>
      <c r="K952" s="486"/>
    </row>
    <row r="953" spans="1:11" x14ac:dyDescent="0.2">
      <c r="A953" s="384" t="s">
        <v>1615</v>
      </c>
      <c r="B953" s="382" t="s">
        <v>308</v>
      </c>
      <c r="C953" s="878"/>
      <c r="D953" s="881"/>
      <c r="E953" s="485">
        <v>4</v>
      </c>
      <c r="F953" s="196"/>
      <c r="G953" s="382"/>
      <c r="H953" s="492">
        <v>16.899999999999999</v>
      </c>
      <c r="I953" s="884"/>
      <c r="J953" s="461">
        <f t="shared" si="7"/>
        <v>630.83240014930948</v>
      </c>
      <c r="K953" s="486"/>
    </row>
    <row r="954" spans="1:11" x14ac:dyDescent="0.2">
      <c r="A954" s="384" t="s">
        <v>1616</v>
      </c>
      <c r="B954" s="382" t="s">
        <v>308</v>
      </c>
      <c r="C954" s="878"/>
      <c r="D954" s="881"/>
      <c r="E954" s="485">
        <v>5</v>
      </c>
      <c r="F954" s="196"/>
      <c r="G954" s="382"/>
      <c r="H954" s="492">
        <v>23</v>
      </c>
      <c r="I954" s="884"/>
      <c r="J954" s="461">
        <f t="shared" si="7"/>
        <v>858.5293019783503</v>
      </c>
      <c r="K954" s="486"/>
    </row>
    <row r="955" spans="1:11" ht="12.75" customHeight="1" x14ac:dyDescent="0.2">
      <c r="A955" s="384" t="s">
        <v>1617</v>
      </c>
      <c r="B955" s="382" t="s">
        <v>308</v>
      </c>
      <c r="C955" s="878"/>
      <c r="D955" s="881"/>
      <c r="E955" s="485">
        <v>6</v>
      </c>
      <c r="F955" s="196"/>
      <c r="G955" s="382"/>
      <c r="H955" s="492">
        <v>18.350000000000001</v>
      </c>
      <c r="I955" s="884"/>
      <c r="J955" s="461">
        <f t="shared" si="7"/>
        <v>684.95707353490127</v>
      </c>
      <c r="K955" s="486"/>
    </row>
    <row r="956" spans="1:11" x14ac:dyDescent="0.2">
      <c r="A956" s="384" t="s">
        <v>1618</v>
      </c>
      <c r="B956" s="382" t="s">
        <v>308</v>
      </c>
      <c r="C956" s="878"/>
      <c r="D956" s="881"/>
      <c r="E956" s="485">
        <v>7</v>
      </c>
      <c r="F956" s="196"/>
      <c r="G956" s="382"/>
      <c r="H956" s="492">
        <v>31</v>
      </c>
      <c r="I956" s="884"/>
      <c r="J956" s="461">
        <f t="shared" si="7"/>
        <v>1157.1481896229939</v>
      </c>
      <c r="K956" s="486"/>
    </row>
    <row r="957" spans="1:11" x14ac:dyDescent="0.2">
      <c r="A957" s="384" t="s">
        <v>1619</v>
      </c>
      <c r="B957" s="382" t="s">
        <v>312</v>
      </c>
      <c r="C957" s="878"/>
      <c r="D957" s="881"/>
      <c r="E957" s="485">
        <v>8</v>
      </c>
      <c r="F957" s="196"/>
      <c r="G957" s="382"/>
      <c r="H957" s="492">
        <v>22.3</v>
      </c>
      <c r="I957" s="884"/>
      <c r="J957" s="461">
        <f t="shared" si="7"/>
        <v>832.40014930944392</v>
      </c>
      <c r="K957" s="486"/>
    </row>
    <row r="958" spans="1:11" ht="12.75" customHeight="1" x14ac:dyDescent="0.2">
      <c r="A958" s="384" t="s">
        <v>1620</v>
      </c>
      <c r="B958" s="382" t="s">
        <v>308</v>
      </c>
      <c r="C958" s="878"/>
      <c r="D958" s="881"/>
      <c r="E958" s="472" t="s">
        <v>361</v>
      </c>
      <c r="F958" s="196"/>
      <c r="G958" s="382"/>
      <c r="H958" s="492">
        <v>22.3</v>
      </c>
      <c r="I958" s="884"/>
      <c r="J958" s="461">
        <f>J956/H956*H958</f>
        <v>832.40014930944392</v>
      </c>
      <c r="K958" s="486"/>
    </row>
    <row r="959" spans="1:11" x14ac:dyDescent="0.2">
      <c r="A959" s="384" t="s">
        <v>1621</v>
      </c>
      <c r="B959" s="382" t="s">
        <v>308</v>
      </c>
      <c r="C959" s="878"/>
      <c r="D959" s="881"/>
      <c r="E959" s="485">
        <v>9</v>
      </c>
      <c r="F959" s="196"/>
      <c r="G959" s="382"/>
      <c r="H959" s="492">
        <v>34.4</v>
      </c>
      <c r="I959" s="884"/>
      <c r="J959" s="461">
        <f>J958/H958*H959</f>
        <v>1284.0612168719672</v>
      </c>
      <c r="K959" s="486"/>
    </row>
    <row r="960" spans="1:11" x14ac:dyDescent="0.2">
      <c r="A960" s="384" t="s">
        <v>2736</v>
      </c>
      <c r="B960" s="382" t="s">
        <v>312</v>
      </c>
      <c r="C960" s="879"/>
      <c r="D960" s="882"/>
      <c r="E960" s="485">
        <v>13</v>
      </c>
      <c r="F960" s="196"/>
      <c r="G960" s="382"/>
      <c r="H960" s="492">
        <v>21.3</v>
      </c>
      <c r="I960" s="885"/>
      <c r="J960" s="461">
        <f>J959/H959*H960</f>
        <v>795.07278835386353</v>
      </c>
      <c r="K960" s="486"/>
    </row>
    <row r="961" spans="1:11" ht="12.75" customHeight="1" x14ac:dyDescent="0.2">
      <c r="A961" s="383" t="s">
        <v>1009</v>
      </c>
      <c r="B961" s="382"/>
      <c r="C961" s="893" t="s">
        <v>13000</v>
      </c>
      <c r="D961" s="898">
        <v>7</v>
      </c>
      <c r="E961" s="485"/>
      <c r="F961" s="196"/>
      <c r="G961" s="382"/>
      <c r="H961" s="492">
        <f>272.8-272.8</f>
        <v>0</v>
      </c>
      <c r="I961" s="891">
        <v>1949</v>
      </c>
      <c r="J961" s="461">
        <f>424800-424800</f>
        <v>0</v>
      </c>
      <c r="K961" s="486"/>
    </row>
    <row r="962" spans="1:11" ht="12.75" customHeight="1" x14ac:dyDescent="0.2">
      <c r="A962" s="384" t="s">
        <v>1010</v>
      </c>
      <c r="B962" s="382" t="s">
        <v>308</v>
      </c>
      <c r="C962" s="893"/>
      <c r="D962" s="898"/>
      <c r="E962" s="485">
        <v>4</v>
      </c>
      <c r="F962" s="196" t="s">
        <v>376</v>
      </c>
      <c r="G962" s="382"/>
      <c r="H962" s="492">
        <v>45.2</v>
      </c>
      <c r="I962" s="891"/>
      <c r="J962" s="461">
        <v>70384.750733137829</v>
      </c>
      <c r="K962" s="486">
        <v>537697.39</v>
      </c>
    </row>
    <row r="963" spans="1:11" x14ac:dyDescent="0.2">
      <c r="A963" s="383" t="s">
        <v>1011</v>
      </c>
      <c r="B963" s="382"/>
      <c r="C963" s="893" t="s">
        <v>13001</v>
      </c>
      <c r="D963" s="898">
        <v>12</v>
      </c>
      <c r="E963" s="485"/>
      <c r="F963" s="196"/>
      <c r="G963" s="382"/>
      <c r="H963" s="492">
        <f>734.5-734.5</f>
        <v>0</v>
      </c>
      <c r="I963" s="891">
        <v>1949</v>
      </c>
      <c r="J963" s="461">
        <f>1212800-1212800</f>
        <v>0</v>
      </c>
      <c r="K963" s="486"/>
    </row>
    <row r="964" spans="1:11" ht="12.75" customHeight="1" x14ac:dyDescent="0.2">
      <c r="A964" s="384" t="s">
        <v>1012</v>
      </c>
      <c r="B964" s="382" t="s">
        <v>308</v>
      </c>
      <c r="C964" s="893"/>
      <c r="D964" s="898"/>
      <c r="E964" s="485">
        <v>3</v>
      </c>
      <c r="F964" s="382"/>
      <c r="G964" s="382"/>
      <c r="H964" s="296">
        <v>78.599999999999994</v>
      </c>
      <c r="I964" s="891"/>
      <c r="J964" s="461">
        <v>129783.63512593601</v>
      </c>
      <c r="K964" s="486"/>
    </row>
    <row r="965" spans="1:11" x14ac:dyDescent="0.2">
      <c r="A965" s="383" t="s">
        <v>1015</v>
      </c>
      <c r="B965" s="382"/>
      <c r="C965" s="893" t="s">
        <v>13002</v>
      </c>
      <c r="D965" s="898">
        <v>23</v>
      </c>
      <c r="E965" s="485"/>
      <c r="F965" s="196"/>
      <c r="G965" s="382"/>
      <c r="H965" s="492">
        <f>1216.7-1216.7</f>
        <v>0</v>
      </c>
      <c r="I965" s="891">
        <v>1957</v>
      </c>
      <c r="J965" s="461">
        <f>1925200-1925200</f>
        <v>0</v>
      </c>
      <c r="K965" s="486"/>
    </row>
    <row r="966" spans="1:11" ht="12.75" customHeight="1" x14ac:dyDescent="0.2">
      <c r="A966" s="384" t="s">
        <v>1013</v>
      </c>
      <c r="B966" s="382" t="s">
        <v>308</v>
      </c>
      <c r="C966" s="893"/>
      <c r="D966" s="898"/>
      <c r="E966" s="485">
        <v>13</v>
      </c>
      <c r="F966" s="196"/>
      <c r="G966" s="382"/>
      <c r="H966" s="296">
        <v>43.7</v>
      </c>
      <c r="I966" s="891"/>
      <c r="J966" s="461">
        <v>69147.069943289229</v>
      </c>
      <c r="K966" s="486"/>
    </row>
    <row r="967" spans="1:11" x14ac:dyDescent="0.2">
      <c r="A967" s="384" t="s">
        <v>1014</v>
      </c>
      <c r="B967" s="382" t="s">
        <v>308</v>
      </c>
      <c r="C967" s="893"/>
      <c r="D967" s="898"/>
      <c r="E967" s="485">
        <v>7</v>
      </c>
      <c r="F967" s="196"/>
      <c r="G967" s="382"/>
      <c r="H967" s="296">
        <v>68</v>
      </c>
      <c r="I967" s="891"/>
      <c r="J967" s="461">
        <v>107597.27130763541</v>
      </c>
      <c r="K967" s="486"/>
    </row>
    <row r="968" spans="1:11" ht="25.5" customHeight="1" x14ac:dyDescent="0.2">
      <c r="A968" s="383" t="s">
        <v>1016</v>
      </c>
      <c r="B968" s="382" t="s">
        <v>308</v>
      </c>
      <c r="C968" s="617" t="s">
        <v>13003</v>
      </c>
      <c r="D968" s="619">
        <v>2</v>
      </c>
      <c r="E968" s="485">
        <v>2</v>
      </c>
      <c r="F968" s="196"/>
      <c r="G968" s="486"/>
      <c r="H968" s="492">
        <f>108.3-54.4</f>
        <v>53.9</v>
      </c>
      <c r="I968" s="618">
        <v>1949</v>
      </c>
      <c r="J968" s="461">
        <f>186600/108.3*53.9</f>
        <v>92869.252077562327</v>
      </c>
      <c r="K968" s="486"/>
    </row>
    <row r="969" spans="1:11" ht="25.5" x14ac:dyDescent="0.2">
      <c r="A969" s="386" t="s">
        <v>1017</v>
      </c>
      <c r="B969" s="382" t="s">
        <v>323</v>
      </c>
      <c r="C969" s="617" t="s">
        <v>13004</v>
      </c>
      <c r="D969" s="619">
        <v>8</v>
      </c>
      <c r="E969" s="485"/>
      <c r="F969" s="196"/>
      <c r="G969" s="382"/>
      <c r="H969" s="492">
        <v>108.7</v>
      </c>
      <c r="I969" s="618">
        <v>1949</v>
      </c>
      <c r="J969" s="461">
        <f>186.6*1000</f>
        <v>186600</v>
      </c>
      <c r="K969" s="486"/>
    </row>
    <row r="970" spans="1:11" ht="22.5" customHeight="1" x14ac:dyDescent="0.2">
      <c r="A970" s="383" t="s">
        <v>1018</v>
      </c>
      <c r="B970" s="382"/>
      <c r="C970" s="877" t="s">
        <v>13005</v>
      </c>
      <c r="D970" s="880">
        <v>11</v>
      </c>
      <c r="E970" s="485"/>
      <c r="F970" s="196"/>
      <c r="G970" s="382"/>
      <c r="H970" s="492">
        <f>2503.4-2503.4</f>
        <v>0</v>
      </c>
      <c r="I970" s="883">
        <v>1963</v>
      </c>
      <c r="J970" s="461">
        <f>4781700-4781700</f>
        <v>0</v>
      </c>
      <c r="K970" s="486"/>
    </row>
    <row r="971" spans="1:11" ht="12.75" customHeight="1" x14ac:dyDescent="0.2">
      <c r="A971" s="384" t="s">
        <v>1622</v>
      </c>
      <c r="B971" s="382" t="s">
        <v>308</v>
      </c>
      <c r="C971" s="878"/>
      <c r="D971" s="881"/>
      <c r="E971" s="485">
        <v>25</v>
      </c>
      <c r="F971" s="196"/>
      <c r="G971" s="382"/>
      <c r="H971" s="296">
        <v>55.7</v>
      </c>
      <c r="I971" s="884"/>
      <c r="J971" s="461">
        <v>106391.58344651274</v>
      </c>
      <c r="K971" s="486"/>
    </row>
    <row r="972" spans="1:11" ht="24" x14ac:dyDescent="0.2">
      <c r="A972" s="384" t="s">
        <v>11737</v>
      </c>
      <c r="B972" s="196" t="s">
        <v>5459</v>
      </c>
      <c r="C972" s="878"/>
      <c r="D972" s="881"/>
      <c r="E972" s="485">
        <v>46</v>
      </c>
      <c r="F972" s="196" t="s">
        <v>11738</v>
      </c>
      <c r="G972" s="382" t="s">
        <v>543</v>
      </c>
      <c r="H972" s="486">
        <v>30.2</v>
      </c>
      <c r="I972" s="884"/>
      <c r="J972" s="461">
        <v>991710</v>
      </c>
      <c r="K972" s="486">
        <v>563123.09</v>
      </c>
    </row>
    <row r="973" spans="1:11" x14ac:dyDescent="0.2">
      <c r="A973" s="384" t="s">
        <v>11935</v>
      </c>
      <c r="B973" s="382" t="s">
        <v>308</v>
      </c>
      <c r="C973" s="878"/>
      <c r="D973" s="881"/>
      <c r="E973" s="382">
        <v>40</v>
      </c>
      <c r="F973" s="382" t="s">
        <v>11936</v>
      </c>
      <c r="G973" s="382" t="s">
        <v>133</v>
      </c>
      <c r="H973" s="382">
        <v>56.4</v>
      </c>
      <c r="I973" s="884"/>
      <c r="J973" s="470"/>
      <c r="K973" s="518">
        <v>1060481.8700000001</v>
      </c>
    </row>
    <row r="974" spans="1:11" x14ac:dyDescent="0.2">
      <c r="A974" s="384" t="s">
        <v>12470</v>
      </c>
      <c r="B974" s="382" t="s">
        <v>308</v>
      </c>
      <c r="C974" s="878"/>
      <c r="D974" s="881"/>
      <c r="E974" s="382">
        <v>56</v>
      </c>
      <c r="F974" s="382" t="s">
        <v>12472</v>
      </c>
      <c r="G974" s="382" t="s">
        <v>538</v>
      </c>
      <c r="H974" s="382">
        <v>31.1</v>
      </c>
      <c r="I974" s="884"/>
      <c r="J974" s="470">
        <v>1086665.1000000001</v>
      </c>
      <c r="K974" s="518">
        <v>616403.86</v>
      </c>
    </row>
    <row r="975" spans="1:11" ht="24" x14ac:dyDescent="0.2">
      <c r="A975" s="384" t="s">
        <v>12471</v>
      </c>
      <c r="B975" s="196" t="s">
        <v>12407</v>
      </c>
      <c r="C975" s="878"/>
      <c r="D975" s="881"/>
      <c r="E975" s="382">
        <v>1</v>
      </c>
      <c r="F975" s="382" t="s">
        <v>13006</v>
      </c>
      <c r="G975" s="382" t="s">
        <v>13007</v>
      </c>
      <c r="H975" s="382">
        <v>29.6</v>
      </c>
      <c r="I975" s="884"/>
      <c r="J975" s="470">
        <v>1034253.6</v>
      </c>
      <c r="K975" s="518">
        <v>565479.23</v>
      </c>
    </row>
    <row r="976" spans="1:11" x14ac:dyDescent="0.2">
      <c r="A976" s="384" t="s">
        <v>13601</v>
      </c>
      <c r="B976" s="382" t="s">
        <v>308</v>
      </c>
      <c r="C976" s="879"/>
      <c r="D976" s="882"/>
      <c r="E976" s="485">
        <v>20</v>
      </c>
      <c r="F976" s="196" t="s">
        <v>13602</v>
      </c>
      <c r="G976" s="382" t="s">
        <v>133</v>
      </c>
      <c r="H976" s="486">
        <f>43.3</f>
        <v>43.3</v>
      </c>
      <c r="I976" s="885"/>
      <c r="J976" s="470">
        <v>1091040</v>
      </c>
      <c r="K976" s="518">
        <v>824169.17</v>
      </c>
    </row>
    <row r="977" spans="1:11" ht="25.5" x14ac:dyDescent="0.2">
      <c r="A977" s="383" t="s">
        <v>1019</v>
      </c>
      <c r="B977" s="382" t="s">
        <v>308</v>
      </c>
      <c r="C977" s="617" t="s">
        <v>13008</v>
      </c>
      <c r="D977" s="619">
        <v>15</v>
      </c>
      <c r="E977" s="485">
        <v>1</v>
      </c>
      <c r="F977" s="40" t="s">
        <v>14009</v>
      </c>
      <c r="G977" s="723" t="s">
        <v>143</v>
      </c>
      <c r="H977" s="461">
        <v>42</v>
      </c>
      <c r="I977" s="722">
        <v>1948</v>
      </c>
      <c r="J977" s="461">
        <f>178300/121.9*43.5</f>
        <v>63626.333059885146</v>
      </c>
      <c r="K977" s="486">
        <v>441724.08</v>
      </c>
    </row>
    <row r="978" spans="1:11" ht="24" customHeight="1" x14ac:dyDescent="0.2">
      <c r="A978" s="383" t="s">
        <v>1020</v>
      </c>
      <c r="B978" s="382" t="s">
        <v>308</v>
      </c>
      <c r="C978" s="617" t="s">
        <v>13009</v>
      </c>
      <c r="D978" s="619">
        <v>8</v>
      </c>
      <c r="E978" s="485">
        <v>1</v>
      </c>
      <c r="F978" s="196" t="s">
        <v>377</v>
      </c>
      <c r="G978" s="382"/>
      <c r="H978" s="461">
        <f>101-51</f>
        <v>50</v>
      </c>
      <c r="I978" s="618">
        <v>1965</v>
      </c>
      <c r="J978" s="461">
        <f>114100/101*50</f>
        <v>56485.148514851484</v>
      </c>
      <c r="K978" s="486">
        <v>570773</v>
      </c>
    </row>
    <row r="979" spans="1:11" x14ac:dyDescent="0.2">
      <c r="A979" s="383" t="s">
        <v>1021</v>
      </c>
      <c r="B979" s="382"/>
      <c r="C979" s="893" t="s">
        <v>13010</v>
      </c>
      <c r="D979" s="898">
        <v>10</v>
      </c>
      <c r="E979" s="485"/>
      <c r="F979" s="196"/>
      <c r="G979" s="382"/>
      <c r="H979" s="461">
        <f>102.5-102.5</f>
        <v>0</v>
      </c>
      <c r="I979" s="891">
        <v>1965</v>
      </c>
      <c r="J979" s="461">
        <f>114100-114100</f>
        <v>0</v>
      </c>
      <c r="K979" s="486"/>
    </row>
    <row r="980" spans="1:11" ht="12.75" customHeight="1" x14ac:dyDescent="0.2">
      <c r="A980" s="384" t="s">
        <v>1623</v>
      </c>
      <c r="B980" s="382" t="s">
        <v>308</v>
      </c>
      <c r="C980" s="893"/>
      <c r="D980" s="898"/>
      <c r="E980" s="485">
        <v>1</v>
      </c>
      <c r="F980" s="196" t="s">
        <v>378</v>
      </c>
      <c r="G980" s="382"/>
      <c r="H980" s="461">
        <v>50.8</v>
      </c>
      <c r="I980" s="891"/>
      <c r="J980" s="461">
        <v>56549.07317073171</v>
      </c>
      <c r="K980" s="486">
        <v>579905.37</v>
      </c>
    </row>
    <row r="981" spans="1:11" x14ac:dyDescent="0.2">
      <c r="A981" s="384" t="s">
        <v>1624</v>
      </c>
      <c r="B981" s="382" t="s">
        <v>308</v>
      </c>
      <c r="C981" s="893"/>
      <c r="D981" s="898"/>
      <c r="E981" s="485">
        <v>2</v>
      </c>
      <c r="F981" s="196" t="s">
        <v>379</v>
      </c>
      <c r="G981" s="382"/>
      <c r="H981" s="461">
        <v>51.7</v>
      </c>
      <c r="I981" s="891"/>
      <c r="J981" s="461">
        <v>57550.926829268297</v>
      </c>
      <c r="K981" s="486">
        <v>590179.28</v>
      </c>
    </row>
    <row r="982" spans="1:11" x14ac:dyDescent="0.2">
      <c r="A982" s="383" t="s">
        <v>1022</v>
      </c>
      <c r="B982" s="382"/>
      <c r="C982" s="893" t="s">
        <v>13011</v>
      </c>
      <c r="D982" s="898">
        <v>11</v>
      </c>
      <c r="E982" s="485"/>
      <c r="F982" s="196"/>
      <c r="G982" s="382"/>
      <c r="H982" s="461">
        <f>120.1-120.1</f>
        <v>0</v>
      </c>
      <c r="I982" s="891">
        <v>1949</v>
      </c>
      <c r="J982" s="461">
        <f>216300-216300</f>
        <v>0</v>
      </c>
      <c r="K982" s="486"/>
    </row>
    <row r="983" spans="1:11" ht="12.75" customHeight="1" x14ac:dyDescent="0.2">
      <c r="A983" s="384" t="s">
        <v>1625</v>
      </c>
      <c r="B983" s="382" t="s">
        <v>308</v>
      </c>
      <c r="C983" s="893"/>
      <c r="D983" s="898"/>
      <c r="E983" s="485">
        <v>1</v>
      </c>
      <c r="F983" s="196" t="s">
        <v>481</v>
      </c>
      <c r="G983" s="382"/>
      <c r="H983" s="461">
        <v>60</v>
      </c>
      <c r="I983" s="891"/>
      <c r="J983" s="461">
        <v>108059.95004163198</v>
      </c>
      <c r="K983" s="486">
        <v>631034.4</v>
      </c>
    </row>
    <row r="984" spans="1:11" x14ac:dyDescent="0.2">
      <c r="A984" s="384" t="s">
        <v>1626</v>
      </c>
      <c r="B984" s="382" t="s">
        <v>308</v>
      </c>
      <c r="C984" s="893"/>
      <c r="D984" s="898"/>
      <c r="E984" s="485">
        <v>2</v>
      </c>
      <c r="F984" s="196" t="s">
        <v>482</v>
      </c>
      <c r="G984" s="382"/>
      <c r="H984" s="461">
        <v>60.1</v>
      </c>
      <c r="I984" s="891"/>
      <c r="J984" s="461">
        <v>108240.04995836804</v>
      </c>
      <c r="K984" s="486">
        <v>632086.12</v>
      </c>
    </row>
    <row r="985" spans="1:11" ht="25.5" x14ac:dyDescent="0.2">
      <c r="A985" s="383" t="s">
        <v>1023</v>
      </c>
      <c r="B985" s="382" t="s">
        <v>308</v>
      </c>
      <c r="C985" s="617" t="s">
        <v>13012</v>
      </c>
      <c r="D985" s="619">
        <v>18</v>
      </c>
      <c r="E985" s="485">
        <v>1</v>
      </c>
      <c r="F985" s="196" t="s">
        <v>483</v>
      </c>
      <c r="G985" s="382"/>
      <c r="H985" s="461">
        <f>136.7-67.7</f>
        <v>68.999999999999986</v>
      </c>
      <c r="I985" s="618">
        <v>1949</v>
      </c>
      <c r="J985" s="461">
        <f>216300/136.7*69</f>
        <v>109178.4930504755</v>
      </c>
      <c r="K985" s="486">
        <v>725689.56</v>
      </c>
    </row>
    <row r="986" spans="1:11" ht="25.5" customHeight="1" x14ac:dyDescent="0.2">
      <c r="A986" s="383" t="s">
        <v>1024</v>
      </c>
      <c r="B986" s="382"/>
      <c r="C986" s="893" t="s">
        <v>13013</v>
      </c>
      <c r="D986" s="898">
        <v>8</v>
      </c>
      <c r="E986" s="485"/>
      <c r="F986" s="196"/>
      <c r="G986" s="382"/>
      <c r="H986" s="461">
        <f>116.7-116.7</f>
        <v>0</v>
      </c>
      <c r="I986" s="891">
        <v>1950</v>
      </c>
      <c r="J986" s="461">
        <f>211100-211100</f>
        <v>0</v>
      </c>
      <c r="K986" s="486"/>
    </row>
    <row r="987" spans="1:11" ht="12.75" customHeight="1" x14ac:dyDescent="0.2">
      <c r="A987" s="384" t="s">
        <v>1627</v>
      </c>
      <c r="B987" s="382" t="s">
        <v>308</v>
      </c>
      <c r="C987" s="893"/>
      <c r="D987" s="898"/>
      <c r="E987" s="485">
        <v>1</v>
      </c>
      <c r="F987" s="196" t="s">
        <v>484</v>
      </c>
      <c r="G987" s="382"/>
      <c r="H987" s="461">
        <v>44.8</v>
      </c>
      <c r="I987" s="891"/>
      <c r="J987" s="461">
        <v>81039.245929734359</v>
      </c>
      <c r="K987" s="486">
        <v>481686.46</v>
      </c>
    </row>
    <row r="988" spans="1:11" ht="39" customHeight="1" x14ac:dyDescent="0.2">
      <c r="A988" s="383" t="s">
        <v>1025</v>
      </c>
      <c r="B988" s="382" t="s">
        <v>308</v>
      </c>
      <c r="C988" s="617" t="s">
        <v>13014</v>
      </c>
      <c r="D988" s="619">
        <v>2</v>
      </c>
      <c r="E988" s="485">
        <v>15</v>
      </c>
      <c r="F988" s="196"/>
      <c r="G988" s="382"/>
      <c r="H988" s="492">
        <f>1510.8-1469.8</f>
        <v>41</v>
      </c>
      <c r="I988" s="618">
        <v>1962</v>
      </c>
      <c r="J988" s="461">
        <f>4559856/1510.8*41</f>
        <v>123745.09928514695</v>
      </c>
      <c r="K988" s="486"/>
    </row>
    <row r="989" spans="1:11" ht="25.5" customHeight="1" x14ac:dyDescent="0.2">
      <c r="A989" s="383" t="s">
        <v>1026</v>
      </c>
      <c r="B989" s="382"/>
      <c r="C989" s="893" t="s">
        <v>13015</v>
      </c>
      <c r="D989" s="898">
        <v>4</v>
      </c>
      <c r="E989" s="485"/>
      <c r="F989" s="196"/>
      <c r="G989" s="382"/>
      <c r="H989" s="492">
        <f>2030-2030</f>
        <v>0</v>
      </c>
      <c r="I989" s="891">
        <v>1964</v>
      </c>
      <c r="J989" s="461">
        <f>4843904-4843904</f>
        <v>0</v>
      </c>
      <c r="K989" s="486"/>
    </row>
    <row r="990" spans="1:11" ht="12.75" customHeight="1" x14ac:dyDescent="0.2">
      <c r="A990" s="384" t="s">
        <v>1628</v>
      </c>
      <c r="B990" s="382" t="s">
        <v>308</v>
      </c>
      <c r="C990" s="893"/>
      <c r="D990" s="898"/>
      <c r="E990" s="472">
        <v>14</v>
      </c>
      <c r="F990" s="196"/>
      <c r="G990" s="382"/>
      <c r="H990" s="492">
        <v>30.5</v>
      </c>
      <c r="I990" s="891"/>
      <c r="J990" s="461">
        <v>72777.867980295559</v>
      </c>
      <c r="K990" s="486"/>
    </row>
    <row r="991" spans="1:11" x14ac:dyDescent="0.2">
      <c r="A991" s="384" t="s">
        <v>1629</v>
      </c>
      <c r="B991" s="382" t="s">
        <v>308</v>
      </c>
      <c r="C991" s="893"/>
      <c r="D991" s="898"/>
      <c r="E991" s="472">
        <v>15</v>
      </c>
      <c r="F991" s="196"/>
      <c r="G991" s="382"/>
      <c r="H991" s="492">
        <v>39.9</v>
      </c>
      <c r="I991" s="891"/>
      <c r="J991" s="461">
        <v>95207.768275862065</v>
      </c>
      <c r="K991" s="486"/>
    </row>
    <row r="992" spans="1:11" x14ac:dyDescent="0.2">
      <c r="A992" s="384" t="s">
        <v>1630</v>
      </c>
      <c r="B992" s="382" t="s">
        <v>308</v>
      </c>
      <c r="C992" s="893"/>
      <c r="D992" s="898"/>
      <c r="E992" s="472">
        <v>32</v>
      </c>
      <c r="F992" s="196"/>
      <c r="G992" s="382"/>
      <c r="H992" s="492">
        <v>53.4</v>
      </c>
      <c r="I992" s="891"/>
      <c r="J992" s="461">
        <v>127420.92295566501</v>
      </c>
      <c r="K992" s="486"/>
    </row>
    <row r="993" spans="1:11" x14ac:dyDescent="0.2">
      <c r="A993" s="384" t="s">
        <v>1631</v>
      </c>
      <c r="B993" s="382" t="s">
        <v>308</v>
      </c>
      <c r="C993" s="893"/>
      <c r="D993" s="898"/>
      <c r="E993" s="472">
        <v>35</v>
      </c>
      <c r="F993" s="196" t="s">
        <v>4340</v>
      </c>
      <c r="G993" s="382"/>
      <c r="H993" s="492">
        <f>86.4-55</f>
        <v>31.400000000000006</v>
      </c>
      <c r="I993" s="891"/>
      <c r="J993" s="461">
        <v>206164.18995073892</v>
      </c>
      <c r="K993" s="486">
        <v>599866.48</v>
      </c>
    </row>
    <row r="994" spans="1:11" x14ac:dyDescent="0.2">
      <c r="A994" s="384" t="s">
        <v>1632</v>
      </c>
      <c r="B994" s="382" t="s">
        <v>308</v>
      </c>
      <c r="C994" s="893"/>
      <c r="D994" s="898"/>
      <c r="E994" s="472">
        <v>36</v>
      </c>
      <c r="F994" s="196"/>
      <c r="G994" s="382"/>
      <c r="H994" s="492">
        <v>55</v>
      </c>
      <c r="I994" s="891"/>
      <c r="J994" s="461"/>
      <c r="K994" s="486"/>
    </row>
    <row r="995" spans="1:11" x14ac:dyDescent="0.2">
      <c r="A995" s="384" t="s">
        <v>4341</v>
      </c>
      <c r="B995" s="382" t="s">
        <v>308</v>
      </c>
      <c r="C995" s="893"/>
      <c r="D995" s="898"/>
      <c r="E995" s="472">
        <v>37</v>
      </c>
      <c r="F995" s="196"/>
      <c r="G995" s="382"/>
      <c r="H995" s="492">
        <v>30.3</v>
      </c>
      <c r="I995" s="891"/>
      <c r="J995" s="461">
        <v>72300.636059113298</v>
      </c>
      <c r="K995" s="486"/>
    </row>
    <row r="996" spans="1:11" x14ac:dyDescent="0.2">
      <c r="A996" s="384" t="s">
        <v>10664</v>
      </c>
      <c r="B996" s="382" t="s">
        <v>308</v>
      </c>
      <c r="C996" s="893"/>
      <c r="D996" s="898"/>
      <c r="E996" s="472">
        <v>25</v>
      </c>
      <c r="F996" s="196" t="s">
        <v>10679</v>
      </c>
      <c r="G996" s="382" t="s">
        <v>134</v>
      </c>
      <c r="H996" s="461">
        <v>54.3</v>
      </c>
      <c r="I996" s="891"/>
      <c r="J996" s="461">
        <v>1063227</v>
      </c>
      <c r="K996" s="486">
        <v>1040185.59</v>
      </c>
    </row>
    <row r="997" spans="1:11" x14ac:dyDescent="0.2">
      <c r="A997" s="383" t="s">
        <v>1027</v>
      </c>
      <c r="B997" s="382"/>
      <c r="C997" s="893" t="s">
        <v>13016</v>
      </c>
      <c r="D997" s="898">
        <v>6</v>
      </c>
      <c r="E997" s="472"/>
      <c r="F997" s="196"/>
      <c r="G997" s="382"/>
      <c r="H997" s="492">
        <f>1947.4-1947.4</f>
        <v>0</v>
      </c>
      <c r="I997" s="891">
        <v>1965</v>
      </c>
      <c r="J997" s="461">
        <f>4991340-4991340</f>
        <v>0</v>
      </c>
      <c r="K997" s="486"/>
    </row>
    <row r="998" spans="1:11" ht="25.5" customHeight="1" x14ac:dyDescent="0.2">
      <c r="A998" s="384" t="s">
        <v>1028</v>
      </c>
      <c r="B998" s="382" t="s">
        <v>308</v>
      </c>
      <c r="C998" s="893"/>
      <c r="D998" s="898"/>
      <c r="E998" s="472">
        <v>36</v>
      </c>
      <c r="F998" s="196"/>
      <c r="G998" s="382"/>
      <c r="H998" s="296">
        <v>55.1</v>
      </c>
      <c r="I998" s="891"/>
      <c r="J998" s="461">
        <v>141225.65163808153</v>
      </c>
      <c r="K998" s="486"/>
    </row>
    <row r="999" spans="1:11" ht="22.5" customHeight="1" x14ac:dyDescent="0.2">
      <c r="A999" s="383" t="s">
        <v>1029</v>
      </c>
      <c r="B999" s="382"/>
      <c r="C999" s="893" t="s">
        <v>13017</v>
      </c>
      <c r="D999" s="898">
        <v>10</v>
      </c>
      <c r="E999" s="472"/>
      <c r="F999" s="294" t="s">
        <v>13018</v>
      </c>
      <c r="G999" s="519"/>
      <c r="H999" s="492">
        <f>4281.9-4281.9</f>
        <v>0</v>
      </c>
      <c r="I999" s="891">
        <v>1973</v>
      </c>
      <c r="J999" s="461">
        <f>13720404-13720404</f>
        <v>0</v>
      </c>
      <c r="K999" s="486"/>
    </row>
    <row r="1000" spans="1:11" ht="17.25" customHeight="1" x14ac:dyDescent="0.2">
      <c r="A1000" s="384" t="s">
        <v>1030</v>
      </c>
      <c r="B1000" s="382" t="s">
        <v>308</v>
      </c>
      <c r="C1000" s="893"/>
      <c r="D1000" s="898"/>
      <c r="E1000" s="472">
        <v>19</v>
      </c>
      <c r="F1000" s="196"/>
      <c r="G1000" s="382"/>
      <c r="H1000" s="296">
        <v>60.3</v>
      </c>
      <c r="I1000" s="891"/>
      <c r="J1000" s="461">
        <v>193218.04834302529</v>
      </c>
      <c r="K1000" s="486"/>
    </row>
    <row r="1001" spans="1:11" ht="12.75" customHeight="1" x14ac:dyDescent="0.2">
      <c r="A1001" s="383" t="s">
        <v>1031</v>
      </c>
      <c r="B1001" s="382"/>
      <c r="C1001" s="877" t="s">
        <v>13019</v>
      </c>
      <c r="D1001" s="880">
        <v>12</v>
      </c>
      <c r="E1001" s="472"/>
      <c r="F1001" s="196"/>
      <c r="G1001" s="382"/>
      <c r="H1001" s="492">
        <f>4468.9-4468.9</f>
        <v>0</v>
      </c>
      <c r="I1001" s="883">
        <v>1975</v>
      </c>
      <c r="J1001" s="461">
        <f>11980036-11980036</f>
        <v>0</v>
      </c>
      <c r="K1001" s="486"/>
    </row>
    <row r="1002" spans="1:11" ht="12.75" customHeight="1" x14ac:dyDescent="0.2">
      <c r="A1002" s="384" t="s">
        <v>1032</v>
      </c>
      <c r="B1002" s="382" t="s">
        <v>308</v>
      </c>
      <c r="C1002" s="878"/>
      <c r="D1002" s="881"/>
      <c r="E1002" s="472">
        <v>58</v>
      </c>
      <c r="F1002" s="196" t="s">
        <v>11937</v>
      </c>
      <c r="G1002" s="382"/>
      <c r="H1002" s="296">
        <v>42.1</v>
      </c>
      <c r="I1002" s="884"/>
      <c r="J1002" s="461">
        <v>112859.87952292511</v>
      </c>
      <c r="K1002" s="486"/>
    </row>
    <row r="1003" spans="1:11" x14ac:dyDescent="0.2">
      <c r="A1003" s="384" t="s">
        <v>11938</v>
      </c>
      <c r="B1003" s="382" t="s">
        <v>308</v>
      </c>
      <c r="C1003" s="878"/>
      <c r="D1003" s="881"/>
      <c r="E1003" s="472">
        <v>87</v>
      </c>
      <c r="F1003" s="40" t="s">
        <v>11939</v>
      </c>
      <c r="G1003" s="382" t="s">
        <v>543</v>
      </c>
      <c r="H1003" s="461">
        <v>38</v>
      </c>
      <c r="I1003" s="884"/>
      <c r="J1003" s="461"/>
      <c r="K1003" s="486">
        <v>753162.28</v>
      </c>
    </row>
    <row r="1004" spans="1:11" ht="12.75" customHeight="1" x14ac:dyDescent="0.2">
      <c r="A1004" s="384" t="s">
        <v>12473</v>
      </c>
      <c r="B1004" s="382" t="s">
        <v>12407</v>
      </c>
      <c r="C1004" s="878"/>
      <c r="D1004" s="881"/>
      <c r="E1004" s="472">
        <v>1</v>
      </c>
      <c r="F1004" s="196" t="s">
        <v>13020</v>
      </c>
      <c r="G1004" s="382" t="s">
        <v>13021</v>
      </c>
      <c r="H1004" s="461">
        <v>39</v>
      </c>
      <c r="I1004" s="884"/>
      <c r="J1004" s="461">
        <v>1153053</v>
      </c>
      <c r="K1004" s="486">
        <v>722253.8</v>
      </c>
    </row>
    <row r="1005" spans="1:11" ht="25.5" customHeight="1" x14ac:dyDescent="0.2">
      <c r="A1005" s="384" t="s">
        <v>12501</v>
      </c>
      <c r="B1005" s="382" t="s">
        <v>308</v>
      </c>
      <c r="C1005" s="878"/>
      <c r="D1005" s="881"/>
      <c r="E1005" s="472">
        <v>60</v>
      </c>
      <c r="F1005" s="196" t="s">
        <v>12503</v>
      </c>
      <c r="G1005" s="382" t="s">
        <v>538</v>
      </c>
      <c r="H1005" s="461">
        <v>46.7</v>
      </c>
      <c r="I1005" s="884"/>
      <c r="J1005" s="461">
        <v>778000</v>
      </c>
      <c r="K1005" s="486">
        <v>898291.33</v>
      </c>
    </row>
    <row r="1006" spans="1:11" ht="24" customHeight="1" x14ac:dyDescent="0.2">
      <c r="A1006" s="384" t="s">
        <v>12502</v>
      </c>
      <c r="B1006" s="382" t="s">
        <v>308</v>
      </c>
      <c r="C1006" s="878"/>
      <c r="D1006" s="881"/>
      <c r="E1006" s="472">
        <v>84</v>
      </c>
      <c r="F1006" s="196" t="s">
        <v>12504</v>
      </c>
      <c r="G1006" s="382" t="s">
        <v>143</v>
      </c>
      <c r="H1006" s="461">
        <v>38.700000000000003</v>
      </c>
      <c r="I1006" s="884"/>
      <c r="J1006" s="461">
        <v>1147287.73</v>
      </c>
      <c r="K1006" s="486">
        <v>739325.88</v>
      </c>
    </row>
    <row r="1007" spans="1:11" ht="25.5" customHeight="1" x14ac:dyDescent="0.2">
      <c r="A1007" s="383" t="s">
        <v>1033</v>
      </c>
      <c r="B1007" s="382"/>
      <c r="C1007" s="877" t="s">
        <v>13022</v>
      </c>
      <c r="D1007" s="880">
        <v>14</v>
      </c>
      <c r="E1007" s="472"/>
      <c r="F1007" s="196"/>
      <c r="G1007" s="382"/>
      <c r="H1007" s="461">
        <f>3387.6-3387.6</f>
        <v>0</v>
      </c>
      <c r="I1007" s="883">
        <v>1978</v>
      </c>
      <c r="J1007" s="461">
        <f>8885356-8885356</f>
        <v>0</v>
      </c>
      <c r="K1007" s="486"/>
    </row>
    <row r="1008" spans="1:11" ht="12.75" customHeight="1" x14ac:dyDescent="0.2">
      <c r="A1008" s="384" t="s">
        <v>1633</v>
      </c>
      <c r="B1008" s="382" t="s">
        <v>308</v>
      </c>
      <c r="C1008" s="878"/>
      <c r="D1008" s="881"/>
      <c r="E1008" s="472">
        <v>22</v>
      </c>
      <c r="F1008" s="623"/>
      <c r="G1008" s="382"/>
      <c r="H1008" s="297">
        <v>45</v>
      </c>
      <c r="I1008" s="884"/>
      <c r="J1008" s="461">
        <v>118030.76514346441</v>
      </c>
      <c r="K1008" s="486"/>
    </row>
    <row r="1009" spans="1:11" ht="12.75" customHeight="1" x14ac:dyDescent="0.2">
      <c r="A1009" s="384" t="s">
        <v>1634</v>
      </c>
      <c r="B1009" s="382" t="s">
        <v>308</v>
      </c>
      <c r="C1009" s="878"/>
      <c r="D1009" s="881"/>
      <c r="E1009" s="472">
        <v>67</v>
      </c>
      <c r="F1009" s="623"/>
      <c r="G1009" s="382"/>
      <c r="H1009" s="297">
        <v>45.6</v>
      </c>
      <c r="I1009" s="884"/>
      <c r="J1009" s="461">
        <v>119604.5086787106</v>
      </c>
      <c r="K1009" s="486"/>
    </row>
    <row r="1010" spans="1:11" ht="12.75" customHeight="1" x14ac:dyDescent="0.2">
      <c r="A1010" s="384" t="s">
        <v>10665</v>
      </c>
      <c r="B1010" s="382" t="s">
        <v>308</v>
      </c>
      <c r="C1010" s="878"/>
      <c r="D1010" s="881"/>
      <c r="E1010" s="472">
        <v>37</v>
      </c>
      <c r="F1010" s="196" t="s">
        <v>10680</v>
      </c>
      <c r="G1010" s="382" t="s">
        <v>143</v>
      </c>
      <c r="H1010" s="297">
        <v>28.1</v>
      </c>
      <c r="I1010" s="884"/>
      <c r="J1010" s="461">
        <v>851032.66</v>
      </c>
      <c r="K1010" s="486">
        <v>536823.18000000005</v>
      </c>
    </row>
    <row r="1011" spans="1:11" x14ac:dyDescent="0.2">
      <c r="A1011" s="384" t="s">
        <v>12376</v>
      </c>
      <c r="B1011" s="382" t="s">
        <v>308</v>
      </c>
      <c r="C1011" s="878"/>
      <c r="D1011" s="881"/>
      <c r="E1011" s="472">
        <v>33</v>
      </c>
      <c r="F1011" s="40" t="s">
        <v>12377</v>
      </c>
      <c r="G1011" s="382" t="s">
        <v>133</v>
      </c>
      <c r="H1011" s="486">
        <v>44.9</v>
      </c>
      <c r="I1011" s="884"/>
      <c r="J1011" s="461">
        <v>1153053</v>
      </c>
      <c r="K1011" s="486">
        <v>831517.84</v>
      </c>
    </row>
    <row r="1012" spans="1:11" x14ac:dyDescent="0.2">
      <c r="A1012" s="384" t="s">
        <v>12474</v>
      </c>
      <c r="B1012" s="382" t="s">
        <v>308</v>
      </c>
      <c r="C1012" s="878"/>
      <c r="D1012" s="881"/>
      <c r="E1012" s="472">
        <v>27</v>
      </c>
      <c r="F1012" s="40" t="s">
        <v>13023</v>
      </c>
      <c r="G1012" s="382" t="s">
        <v>134</v>
      </c>
      <c r="H1012" s="486">
        <v>45.4</v>
      </c>
      <c r="I1012" s="884"/>
      <c r="J1012" s="461">
        <v>1153053</v>
      </c>
      <c r="K1012" s="486">
        <v>873285.36</v>
      </c>
    </row>
    <row r="1013" spans="1:11" x14ac:dyDescent="0.2">
      <c r="A1013" s="384" t="s">
        <v>12680</v>
      </c>
      <c r="B1013" s="382" t="s">
        <v>308</v>
      </c>
      <c r="C1013" s="879"/>
      <c r="D1013" s="882"/>
      <c r="E1013" s="472">
        <v>43</v>
      </c>
      <c r="F1013" s="40" t="s">
        <v>12681</v>
      </c>
      <c r="G1013" s="382" t="s">
        <v>134</v>
      </c>
      <c r="H1013" s="486">
        <v>44.2</v>
      </c>
      <c r="I1013" s="885"/>
      <c r="J1013" s="461">
        <v>614000</v>
      </c>
      <c r="K1013" s="486">
        <v>850202.91</v>
      </c>
    </row>
    <row r="1014" spans="1:11" x14ac:dyDescent="0.2">
      <c r="A1014" s="383" t="s">
        <v>1034</v>
      </c>
      <c r="B1014" s="382"/>
      <c r="C1014" s="893" t="s">
        <v>13024</v>
      </c>
      <c r="D1014" s="898">
        <v>16</v>
      </c>
      <c r="E1014" s="485"/>
      <c r="F1014" s="623"/>
      <c r="G1014" s="382"/>
      <c r="H1014" s="492">
        <f>2933.6-2933.6</f>
        <v>0</v>
      </c>
      <c r="I1014" s="891">
        <v>1961</v>
      </c>
      <c r="J1014" s="461">
        <f>6907516-6907516</f>
        <v>0</v>
      </c>
      <c r="K1014" s="486"/>
    </row>
    <row r="1015" spans="1:11" ht="12.75" customHeight="1" x14ac:dyDescent="0.2">
      <c r="A1015" s="384" t="s">
        <v>1035</v>
      </c>
      <c r="B1015" s="382" t="s">
        <v>308</v>
      </c>
      <c r="C1015" s="893"/>
      <c r="D1015" s="898"/>
      <c r="E1015" s="496">
        <v>12</v>
      </c>
      <c r="F1015" s="623"/>
      <c r="G1015" s="382"/>
      <c r="H1015" s="296">
        <v>42.2</v>
      </c>
      <c r="I1015" s="891"/>
      <c r="J1015" s="461">
        <v>99365.003817834746</v>
      </c>
      <c r="K1015" s="486"/>
    </row>
    <row r="1016" spans="1:11" x14ac:dyDescent="0.2">
      <c r="A1016" s="384" t="s">
        <v>1036</v>
      </c>
      <c r="B1016" s="382" t="s">
        <v>308</v>
      </c>
      <c r="C1016" s="893"/>
      <c r="D1016" s="898"/>
      <c r="E1016" s="496">
        <v>18</v>
      </c>
      <c r="F1016" s="623"/>
      <c r="G1016" s="382"/>
      <c r="H1016" s="296">
        <v>18.100000000000001</v>
      </c>
      <c r="I1016" s="891"/>
      <c r="J1016" s="461">
        <v>42618.639078265616</v>
      </c>
      <c r="K1016" s="486"/>
    </row>
    <row r="1017" spans="1:11" ht="12.75" customHeight="1" x14ac:dyDescent="0.2">
      <c r="A1017" s="384" t="s">
        <v>1037</v>
      </c>
      <c r="B1017" s="382" t="s">
        <v>308</v>
      </c>
      <c r="C1017" s="893"/>
      <c r="D1017" s="898"/>
      <c r="E1017" s="496">
        <v>23</v>
      </c>
      <c r="F1017" s="623"/>
      <c r="G1017" s="382"/>
      <c r="H1017" s="296">
        <v>11.4</v>
      </c>
      <c r="I1017" s="891"/>
      <c r="J1017" s="461">
        <v>26842.678756476682</v>
      </c>
      <c r="K1017" s="486"/>
    </row>
    <row r="1018" spans="1:11" x14ac:dyDescent="0.2">
      <c r="A1018" s="384" t="s">
        <v>1038</v>
      </c>
      <c r="B1018" s="382" t="s">
        <v>308</v>
      </c>
      <c r="C1018" s="893"/>
      <c r="D1018" s="898"/>
      <c r="E1018" s="496">
        <v>24</v>
      </c>
      <c r="F1018" s="623"/>
      <c r="G1018" s="382"/>
      <c r="H1018" s="296">
        <v>37.700000000000003</v>
      </c>
      <c r="I1018" s="891"/>
      <c r="J1018" s="461">
        <v>88769.209571857107</v>
      </c>
      <c r="K1018" s="486"/>
    </row>
    <row r="1019" spans="1:11" x14ac:dyDescent="0.2">
      <c r="A1019" s="384" t="s">
        <v>1039</v>
      </c>
      <c r="B1019" s="382" t="s">
        <v>308</v>
      </c>
      <c r="C1019" s="893"/>
      <c r="D1019" s="898"/>
      <c r="E1019" s="496">
        <v>25</v>
      </c>
      <c r="F1019" s="623"/>
      <c r="G1019" s="382"/>
      <c r="H1019" s="296">
        <v>21.7</v>
      </c>
      <c r="I1019" s="891"/>
      <c r="J1019" s="461">
        <v>51095.274475047721</v>
      </c>
      <c r="K1019" s="486"/>
    </row>
    <row r="1020" spans="1:11" x14ac:dyDescent="0.2">
      <c r="A1020" s="384" t="s">
        <v>1040</v>
      </c>
      <c r="B1020" s="382" t="s">
        <v>308</v>
      </c>
      <c r="C1020" s="893"/>
      <c r="D1020" s="898"/>
      <c r="E1020" s="496">
        <v>31</v>
      </c>
      <c r="F1020" s="623" t="s">
        <v>11940</v>
      </c>
      <c r="G1020" s="382"/>
      <c r="H1020" s="296">
        <v>42.2</v>
      </c>
      <c r="I1020" s="891"/>
      <c r="J1020" s="461">
        <v>99365.003817834746</v>
      </c>
      <c r="K1020" s="486">
        <v>806190.07</v>
      </c>
    </row>
    <row r="1021" spans="1:11" x14ac:dyDescent="0.2">
      <c r="A1021" s="384" t="s">
        <v>1635</v>
      </c>
      <c r="B1021" s="382" t="s">
        <v>308</v>
      </c>
      <c r="C1021" s="893"/>
      <c r="D1021" s="898"/>
      <c r="E1021" s="496">
        <v>34</v>
      </c>
      <c r="F1021" s="623"/>
      <c r="G1021" s="382"/>
      <c r="H1021" s="296">
        <v>31.1</v>
      </c>
      <c r="I1021" s="891"/>
      <c r="J1021" s="461">
        <v>73228.711344423238</v>
      </c>
      <c r="K1021" s="486"/>
    </row>
    <row r="1022" spans="1:11" ht="12.75" customHeight="1" x14ac:dyDescent="0.2">
      <c r="A1022" s="383" t="s">
        <v>1041</v>
      </c>
      <c r="B1022" s="382"/>
      <c r="C1022" s="877" t="s">
        <v>13025</v>
      </c>
      <c r="D1022" s="880">
        <v>20</v>
      </c>
      <c r="E1022" s="485"/>
      <c r="F1022" s="623"/>
      <c r="G1022" s="382"/>
      <c r="H1022" s="492">
        <f>954.3-954.3</f>
        <v>0</v>
      </c>
      <c r="I1022" s="883">
        <v>1962</v>
      </c>
      <c r="J1022" s="461">
        <f>2822112-2822112</f>
        <v>0</v>
      </c>
      <c r="K1022" s="486"/>
    </row>
    <row r="1023" spans="1:11" ht="12.75" customHeight="1" x14ac:dyDescent="0.2">
      <c r="A1023" s="384" t="s">
        <v>1043</v>
      </c>
      <c r="B1023" s="382" t="s">
        <v>308</v>
      </c>
      <c r="C1023" s="878"/>
      <c r="D1023" s="881"/>
      <c r="E1023" s="485">
        <v>1</v>
      </c>
      <c r="F1023" s="44" t="s">
        <v>13689</v>
      </c>
      <c r="G1023" s="382" t="s">
        <v>143</v>
      </c>
      <c r="H1023" s="492">
        <v>31.3</v>
      </c>
      <c r="I1023" s="884"/>
      <c r="J1023" s="461">
        <v>92562.198050927385</v>
      </c>
      <c r="K1023" s="486">
        <v>402207.82</v>
      </c>
    </row>
    <row r="1024" spans="1:11" x14ac:dyDescent="0.2">
      <c r="A1024" s="384" t="s">
        <v>1044</v>
      </c>
      <c r="B1024" s="382" t="s">
        <v>308</v>
      </c>
      <c r="C1024" s="879"/>
      <c r="D1024" s="882"/>
      <c r="E1024" s="485">
        <v>5</v>
      </c>
      <c r="F1024" s="623"/>
      <c r="G1024" s="382"/>
      <c r="H1024" s="492">
        <v>31.3</v>
      </c>
      <c r="I1024" s="885"/>
      <c r="J1024" s="461">
        <v>92562.198050927385</v>
      </c>
      <c r="K1024" s="486"/>
    </row>
    <row r="1025" spans="1:11" x14ac:dyDescent="0.2">
      <c r="A1025" s="383" t="s">
        <v>1042</v>
      </c>
      <c r="B1025" s="382"/>
      <c r="C1025" s="877" t="s">
        <v>13026</v>
      </c>
      <c r="D1025" s="880">
        <v>22</v>
      </c>
      <c r="E1025" s="485"/>
      <c r="F1025" s="623"/>
      <c r="G1025" s="382"/>
      <c r="H1025" s="492">
        <f>1802.6-1802.6</f>
        <v>0</v>
      </c>
      <c r="I1025" s="883">
        <v>1963</v>
      </c>
      <c r="J1025" s="461">
        <f>4223328-4223328</f>
        <v>0</v>
      </c>
      <c r="K1025" s="486"/>
    </row>
    <row r="1026" spans="1:11" ht="12.75" customHeight="1" x14ac:dyDescent="0.2">
      <c r="A1026" s="384" t="s">
        <v>1045</v>
      </c>
      <c r="B1026" s="382" t="s">
        <v>308</v>
      </c>
      <c r="C1026" s="878"/>
      <c r="D1026" s="881"/>
      <c r="E1026" s="496">
        <v>3</v>
      </c>
      <c r="F1026" s="623"/>
      <c r="G1026" s="382"/>
      <c r="H1026" s="492">
        <v>28.92</v>
      </c>
      <c r="I1026" s="884"/>
      <c r="J1026" s="461">
        <v>67756.932075890392</v>
      </c>
      <c r="K1026" s="486"/>
    </row>
    <row r="1027" spans="1:11" x14ac:dyDescent="0.2">
      <c r="A1027" s="384" t="s">
        <v>1046</v>
      </c>
      <c r="B1027" s="382" t="s">
        <v>308</v>
      </c>
      <c r="C1027" s="878"/>
      <c r="D1027" s="881"/>
      <c r="E1027" s="496">
        <v>20</v>
      </c>
      <c r="F1027" s="623"/>
      <c r="G1027" s="382"/>
      <c r="H1027" s="492">
        <v>9.6999999999999993</v>
      </c>
      <c r="I1027" s="884"/>
      <c r="J1027" s="461">
        <v>22726.218573172086</v>
      </c>
      <c r="K1027" s="486"/>
    </row>
    <row r="1028" spans="1:11" x14ac:dyDescent="0.2">
      <c r="A1028" s="384" t="s">
        <v>1047</v>
      </c>
      <c r="B1028" s="382" t="s">
        <v>308</v>
      </c>
      <c r="C1028" s="878"/>
      <c r="D1028" s="881"/>
      <c r="E1028" s="496">
        <v>21</v>
      </c>
      <c r="F1028" s="623"/>
      <c r="G1028" s="382"/>
      <c r="H1028" s="492">
        <v>11.5</v>
      </c>
      <c r="I1028" s="884"/>
      <c r="J1028" s="461">
        <v>26943.455009430825</v>
      </c>
      <c r="K1028" s="486"/>
    </row>
    <row r="1029" spans="1:11" x14ac:dyDescent="0.2">
      <c r="A1029" s="384" t="s">
        <v>1048</v>
      </c>
      <c r="B1029" s="382" t="s">
        <v>308</v>
      </c>
      <c r="C1029" s="878"/>
      <c r="D1029" s="881"/>
      <c r="E1029" s="496">
        <v>23</v>
      </c>
      <c r="F1029" s="623"/>
      <c r="G1029" s="382"/>
      <c r="H1029" s="492">
        <v>28.4</v>
      </c>
      <c r="I1029" s="884"/>
      <c r="J1029" s="461">
        <v>66538.619327637862</v>
      </c>
      <c r="K1029" s="486"/>
    </row>
    <row r="1030" spans="1:11" ht="12.75" customHeight="1" x14ac:dyDescent="0.2">
      <c r="A1030" s="384" t="s">
        <v>1049</v>
      </c>
      <c r="B1030" s="382" t="s">
        <v>308</v>
      </c>
      <c r="C1030" s="878"/>
      <c r="D1030" s="881"/>
      <c r="E1030" s="496">
        <v>24</v>
      </c>
      <c r="F1030" s="623"/>
      <c r="G1030" s="382"/>
      <c r="H1030" s="492">
        <v>11.6</v>
      </c>
      <c r="I1030" s="884"/>
      <c r="J1030" s="461">
        <v>27177.745922556311</v>
      </c>
      <c r="K1030" s="486"/>
    </row>
    <row r="1031" spans="1:11" x14ac:dyDescent="0.2">
      <c r="A1031" s="384" t="s">
        <v>1050</v>
      </c>
      <c r="B1031" s="382" t="s">
        <v>308</v>
      </c>
      <c r="C1031" s="878"/>
      <c r="D1031" s="881"/>
      <c r="E1031" s="496">
        <v>26</v>
      </c>
      <c r="F1031" s="623"/>
      <c r="G1031" s="382"/>
      <c r="H1031" s="492">
        <v>11.6</v>
      </c>
      <c r="I1031" s="884"/>
      <c r="J1031" s="461">
        <v>27177.745922556311</v>
      </c>
      <c r="K1031" s="486"/>
    </row>
    <row r="1032" spans="1:11" x14ac:dyDescent="0.2">
      <c r="A1032" s="384" t="s">
        <v>1636</v>
      </c>
      <c r="B1032" s="382" t="s">
        <v>308</v>
      </c>
      <c r="C1032" s="878"/>
      <c r="D1032" s="881"/>
      <c r="E1032" s="496">
        <v>28</v>
      </c>
      <c r="F1032" s="623"/>
      <c r="G1032" s="382"/>
      <c r="H1032" s="492">
        <v>8</v>
      </c>
      <c r="I1032" s="884"/>
      <c r="J1032" s="461">
        <v>18743.273050038835</v>
      </c>
      <c r="K1032" s="486"/>
    </row>
    <row r="1033" spans="1:11" ht="12.75" customHeight="1" x14ac:dyDescent="0.2">
      <c r="A1033" s="384" t="s">
        <v>1637</v>
      </c>
      <c r="B1033" s="382" t="s">
        <v>308</v>
      </c>
      <c r="C1033" s="878"/>
      <c r="D1033" s="881"/>
      <c r="E1033" s="496">
        <v>30</v>
      </c>
      <c r="F1033" s="623"/>
      <c r="G1033" s="382"/>
      <c r="H1033" s="492">
        <v>11.4</v>
      </c>
      <c r="I1033" s="884"/>
      <c r="J1033" s="461">
        <v>26709.16409630534</v>
      </c>
      <c r="K1033" s="486"/>
    </row>
    <row r="1034" spans="1:11" x14ac:dyDescent="0.2">
      <c r="A1034" s="384" t="s">
        <v>1638</v>
      </c>
      <c r="B1034" s="382" t="s">
        <v>308</v>
      </c>
      <c r="C1034" s="878"/>
      <c r="D1034" s="881"/>
      <c r="E1034" s="496">
        <v>31</v>
      </c>
      <c r="F1034" s="623"/>
      <c r="G1034" s="382"/>
      <c r="H1034" s="492">
        <v>5.0999999999999996</v>
      </c>
      <c r="I1034" s="884"/>
      <c r="J1034" s="461">
        <v>11948.836569399757</v>
      </c>
      <c r="K1034" s="486"/>
    </row>
    <row r="1035" spans="1:11" x14ac:dyDescent="0.2">
      <c r="A1035" s="384" t="s">
        <v>1639</v>
      </c>
      <c r="B1035" s="382" t="s">
        <v>308</v>
      </c>
      <c r="C1035" s="878"/>
      <c r="D1035" s="881"/>
      <c r="E1035" s="496" t="s">
        <v>4335</v>
      </c>
      <c r="F1035" s="623"/>
      <c r="G1035" s="382"/>
      <c r="H1035" s="492">
        <v>26.2</v>
      </c>
      <c r="I1035" s="884"/>
      <c r="J1035" s="461">
        <v>61384.21923887718</v>
      </c>
      <c r="K1035" s="486"/>
    </row>
    <row r="1036" spans="1:11" x14ac:dyDescent="0.2">
      <c r="A1036" s="384" t="s">
        <v>1640</v>
      </c>
      <c r="B1036" s="382" t="s">
        <v>308</v>
      </c>
      <c r="C1036" s="878"/>
      <c r="D1036" s="881"/>
      <c r="E1036" s="496">
        <v>38</v>
      </c>
      <c r="F1036" s="623"/>
      <c r="G1036" s="382"/>
      <c r="H1036" s="492">
        <v>16.100000000000001</v>
      </c>
      <c r="I1036" s="884"/>
      <c r="J1036" s="461">
        <v>37720.837013203156</v>
      </c>
      <c r="K1036" s="486"/>
    </row>
    <row r="1037" spans="1:11" x14ac:dyDescent="0.2">
      <c r="A1037" s="384" t="s">
        <v>1641</v>
      </c>
      <c r="B1037" s="382" t="s">
        <v>308</v>
      </c>
      <c r="C1037" s="878"/>
      <c r="D1037" s="881"/>
      <c r="E1037" s="496">
        <v>39</v>
      </c>
      <c r="F1037" s="623"/>
      <c r="G1037" s="382"/>
      <c r="H1037" s="492">
        <v>18.8</v>
      </c>
      <c r="I1037" s="884"/>
      <c r="J1037" s="461">
        <v>44046.691667591265</v>
      </c>
      <c r="K1037" s="486"/>
    </row>
    <row r="1038" spans="1:11" x14ac:dyDescent="0.2">
      <c r="A1038" s="384" t="s">
        <v>1642</v>
      </c>
      <c r="B1038" s="382" t="s">
        <v>308</v>
      </c>
      <c r="C1038" s="878"/>
      <c r="D1038" s="881"/>
      <c r="E1038" s="496">
        <v>40</v>
      </c>
      <c r="F1038" s="623"/>
      <c r="G1038" s="382"/>
      <c r="H1038" s="492">
        <v>11.8</v>
      </c>
      <c r="I1038" s="884"/>
      <c r="J1038" s="461">
        <v>27646.327748807285</v>
      </c>
      <c r="K1038" s="486"/>
    </row>
    <row r="1039" spans="1:11" x14ac:dyDescent="0.2">
      <c r="A1039" s="384" t="s">
        <v>1643</v>
      </c>
      <c r="B1039" s="382" t="s">
        <v>308</v>
      </c>
      <c r="C1039" s="878"/>
      <c r="D1039" s="881"/>
      <c r="E1039" s="496">
        <v>42</v>
      </c>
      <c r="F1039" s="623"/>
      <c r="G1039" s="382"/>
      <c r="H1039" s="492">
        <v>16.5</v>
      </c>
      <c r="I1039" s="884"/>
      <c r="J1039" s="461">
        <v>38658.000665705098</v>
      </c>
      <c r="K1039" s="486"/>
    </row>
    <row r="1040" spans="1:11" ht="12.75" customHeight="1" x14ac:dyDescent="0.2">
      <c r="A1040" s="384" t="s">
        <v>1644</v>
      </c>
      <c r="B1040" s="382" t="s">
        <v>308</v>
      </c>
      <c r="C1040" s="878"/>
      <c r="D1040" s="881"/>
      <c r="E1040" s="496" t="s">
        <v>11625</v>
      </c>
      <c r="F1040" s="623"/>
      <c r="G1040" s="382"/>
      <c r="H1040" s="492">
        <v>49.2</v>
      </c>
      <c r="I1040" s="884"/>
      <c r="J1040" s="461">
        <v>115271.12925773884</v>
      </c>
      <c r="K1040" s="486"/>
    </row>
    <row r="1041" spans="1:11" x14ac:dyDescent="0.2">
      <c r="A1041" s="384" t="s">
        <v>1645</v>
      </c>
      <c r="B1041" s="382" t="s">
        <v>308</v>
      </c>
      <c r="C1041" s="878"/>
      <c r="D1041" s="881"/>
      <c r="E1041" s="496">
        <v>44</v>
      </c>
      <c r="F1041" s="623"/>
      <c r="G1041" s="382"/>
      <c r="H1041" s="492">
        <v>16</v>
      </c>
      <c r="I1041" s="884"/>
      <c r="J1041" s="461">
        <v>37486.54610007767</v>
      </c>
      <c r="K1041" s="486"/>
    </row>
    <row r="1042" spans="1:11" x14ac:dyDescent="0.2">
      <c r="A1042" s="384" t="s">
        <v>1646</v>
      </c>
      <c r="B1042" s="382" t="s">
        <v>308</v>
      </c>
      <c r="C1042" s="878"/>
      <c r="D1042" s="881"/>
      <c r="E1042" s="496">
        <v>46</v>
      </c>
      <c r="F1042" s="623"/>
      <c r="G1042" s="382"/>
      <c r="H1042" s="492">
        <v>11</v>
      </c>
      <c r="I1042" s="884"/>
      <c r="J1042" s="461">
        <v>25772.000443803398</v>
      </c>
      <c r="K1042" s="486"/>
    </row>
    <row r="1043" spans="1:11" ht="12.75" customHeight="1" x14ac:dyDescent="0.2">
      <c r="A1043" s="384" t="s">
        <v>1647</v>
      </c>
      <c r="B1043" s="382" t="s">
        <v>308</v>
      </c>
      <c r="C1043" s="878"/>
      <c r="D1043" s="881"/>
      <c r="E1043" s="496">
        <v>48</v>
      </c>
      <c r="F1043" s="623"/>
      <c r="G1043" s="382"/>
      <c r="H1043" s="492">
        <v>13.3</v>
      </c>
      <c r="I1043" s="884"/>
      <c r="J1043" s="461">
        <v>31160.691445689565</v>
      </c>
      <c r="K1043" s="486"/>
    </row>
    <row r="1044" spans="1:11" x14ac:dyDescent="0.2">
      <c r="A1044" s="384" t="s">
        <v>1648</v>
      </c>
      <c r="B1044" s="382" t="s">
        <v>308</v>
      </c>
      <c r="C1044" s="878"/>
      <c r="D1044" s="881"/>
      <c r="E1044" s="496">
        <v>49</v>
      </c>
      <c r="F1044" s="623"/>
      <c r="G1044" s="382"/>
      <c r="H1044" s="492">
        <v>17.5</v>
      </c>
      <c r="I1044" s="884"/>
      <c r="J1044" s="461">
        <v>41000.909796959953</v>
      </c>
      <c r="K1044" s="486"/>
    </row>
    <row r="1045" spans="1:11" ht="12.75" customHeight="1" x14ac:dyDescent="0.2">
      <c r="A1045" s="384" t="s">
        <v>1649</v>
      </c>
      <c r="B1045" s="382" t="s">
        <v>308</v>
      </c>
      <c r="C1045" s="878"/>
      <c r="D1045" s="881"/>
      <c r="E1045" s="496">
        <v>50</v>
      </c>
      <c r="F1045" s="623"/>
      <c r="G1045" s="382"/>
      <c r="H1045" s="492">
        <v>17.899999999999999</v>
      </c>
      <c r="I1045" s="884"/>
      <c r="J1045" s="461">
        <v>41938.073449461888</v>
      </c>
      <c r="K1045" s="486"/>
    </row>
    <row r="1046" spans="1:11" ht="12.75" customHeight="1" x14ac:dyDescent="0.2">
      <c r="A1046" s="384" t="s">
        <v>1650</v>
      </c>
      <c r="B1046" s="382" t="s">
        <v>308</v>
      </c>
      <c r="C1046" s="878"/>
      <c r="D1046" s="881"/>
      <c r="E1046" s="496">
        <v>52</v>
      </c>
      <c r="F1046" s="623"/>
      <c r="G1046" s="382"/>
      <c r="H1046" s="492">
        <v>25.5</v>
      </c>
      <c r="I1046" s="884"/>
      <c r="J1046" s="461">
        <v>59744.182846998789</v>
      </c>
      <c r="K1046" s="486"/>
    </row>
    <row r="1047" spans="1:11" x14ac:dyDescent="0.2">
      <c r="A1047" s="384" t="s">
        <v>1651</v>
      </c>
      <c r="B1047" s="382" t="s">
        <v>308</v>
      </c>
      <c r="C1047" s="878"/>
      <c r="D1047" s="881"/>
      <c r="E1047" s="496" t="s">
        <v>4336</v>
      </c>
      <c r="F1047" s="623"/>
      <c r="G1047" s="382"/>
      <c r="H1047" s="492">
        <v>36.299999999999997</v>
      </c>
      <c r="I1047" s="884"/>
      <c r="J1047" s="461">
        <v>85047.601464551204</v>
      </c>
      <c r="K1047" s="486"/>
    </row>
    <row r="1048" spans="1:11" ht="12.75" customHeight="1" x14ac:dyDescent="0.2">
      <c r="A1048" s="384" t="s">
        <v>1652</v>
      </c>
      <c r="B1048" s="382" t="s">
        <v>308</v>
      </c>
      <c r="C1048" s="878"/>
      <c r="D1048" s="881"/>
      <c r="E1048" s="496" t="s">
        <v>4337</v>
      </c>
      <c r="F1048" s="623"/>
      <c r="G1048" s="382"/>
      <c r="H1048" s="492">
        <v>37.799999999999997</v>
      </c>
      <c r="I1048" s="884"/>
      <c r="J1048" s="461">
        <v>88561.965161433487</v>
      </c>
      <c r="K1048" s="486"/>
    </row>
    <row r="1049" spans="1:11" x14ac:dyDescent="0.2">
      <c r="A1049" s="384" t="s">
        <v>11489</v>
      </c>
      <c r="B1049" s="382" t="s">
        <v>308</v>
      </c>
      <c r="C1049" s="878"/>
      <c r="D1049" s="881"/>
      <c r="E1049" s="496" t="s">
        <v>13027</v>
      </c>
      <c r="F1049" s="623"/>
      <c r="G1049" s="382"/>
      <c r="H1049" s="492">
        <f>34.7-12.2</f>
        <v>22.500000000000004</v>
      </c>
      <c r="I1049" s="884"/>
      <c r="J1049" s="461">
        <f>81298.9468545435/34.7*H1049</f>
        <v>52715.455453234266</v>
      </c>
      <c r="K1049" s="486"/>
    </row>
    <row r="1050" spans="1:11" x14ac:dyDescent="0.2">
      <c r="A1050" s="384" t="s">
        <v>1653</v>
      </c>
      <c r="B1050" s="382" t="s">
        <v>308</v>
      </c>
      <c r="C1050" s="878"/>
      <c r="D1050" s="881"/>
      <c r="E1050" s="496" t="s">
        <v>4338</v>
      </c>
      <c r="F1050" s="623"/>
      <c r="G1050" s="382"/>
      <c r="H1050" s="492">
        <v>30.4</v>
      </c>
      <c r="I1050" s="884"/>
      <c r="J1050" s="461">
        <v>71224.437590147572</v>
      </c>
      <c r="K1050" s="486"/>
    </row>
    <row r="1051" spans="1:11" x14ac:dyDescent="0.2">
      <c r="A1051" s="384" t="s">
        <v>1654</v>
      </c>
      <c r="B1051" s="382" t="s">
        <v>308</v>
      </c>
      <c r="C1051" s="878"/>
      <c r="D1051" s="881"/>
      <c r="E1051" s="496" t="s">
        <v>11626</v>
      </c>
      <c r="F1051" s="623"/>
      <c r="G1051" s="382"/>
      <c r="H1051" s="492">
        <v>27.9</v>
      </c>
      <c r="I1051" s="884"/>
      <c r="J1051" s="461">
        <v>65367.164762010434</v>
      </c>
      <c r="K1051" s="486"/>
    </row>
    <row r="1052" spans="1:11" x14ac:dyDescent="0.2">
      <c r="A1052" s="384" t="s">
        <v>1655</v>
      </c>
      <c r="B1052" s="382" t="s">
        <v>308</v>
      </c>
      <c r="C1052" s="878"/>
      <c r="D1052" s="881"/>
      <c r="E1052" s="496" t="s">
        <v>4339</v>
      </c>
      <c r="F1052" s="623"/>
      <c r="G1052" s="382"/>
      <c r="H1052" s="492">
        <v>29</v>
      </c>
      <c r="I1052" s="884"/>
      <c r="J1052" s="461">
        <v>67944.364806390775</v>
      </c>
      <c r="K1052" s="486"/>
    </row>
    <row r="1053" spans="1:11" ht="12.75" customHeight="1" x14ac:dyDescent="0.2">
      <c r="A1053" s="384" t="s">
        <v>11941</v>
      </c>
      <c r="B1053" s="382" t="s">
        <v>312</v>
      </c>
      <c r="C1053" s="879"/>
      <c r="D1053" s="882"/>
      <c r="E1053" s="496">
        <v>22</v>
      </c>
      <c r="F1053" s="623"/>
      <c r="G1053" s="382"/>
      <c r="H1053" s="461">
        <v>11.2</v>
      </c>
      <c r="I1053" s="885"/>
      <c r="J1053" s="486">
        <v>26240.58</v>
      </c>
      <c r="K1053" s="486"/>
    </row>
    <row r="1054" spans="1:11" x14ac:dyDescent="0.2">
      <c r="A1054" s="383" t="s">
        <v>1051</v>
      </c>
      <c r="B1054" s="382"/>
      <c r="C1054" s="893" t="s">
        <v>13028</v>
      </c>
      <c r="D1054" s="880">
        <v>23</v>
      </c>
      <c r="E1054" s="472"/>
      <c r="F1054" s="623"/>
      <c r="G1054" s="496"/>
      <c r="H1054" s="492">
        <f>1893.7-1893.7</f>
        <v>0</v>
      </c>
      <c r="I1054" s="891">
        <v>1992</v>
      </c>
      <c r="J1054" s="461">
        <f>7397056-7397056</f>
        <v>0</v>
      </c>
      <c r="K1054" s="486"/>
    </row>
    <row r="1055" spans="1:11" ht="27" customHeight="1" x14ac:dyDescent="0.2">
      <c r="A1055" s="384" t="s">
        <v>1656</v>
      </c>
      <c r="B1055" s="382" t="s">
        <v>308</v>
      </c>
      <c r="C1055" s="893"/>
      <c r="D1055" s="882"/>
      <c r="E1055" s="472">
        <v>27</v>
      </c>
      <c r="F1055" s="623"/>
      <c r="G1055" s="520"/>
      <c r="H1055" s="521">
        <v>81.3</v>
      </c>
      <c r="I1055" s="891"/>
      <c r="J1055" s="461">
        <v>317569.12541585258</v>
      </c>
      <c r="K1055" s="486"/>
    </row>
    <row r="1056" spans="1:11" x14ac:dyDescent="0.2">
      <c r="A1056" s="383" t="s">
        <v>1052</v>
      </c>
      <c r="B1056" s="382"/>
      <c r="C1056" s="893" t="s">
        <v>13029</v>
      </c>
      <c r="D1056" s="898">
        <v>1</v>
      </c>
      <c r="E1056" s="472"/>
      <c r="F1056" s="623"/>
      <c r="G1056" s="613"/>
      <c r="H1056" s="492">
        <f>1484-1484</f>
        <v>0</v>
      </c>
      <c r="I1056" s="891">
        <v>1962</v>
      </c>
      <c r="J1056" s="461">
        <f>4547064-4547064</f>
        <v>0</v>
      </c>
      <c r="K1056" s="486"/>
    </row>
    <row r="1057" spans="1:11" ht="12.75" customHeight="1" x14ac:dyDescent="0.2">
      <c r="A1057" s="384" t="s">
        <v>1053</v>
      </c>
      <c r="B1057" s="382" t="s">
        <v>308</v>
      </c>
      <c r="C1057" s="893"/>
      <c r="D1057" s="898"/>
      <c r="E1057" s="472">
        <v>3</v>
      </c>
      <c r="F1057" s="623"/>
      <c r="G1057" s="613"/>
      <c r="H1057" s="492">
        <v>39.9</v>
      </c>
      <c r="I1057" s="891"/>
      <c r="J1057" s="461">
        <v>122255.96603773584</v>
      </c>
      <c r="K1057" s="486"/>
    </row>
    <row r="1058" spans="1:11" x14ac:dyDescent="0.2">
      <c r="A1058" s="384" t="s">
        <v>1657</v>
      </c>
      <c r="B1058" s="382" t="s">
        <v>308</v>
      </c>
      <c r="C1058" s="893"/>
      <c r="D1058" s="898"/>
      <c r="E1058" s="472">
        <v>19</v>
      </c>
      <c r="F1058" s="623" t="s">
        <v>11942</v>
      </c>
      <c r="G1058" s="613" t="s">
        <v>543</v>
      </c>
      <c r="H1058" s="461">
        <v>40.5</v>
      </c>
      <c r="I1058" s="891"/>
      <c r="J1058" s="461">
        <v>124094.40161725067</v>
      </c>
      <c r="K1058" s="486">
        <v>555681.39</v>
      </c>
    </row>
    <row r="1059" spans="1:11" x14ac:dyDescent="0.2">
      <c r="A1059" s="384" t="s">
        <v>1658</v>
      </c>
      <c r="B1059" s="382" t="s">
        <v>308</v>
      </c>
      <c r="C1059" s="893"/>
      <c r="D1059" s="898"/>
      <c r="E1059" s="472">
        <v>28</v>
      </c>
      <c r="F1059" s="623"/>
      <c r="G1059" s="613"/>
      <c r="H1059" s="492">
        <v>52.6</v>
      </c>
      <c r="I1059" s="891"/>
      <c r="J1059" s="461">
        <v>161169.5191374663</v>
      </c>
      <c r="K1059" s="486"/>
    </row>
    <row r="1060" spans="1:11" ht="25.5" customHeight="1" x14ac:dyDescent="0.2">
      <c r="A1060" s="383" t="s">
        <v>1054</v>
      </c>
      <c r="B1060" s="382"/>
      <c r="C1060" s="877" t="s">
        <v>13030</v>
      </c>
      <c r="D1060" s="880">
        <v>2</v>
      </c>
      <c r="E1060" s="472"/>
      <c r="F1060" s="623"/>
      <c r="G1060" s="613"/>
      <c r="H1060" s="492">
        <f>2768.8-2768.8</f>
        <v>0</v>
      </c>
      <c r="I1060" s="883">
        <v>1988</v>
      </c>
      <c r="J1060" s="461">
        <f>15974092-15974092</f>
        <v>0</v>
      </c>
      <c r="K1060" s="486"/>
    </row>
    <row r="1061" spans="1:11" ht="12.75" customHeight="1" x14ac:dyDescent="0.2">
      <c r="A1061" s="384" t="s">
        <v>1055</v>
      </c>
      <c r="B1061" s="382" t="s">
        <v>308</v>
      </c>
      <c r="C1061" s="878"/>
      <c r="D1061" s="881"/>
      <c r="E1061" s="472">
        <v>35</v>
      </c>
      <c r="F1061" s="623"/>
      <c r="G1061" s="613"/>
      <c r="H1061" s="492">
        <v>59.3</v>
      </c>
      <c r="I1061" s="884"/>
      <c r="J1061" s="461">
        <v>342120.64995665994</v>
      </c>
      <c r="K1061" s="486"/>
    </row>
    <row r="1062" spans="1:11" x14ac:dyDescent="0.2">
      <c r="A1062" s="384" t="s">
        <v>11943</v>
      </c>
      <c r="B1062" s="382" t="s">
        <v>308</v>
      </c>
      <c r="C1062" s="879"/>
      <c r="D1062" s="882"/>
      <c r="E1062" s="468">
        <v>15</v>
      </c>
      <c r="F1062" s="44" t="s">
        <v>11944</v>
      </c>
      <c r="G1062" s="613" t="s">
        <v>543</v>
      </c>
      <c r="H1062" s="461">
        <v>25.8</v>
      </c>
      <c r="I1062" s="885"/>
      <c r="J1062" s="461">
        <v>852870.6</v>
      </c>
      <c r="K1062" s="486">
        <v>550007.74</v>
      </c>
    </row>
    <row r="1063" spans="1:11" x14ac:dyDescent="0.2">
      <c r="A1063" s="383" t="s">
        <v>1056</v>
      </c>
      <c r="B1063" s="382"/>
      <c r="C1063" s="877" t="s">
        <v>13031</v>
      </c>
      <c r="D1063" s="880" t="s">
        <v>3248</v>
      </c>
      <c r="E1063" s="485"/>
      <c r="F1063" s="623"/>
      <c r="G1063" s="613"/>
      <c r="H1063" s="492">
        <f>2708.7-2708.7</f>
        <v>0</v>
      </c>
      <c r="I1063" s="883">
        <v>1991</v>
      </c>
      <c r="J1063" s="461">
        <f>11724688-11724688</f>
        <v>0</v>
      </c>
      <c r="K1063" s="486"/>
    </row>
    <row r="1064" spans="1:11" ht="12.75" customHeight="1" x14ac:dyDescent="0.2">
      <c r="A1064" s="384" t="s">
        <v>1057</v>
      </c>
      <c r="B1064" s="382" t="s">
        <v>308</v>
      </c>
      <c r="C1064" s="878"/>
      <c r="D1064" s="881"/>
      <c r="E1064" s="468">
        <v>3</v>
      </c>
      <c r="F1064" s="382"/>
      <c r="G1064" s="613"/>
      <c r="H1064" s="521">
        <v>81.099999999999994</v>
      </c>
      <c r="I1064" s="884"/>
      <c r="J1064" s="461">
        <v>351043.74674197956</v>
      </c>
      <c r="K1064" s="486"/>
    </row>
    <row r="1065" spans="1:11" x14ac:dyDescent="0.2">
      <c r="A1065" s="384" t="s">
        <v>1058</v>
      </c>
      <c r="B1065" s="382" t="s">
        <v>308</v>
      </c>
      <c r="C1065" s="878"/>
      <c r="D1065" s="881"/>
      <c r="E1065" s="468">
        <v>9</v>
      </c>
      <c r="F1065" s="382"/>
      <c r="G1065" s="613"/>
      <c r="H1065" s="521">
        <v>78.8</v>
      </c>
      <c r="I1065" s="884"/>
      <c r="J1065" s="461">
        <v>341088.12877025886</v>
      </c>
      <c r="K1065" s="486"/>
    </row>
    <row r="1066" spans="1:11" x14ac:dyDescent="0.2">
      <c r="A1066" s="384" t="s">
        <v>1659</v>
      </c>
      <c r="B1066" s="382" t="s">
        <v>308</v>
      </c>
      <c r="C1066" s="878"/>
      <c r="D1066" s="881"/>
      <c r="E1066" s="468">
        <v>24</v>
      </c>
      <c r="F1066" s="382"/>
      <c r="G1066" s="613"/>
      <c r="H1066" s="521">
        <v>26.5</v>
      </c>
      <c r="I1066" s="884"/>
      <c r="J1066" s="461">
        <v>114706.03315243477</v>
      </c>
      <c r="K1066" s="486"/>
    </row>
    <row r="1067" spans="1:11" x14ac:dyDescent="0.2">
      <c r="A1067" s="384" t="s">
        <v>1660</v>
      </c>
      <c r="B1067" s="382" t="s">
        <v>308</v>
      </c>
      <c r="C1067" s="879"/>
      <c r="D1067" s="882"/>
      <c r="E1067" s="468">
        <v>46</v>
      </c>
      <c r="F1067" s="382" t="s">
        <v>52</v>
      </c>
      <c r="G1067" s="613"/>
      <c r="H1067" s="521">
        <v>80.099999999999994</v>
      </c>
      <c r="I1067" s="885"/>
      <c r="J1067" s="461">
        <v>346715.2171890575</v>
      </c>
      <c r="K1067" s="486">
        <v>1789211.02</v>
      </c>
    </row>
    <row r="1068" spans="1:11" x14ac:dyDescent="0.2">
      <c r="A1068" s="383" t="s">
        <v>1059</v>
      </c>
      <c r="B1068" s="382"/>
      <c r="C1068" s="893" t="s">
        <v>13032</v>
      </c>
      <c r="D1068" s="898">
        <v>4</v>
      </c>
      <c r="E1068" s="485"/>
      <c r="F1068" s="623"/>
      <c r="G1068" s="382"/>
      <c r="H1068" s="492">
        <f>4102.5-4102.5</f>
        <v>0</v>
      </c>
      <c r="I1068" s="891">
        <v>1984</v>
      </c>
      <c r="J1068" s="461">
        <f>14904156-14904156</f>
        <v>0</v>
      </c>
      <c r="K1068" s="486"/>
    </row>
    <row r="1069" spans="1:11" ht="12.75" customHeight="1" x14ac:dyDescent="0.2">
      <c r="A1069" s="384" t="s">
        <v>1060</v>
      </c>
      <c r="B1069" s="382" t="s">
        <v>308</v>
      </c>
      <c r="C1069" s="893"/>
      <c r="D1069" s="898"/>
      <c r="E1069" s="468">
        <v>4</v>
      </c>
      <c r="F1069" s="520"/>
      <c r="G1069" s="469"/>
      <c r="H1069" s="521">
        <v>64.099999999999994</v>
      </c>
      <c r="I1069" s="891"/>
      <c r="J1069" s="461">
        <v>232871.76102376598</v>
      </c>
      <c r="K1069" s="486"/>
    </row>
    <row r="1070" spans="1:11" x14ac:dyDescent="0.2">
      <c r="A1070" s="384" t="s">
        <v>1061</v>
      </c>
      <c r="B1070" s="382" t="s">
        <v>308</v>
      </c>
      <c r="C1070" s="893"/>
      <c r="D1070" s="898"/>
      <c r="E1070" s="468">
        <v>12</v>
      </c>
      <c r="F1070" s="520"/>
      <c r="G1070" s="469"/>
      <c r="H1070" s="521">
        <v>26.6</v>
      </c>
      <c r="I1070" s="891"/>
      <c r="J1070" s="461">
        <v>96636.331407678241</v>
      </c>
      <c r="K1070" s="486"/>
    </row>
    <row r="1071" spans="1:11" x14ac:dyDescent="0.2">
      <c r="A1071" s="384" t="s">
        <v>1661</v>
      </c>
      <c r="B1071" s="382" t="s">
        <v>308</v>
      </c>
      <c r="C1071" s="893"/>
      <c r="D1071" s="898"/>
      <c r="E1071" s="468">
        <v>43</v>
      </c>
      <c r="F1071" s="520" t="s">
        <v>11945</v>
      </c>
      <c r="G1071" s="469"/>
      <c r="H1071" s="521">
        <v>65.900000000000006</v>
      </c>
      <c r="I1071" s="891"/>
      <c r="J1071" s="461">
        <v>239411.0616453382</v>
      </c>
      <c r="K1071" s="486"/>
    </row>
    <row r="1072" spans="1:11" ht="17.25" customHeight="1" x14ac:dyDescent="0.2">
      <c r="A1072" s="384" t="s">
        <v>1662</v>
      </c>
      <c r="B1072" s="382" t="s">
        <v>308</v>
      </c>
      <c r="C1072" s="893"/>
      <c r="D1072" s="898"/>
      <c r="E1072" s="468">
        <v>70</v>
      </c>
      <c r="F1072" s="46" t="s">
        <v>53</v>
      </c>
      <c r="G1072" s="520"/>
      <c r="H1072" s="521">
        <v>79.599999999999994</v>
      </c>
      <c r="I1072" s="891"/>
      <c r="J1072" s="461">
        <v>289182.40526508214</v>
      </c>
      <c r="K1072" s="486">
        <v>1633457.79</v>
      </c>
    </row>
    <row r="1073" spans="1:11" ht="17.25" customHeight="1" x14ac:dyDescent="0.2">
      <c r="A1073" s="383" t="s">
        <v>1062</v>
      </c>
      <c r="B1073" s="382"/>
      <c r="C1073" s="893" t="s">
        <v>13033</v>
      </c>
      <c r="D1073" s="898">
        <v>6</v>
      </c>
      <c r="E1073" s="485"/>
      <c r="F1073" s="623"/>
      <c r="G1073" s="613"/>
      <c r="H1073" s="522">
        <f>4936.9-4936.9</f>
        <v>0</v>
      </c>
      <c r="I1073" s="891">
        <v>1987</v>
      </c>
      <c r="J1073" s="461">
        <f>24606888-24606888</f>
        <v>0</v>
      </c>
      <c r="K1073" s="486"/>
    </row>
    <row r="1074" spans="1:11" ht="23.25" customHeight="1" x14ac:dyDescent="0.2">
      <c r="A1074" s="384" t="s">
        <v>1663</v>
      </c>
      <c r="B1074" s="382" t="s">
        <v>308</v>
      </c>
      <c r="C1074" s="893"/>
      <c r="D1074" s="898"/>
      <c r="E1074" s="468">
        <v>10</v>
      </c>
      <c r="F1074" s="520" t="s">
        <v>11946</v>
      </c>
      <c r="G1074" s="469"/>
      <c r="H1074" s="521">
        <v>61.3</v>
      </c>
      <c r="I1074" s="891"/>
      <c r="J1074" s="461">
        <v>305536.31517754059</v>
      </c>
      <c r="K1074" s="486"/>
    </row>
    <row r="1075" spans="1:11" ht="28.5" customHeight="1" x14ac:dyDescent="0.2">
      <c r="A1075" s="383" t="s">
        <v>1063</v>
      </c>
      <c r="B1075" s="382"/>
      <c r="C1075" s="893" t="s">
        <v>13034</v>
      </c>
      <c r="D1075" s="898">
        <v>7</v>
      </c>
      <c r="E1075" s="472"/>
      <c r="F1075" s="623"/>
      <c r="G1075" s="613"/>
      <c r="H1075" s="522">
        <f>2006.2-2006.2</f>
        <v>0</v>
      </c>
      <c r="I1075" s="891">
        <v>1962</v>
      </c>
      <c r="J1075" s="461">
        <f>5015284-5015284</f>
        <v>0</v>
      </c>
      <c r="K1075" s="486"/>
    </row>
    <row r="1076" spans="1:11" ht="12.75" customHeight="1" x14ac:dyDescent="0.2">
      <c r="A1076" s="384" t="s">
        <v>1064</v>
      </c>
      <c r="B1076" s="382" t="s">
        <v>308</v>
      </c>
      <c r="C1076" s="893"/>
      <c r="D1076" s="898"/>
      <c r="E1076" s="468">
        <v>17</v>
      </c>
      <c r="F1076" s="520"/>
      <c r="G1076" s="469"/>
      <c r="H1076" s="521">
        <v>54.5</v>
      </c>
      <c r="I1076" s="891"/>
      <c r="J1076" s="461">
        <v>136244.13219021034</v>
      </c>
      <c r="K1076" s="486"/>
    </row>
    <row r="1077" spans="1:11" ht="16.5" customHeight="1" x14ac:dyDescent="0.2">
      <c r="A1077" s="383" t="s">
        <v>1065</v>
      </c>
      <c r="B1077" s="382"/>
      <c r="C1077" s="877" t="s">
        <v>13035</v>
      </c>
      <c r="D1077" s="880">
        <v>8</v>
      </c>
      <c r="E1077" s="472"/>
      <c r="F1077" s="623"/>
      <c r="G1077" s="613"/>
      <c r="H1077" s="522">
        <f>2760.5-2760.5</f>
        <v>0</v>
      </c>
      <c r="I1077" s="883">
        <v>1989</v>
      </c>
      <c r="J1077" s="461">
        <f>17497324-17497324</f>
        <v>0</v>
      </c>
      <c r="K1077" s="486"/>
    </row>
    <row r="1078" spans="1:11" ht="12.75" customHeight="1" x14ac:dyDescent="0.2">
      <c r="A1078" s="384" t="s">
        <v>1068</v>
      </c>
      <c r="B1078" s="382" t="s">
        <v>308</v>
      </c>
      <c r="C1078" s="878"/>
      <c r="D1078" s="881"/>
      <c r="E1078" s="468">
        <v>2</v>
      </c>
      <c r="F1078" s="520"/>
      <c r="G1078" s="520"/>
      <c r="H1078" s="521">
        <v>55</v>
      </c>
      <c r="I1078" s="884"/>
      <c r="J1078" s="461">
        <v>348615.40300670167</v>
      </c>
      <c r="K1078" s="486"/>
    </row>
    <row r="1079" spans="1:11" ht="21" customHeight="1" x14ac:dyDescent="0.2">
      <c r="A1079" s="382" t="s">
        <v>12537</v>
      </c>
      <c r="B1079" s="594" t="s">
        <v>12407</v>
      </c>
      <c r="C1079" s="879"/>
      <c r="D1079" s="882"/>
      <c r="E1079" s="523">
        <v>28</v>
      </c>
      <c r="F1079" s="520" t="s">
        <v>12538</v>
      </c>
      <c r="G1079" s="625" t="s">
        <v>143</v>
      </c>
      <c r="H1079" s="524">
        <v>39.5</v>
      </c>
      <c r="I1079" s="885"/>
      <c r="J1079" s="461">
        <v>1147287.73</v>
      </c>
      <c r="K1079" s="486">
        <v>790687.21</v>
      </c>
    </row>
    <row r="1080" spans="1:11" ht="22.5" customHeight="1" x14ac:dyDescent="0.2">
      <c r="A1080" s="383" t="s">
        <v>1066</v>
      </c>
      <c r="B1080" s="382"/>
      <c r="C1080" s="877" t="s">
        <v>13036</v>
      </c>
      <c r="D1080" s="880">
        <v>10</v>
      </c>
      <c r="E1080" s="472"/>
      <c r="F1080" s="623"/>
      <c r="G1080" s="613"/>
      <c r="H1080" s="522">
        <f>5134.6-5134.6</f>
        <v>0</v>
      </c>
      <c r="I1080" s="883">
        <v>1973</v>
      </c>
      <c r="J1080" s="461">
        <f>11785040-11785040</f>
        <v>0</v>
      </c>
      <c r="K1080" s="486"/>
    </row>
    <row r="1081" spans="1:11" ht="12.75" customHeight="1" x14ac:dyDescent="0.2">
      <c r="A1081" s="384" t="s">
        <v>1069</v>
      </c>
      <c r="B1081" s="382" t="s">
        <v>308</v>
      </c>
      <c r="C1081" s="878"/>
      <c r="D1081" s="881"/>
      <c r="E1081" s="468">
        <v>26</v>
      </c>
      <c r="F1081" s="520"/>
      <c r="G1081" s="520"/>
      <c r="H1081" s="521">
        <v>44.3</v>
      </c>
      <c r="I1081" s="884"/>
      <c r="J1081" s="461">
        <v>101678.27523078719</v>
      </c>
      <c r="K1081" s="486"/>
    </row>
    <row r="1082" spans="1:11" ht="15" customHeight="1" x14ac:dyDescent="0.2">
      <c r="A1082" s="384" t="s">
        <v>1070</v>
      </c>
      <c r="B1082" s="382" t="s">
        <v>308</v>
      </c>
      <c r="C1082" s="878"/>
      <c r="D1082" s="881"/>
      <c r="E1082" s="468">
        <v>52</v>
      </c>
      <c r="F1082" s="520"/>
      <c r="G1082" s="469"/>
      <c r="H1082" s="521">
        <v>30.2</v>
      </c>
      <c r="I1082" s="884"/>
      <c r="J1082" s="461">
        <v>69315.663927082918</v>
      </c>
      <c r="K1082" s="486"/>
    </row>
    <row r="1083" spans="1:11" ht="14.25" customHeight="1" x14ac:dyDescent="0.2">
      <c r="A1083" s="384" t="s">
        <v>3509</v>
      </c>
      <c r="B1083" s="382" t="s">
        <v>12792</v>
      </c>
      <c r="C1083" s="878"/>
      <c r="D1083" s="881"/>
      <c r="E1083" s="468">
        <v>38</v>
      </c>
      <c r="F1083" s="525" t="s">
        <v>11627</v>
      </c>
      <c r="G1083" s="525" t="s">
        <v>11628</v>
      </c>
      <c r="H1083" s="521">
        <f>46.8</f>
        <v>46.8</v>
      </c>
      <c r="I1083" s="884"/>
      <c r="J1083" s="461">
        <v>870000</v>
      </c>
      <c r="K1083" s="486">
        <v>866704.57</v>
      </c>
    </row>
    <row r="1084" spans="1:11" ht="25.5" customHeight="1" x14ac:dyDescent="0.2">
      <c r="A1084" s="481" t="s">
        <v>12475</v>
      </c>
      <c r="B1084" s="481" t="s">
        <v>12407</v>
      </c>
      <c r="C1084" s="879"/>
      <c r="D1084" s="882"/>
      <c r="E1084" s="526">
        <v>14</v>
      </c>
      <c r="F1084" s="525" t="s">
        <v>12476</v>
      </c>
      <c r="G1084" s="626"/>
      <c r="H1084" s="527">
        <v>38.200000000000003</v>
      </c>
      <c r="I1084" s="885"/>
      <c r="J1084" s="461">
        <v>757234.73</v>
      </c>
      <c r="K1084" s="486">
        <v>728413.26</v>
      </c>
    </row>
    <row r="1085" spans="1:11" ht="24.75" customHeight="1" x14ac:dyDescent="0.2">
      <c r="A1085" s="383" t="s">
        <v>1067</v>
      </c>
      <c r="B1085" s="382"/>
      <c r="C1085" s="893" t="s">
        <v>13037</v>
      </c>
      <c r="D1085" s="898">
        <v>9</v>
      </c>
      <c r="E1085" s="472"/>
      <c r="F1085" s="623"/>
      <c r="G1085" s="382"/>
      <c r="H1085" s="522">
        <f>420-420</f>
        <v>0</v>
      </c>
      <c r="I1085" s="891">
        <v>1961</v>
      </c>
      <c r="J1085" s="461">
        <f>609752-609752</f>
        <v>0</v>
      </c>
      <c r="K1085" s="486"/>
    </row>
    <row r="1086" spans="1:11" ht="12.75" customHeight="1" x14ac:dyDescent="0.2">
      <c r="A1086" s="384" t="s">
        <v>1071</v>
      </c>
      <c r="B1086" s="382" t="s">
        <v>308</v>
      </c>
      <c r="C1086" s="893"/>
      <c r="D1086" s="898"/>
      <c r="E1086" s="468">
        <v>3</v>
      </c>
      <c r="F1086" s="469"/>
      <c r="G1086" s="469"/>
      <c r="H1086" s="521">
        <v>43.8</v>
      </c>
      <c r="I1086" s="891"/>
      <c r="J1086" s="461">
        <v>63588.422857142854</v>
      </c>
      <c r="K1086" s="486"/>
    </row>
    <row r="1087" spans="1:11" ht="25.5" customHeight="1" x14ac:dyDescent="0.2">
      <c r="A1087" s="384" t="s">
        <v>1072</v>
      </c>
      <c r="B1087" s="382" t="s">
        <v>308</v>
      </c>
      <c r="C1087" s="893"/>
      <c r="D1087" s="898"/>
      <c r="E1087" s="468">
        <v>8</v>
      </c>
      <c r="F1087" s="469"/>
      <c r="G1087" s="469"/>
      <c r="H1087" s="521">
        <v>45.4</v>
      </c>
      <c r="I1087" s="891"/>
      <c r="J1087" s="461">
        <v>65911.287619047624</v>
      </c>
      <c r="K1087" s="486"/>
    </row>
    <row r="1088" spans="1:11" ht="25.5" customHeight="1" x14ac:dyDescent="0.2">
      <c r="A1088" s="383" t="s">
        <v>1073</v>
      </c>
      <c r="B1088" s="382"/>
      <c r="C1088" s="893" t="s">
        <v>13038</v>
      </c>
      <c r="D1088" s="898">
        <v>11</v>
      </c>
      <c r="E1088" s="485"/>
      <c r="F1088" s="196"/>
      <c r="G1088" s="382"/>
      <c r="H1088" s="492">
        <f>394.3-394.3</f>
        <v>0</v>
      </c>
      <c r="I1088" s="891">
        <v>1959</v>
      </c>
      <c r="J1088" s="461">
        <f>896800-896800</f>
        <v>0</v>
      </c>
      <c r="K1088" s="486"/>
    </row>
    <row r="1089" spans="1:11" ht="12.75" customHeight="1" x14ac:dyDescent="0.2">
      <c r="A1089" s="384" t="s">
        <v>1074</v>
      </c>
      <c r="B1089" s="382" t="s">
        <v>308</v>
      </c>
      <c r="C1089" s="893"/>
      <c r="D1089" s="898"/>
      <c r="E1089" s="468">
        <v>6</v>
      </c>
      <c r="F1089" s="469"/>
      <c r="G1089" s="469"/>
      <c r="H1089" s="521">
        <v>62.9</v>
      </c>
      <c r="I1089" s="891"/>
      <c r="J1089" s="461">
        <v>143060.41085467901</v>
      </c>
      <c r="K1089" s="486"/>
    </row>
    <row r="1090" spans="1:11" ht="18" customHeight="1" x14ac:dyDescent="0.2">
      <c r="A1090" s="466" t="s">
        <v>1075</v>
      </c>
      <c r="B1090" s="382"/>
      <c r="C1090" s="877" t="s">
        <v>13039</v>
      </c>
      <c r="D1090" s="880">
        <v>12</v>
      </c>
      <c r="E1090" s="468"/>
      <c r="F1090" s="469"/>
      <c r="G1090" s="469"/>
      <c r="H1090" s="524">
        <f>632.3-632.3</f>
        <v>0</v>
      </c>
      <c r="I1090" s="883">
        <v>1961</v>
      </c>
      <c r="J1090" s="461">
        <f>1835980-1835980</f>
        <v>0</v>
      </c>
      <c r="K1090" s="486"/>
    </row>
    <row r="1091" spans="1:11" ht="24" customHeight="1" x14ac:dyDescent="0.2">
      <c r="A1091" s="384" t="s">
        <v>10660</v>
      </c>
      <c r="B1091" s="481" t="s">
        <v>5459</v>
      </c>
      <c r="C1091" s="879"/>
      <c r="D1091" s="882"/>
      <c r="E1091" s="485">
        <v>16</v>
      </c>
      <c r="F1091" s="196" t="s">
        <v>10678</v>
      </c>
      <c r="G1091" s="516" t="s">
        <v>543</v>
      </c>
      <c r="H1091" s="622">
        <v>54.8</v>
      </c>
      <c r="I1091" s="885"/>
      <c r="J1091" s="461">
        <v>1063227</v>
      </c>
      <c r="K1091" s="486">
        <v>687653.96</v>
      </c>
    </row>
    <row r="1092" spans="1:11" ht="25.5" customHeight="1" x14ac:dyDescent="0.2">
      <c r="A1092" s="383" t="s">
        <v>1076</v>
      </c>
      <c r="B1092" s="382"/>
      <c r="C1092" s="893" t="s">
        <v>13040</v>
      </c>
      <c r="D1092" s="898">
        <v>13</v>
      </c>
      <c r="E1092" s="485"/>
      <c r="F1092" s="196"/>
      <c r="G1092" s="382"/>
      <c r="H1092" s="522">
        <f>629.3-629.3</f>
        <v>0</v>
      </c>
      <c r="I1092" s="891">
        <v>1961</v>
      </c>
      <c r="J1092" s="461">
        <f>1875832-1875832</f>
        <v>0</v>
      </c>
      <c r="K1092" s="486"/>
    </row>
    <row r="1093" spans="1:11" ht="12.75" customHeight="1" x14ac:dyDescent="0.2">
      <c r="A1093" s="384" t="s">
        <v>1664</v>
      </c>
      <c r="B1093" s="382" t="s">
        <v>308</v>
      </c>
      <c r="C1093" s="893"/>
      <c r="D1093" s="898"/>
      <c r="E1093" s="485">
        <v>1</v>
      </c>
      <c r="F1093" s="196"/>
      <c r="G1093" s="382"/>
      <c r="H1093" s="521">
        <v>55.5</v>
      </c>
      <c r="I1093" s="891"/>
      <c r="J1093" s="461">
        <v>165435.68409343716</v>
      </c>
      <c r="K1093" s="486"/>
    </row>
    <row r="1094" spans="1:11" ht="25.5" customHeight="1" x14ac:dyDescent="0.2">
      <c r="A1094" s="384" t="s">
        <v>1665</v>
      </c>
      <c r="B1094" s="382" t="s">
        <v>308</v>
      </c>
      <c r="C1094" s="893"/>
      <c r="D1094" s="898"/>
      <c r="E1094" s="485">
        <v>16</v>
      </c>
      <c r="F1094" s="196"/>
      <c r="G1094" s="382"/>
      <c r="H1094" s="521">
        <v>56</v>
      </c>
      <c r="I1094" s="891"/>
      <c r="J1094" s="461">
        <v>166926.09566184651</v>
      </c>
      <c r="K1094" s="486"/>
    </row>
    <row r="1095" spans="1:11" ht="37.5" customHeight="1" x14ac:dyDescent="0.2">
      <c r="A1095" s="383" t="s">
        <v>1077</v>
      </c>
      <c r="B1095" s="382" t="s">
        <v>308</v>
      </c>
      <c r="C1095" s="617" t="s">
        <v>13041</v>
      </c>
      <c r="D1095" s="619">
        <v>2</v>
      </c>
      <c r="E1095" s="485">
        <v>2</v>
      </c>
      <c r="F1095" s="196" t="s">
        <v>54</v>
      </c>
      <c r="G1095" s="382"/>
      <c r="H1095" s="492">
        <f>72.8-36</f>
        <v>36.799999999999997</v>
      </c>
      <c r="I1095" s="618">
        <v>1960</v>
      </c>
      <c r="J1095" s="461">
        <f>200200/72.8*36.8</f>
        <v>101199.99999999999</v>
      </c>
      <c r="K1095" s="486"/>
    </row>
    <row r="1096" spans="1:11" ht="39.75" customHeight="1" x14ac:dyDescent="0.2">
      <c r="A1096" s="383" t="s">
        <v>1078</v>
      </c>
      <c r="B1096" s="382" t="s">
        <v>308</v>
      </c>
      <c r="C1096" s="617" t="s">
        <v>13042</v>
      </c>
      <c r="D1096" s="619">
        <v>4</v>
      </c>
      <c r="E1096" s="485">
        <v>1</v>
      </c>
      <c r="F1096" s="196" t="s">
        <v>55</v>
      </c>
      <c r="G1096" s="385" t="s">
        <v>56</v>
      </c>
      <c r="H1096" s="492">
        <f>73.1-36.2</f>
        <v>36.899999999999991</v>
      </c>
      <c r="I1096" s="618">
        <v>1960</v>
      </c>
      <c r="J1096" s="461">
        <f>187000/73.1*36.9</f>
        <v>94395.348837209312</v>
      </c>
      <c r="K1096" s="486">
        <v>442997.78</v>
      </c>
    </row>
    <row r="1097" spans="1:11" ht="24.75" customHeight="1" x14ac:dyDescent="0.2">
      <c r="A1097" s="383" t="s">
        <v>1079</v>
      </c>
      <c r="B1097" s="382"/>
      <c r="C1097" s="893" t="s">
        <v>13043</v>
      </c>
      <c r="D1097" s="898">
        <v>5</v>
      </c>
      <c r="E1097" s="485"/>
      <c r="F1097" s="196"/>
      <c r="G1097" s="385" t="s">
        <v>56</v>
      </c>
      <c r="H1097" s="492">
        <f>71-71</f>
        <v>0</v>
      </c>
      <c r="I1097" s="891">
        <v>1960</v>
      </c>
      <c r="J1097" s="461">
        <f>176500-176500</f>
        <v>0</v>
      </c>
      <c r="K1097" s="486"/>
    </row>
    <row r="1098" spans="1:11" ht="16.5" customHeight="1" x14ac:dyDescent="0.2">
      <c r="A1098" s="384" t="s">
        <v>1666</v>
      </c>
      <c r="B1098" s="382" t="s">
        <v>308</v>
      </c>
      <c r="C1098" s="893"/>
      <c r="D1098" s="898"/>
      <c r="E1098" s="485">
        <v>2</v>
      </c>
      <c r="F1098" s="196" t="s">
        <v>57</v>
      </c>
      <c r="G1098" s="385" t="s">
        <v>143</v>
      </c>
      <c r="H1098" s="492">
        <v>35.5</v>
      </c>
      <c r="I1098" s="891"/>
      <c r="J1098" s="461">
        <v>88250</v>
      </c>
      <c r="K1098" s="486">
        <v>426190.28</v>
      </c>
    </row>
    <row r="1099" spans="1:11" ht="12.75" customHeight="1" x14ac:dyDescent="0.2">
      <c r="A1099" s="383" t="s">
        <v>1080</v>
      </c>
      <c r="B1099" s="382"/>
      <c r="C1099" s="893" t="s">
        <v>13044</v>
      </c>
      <c r="D1099" s="898">
        <v>9</v>
      </c>
      <c r="E1099" s="485"/>
      <c r="F1099" s="196"/>
      <c r="G1099" s="385" t="s">
        <v>56</v>
      </c>
      <c r="H1099" s="492">
        <f>71.2-71.2</f>
        <v>0</v>
      </c>
      <c r="I1099" s="891">
        <v>1960</v>
      </c>
      <c r="J1099" s="461">
        <f>188100-188100</f>
        <v>0</v>
      </c>
      <c r="K1099" s="486"/>
    </row>
    <row r="1100" spans="1:11" ht="25.5" customHeight="1" x14ac:dyDescent="0.2">
      <c r="A1100" s="384" t="s">
        <v>1667</v>
      </c>
      <c r="B1100" s="382" t="s">
        <v>308</v>
      </c>
      <c r="C1100" s="893"/>
      <c r="D1100" s="898"/>
      <c r="E1100" s="485">
        <v>2</v>
      </c>
      <c r="F1100" s="196" t="s">
        <v>87</v>
      </c>
      <c r="G1100" s="385" t="s">
        <v>143</v>
      </c>
      <c r="H1100" s="492">
        <v>35.6</v>
      </c>
      <c r="I1100" s="891"/>
      <c r="J1100" s="461">
        <f>188400/2</f>
        <v>94200</v>
      </c>
      <c r="K1100" s="486">
        <v>427390.82</v>
      </c>
    </row>
    <row r="1101" spans="1:11" ht="38.25" x14ac:dyDescent="0.2">
      <c r="A1101" s="383" t="s">
        <v>1081</v>
      </c>
      <c r="B1101" s="382" t="s">
        <v>308</v>
      </c>
      <c r="C1101" s="617" t="s">
        <v>13045</v>
      </c>
      <c r="D1101" s="619">
        <v>11</v>
      </c>
      <c r="E1101" s="485">
        <v>2</v>
      </c>
      <c r="F1101" s="196"/>
      <c r="G1101" s="382"/>
      <c r="H1101" s="492">
        <f>70.1-35.4</f>
        <v>34.699999999999996</v>
      </c>
      <c r="I1101" s="618">
        <v>1960</v>
      </c>
      <c r="J1101" s="461">
        <f>201200/70.1*34.7</f>
        <v>99595.435092724685</v>
      </c>
      <c r="K1101" s="486">
        <v>416585.99</v>
      </c>
    </row>
    <row r="1102" spans="1:11" x14ac:dyDescent="0.2">
      <c r="A1102" s="383" t="s">
        <v>1082</v>
      </c>
      <c r="B1102" s="382"/>
      <c r="C1102" s="893" t="s">
        <v>13046</v>
      </c>
      <c r="D1102" s="898">
        <v>14</v>
      </c>
      <c r="E1102" s="485"/>
      <c r="F1102" s="196"/>
      <c r="G1102" s="382"/>
      <c r="H1102" s="492">
        <f>70-70</f>
        <v>0</v>
      </c>
      <c r="I1102" s="891">
        <v>1960</v>
      </c>
      <c r="J1102" s="461">
        <f>165300-165300</f>
        <v>0</v>
      </c>
      <c r="K1102" s="486"/>
    </row>
    <row r="1103" spans="1:11" ht="12.75" customHeight="1" x14ac:dyDescent="0.2">
      <c r="A1103" s="384" t="s">
        <v>1668</v>
      </c>
      <c r="B1103" s="382" t="s">
        <v>308</v>
      </c>
      <c r="C1103" s="893"/>
      <c r="D1103" s="898"/>
      <c r="E1103" s="485">
        <v>1</v>
      </c>
      <c r="F1103" s="196" t="s">
        <v>152</v>
      </c>
      <c r="G1103" s="382"/>
      <c r="H1103" s="492">
        <v>35.799999999999997</v>
      </c>
      <c r="I1103" s="891"/>
      <c r="J1103" s="461">
        <v>84539.142857142855</v>
      </c>
      <c r="K1103" s="486">
        <v>429791.89</v>
      </c>
    </row>
    <row r="1104" spans="1:11" x14ac:dyDescent="0.2">
      <c r="A1104" s="384" t="s">
        <v>1669</v>
      </c>
      <c r="B1104" s="382" t="s">
        <v>308</v>
      </c>
      <c r="C1104" s="893"/>
      <c r="D1104" s="898"/>
      <c r="E1104" s="485">
        <v>2</v>
      </c>
      <c r="F1104" s="196" t="s">
        <v>153</v>
      </c>
      <c r="G1104" s="382"/>
      <c r="H1104" s="492">
        <v>34.200000000000003</v>
      </c>
      <c r="I1104" s="891"/>
      <c r="J1104" s="461">
        <v>80760.857142857159</v>
      </c>
      <c r="K1104" s="486">
        <v>410583.31</v>
      </c>
    </row>
    <row r="1105" spans="1:11" ht="12.75" customHeight="1" x14ac:dyDescent="0.2">
      <c r="A1105" s="383" t="s">
        <v>1083</v>
      </c>
      <c r="B1105" s="382"/>
      <c r="C1105" s="893" t="s">
        <v>13047</v>
      </c>
      <c r="D1105" s="898">
        <v>15</v>
      </c>
      <c r="E1105" s="485"/>
      <c r="F1105" s="196"/>
      <c r="G1105" s="382"/>
      <c r="H1105" s="492">
        <f>72.1-72.1</f>
        <v>0</v>
      </c>
      <c r="I1105" s="891">
        <v>1960</v>
      </c>
      <c r="J1105" s="461">
        <f>197600-197600</f>
        <v>0</v>
      </c>
      <c r="K1105" s="486"/>
    </row>
    <row r="1106" spans="1:11" ht="12.75" customHeight="1" x14ac:dyDescent="0.2">
      <c r="A1106" s="384" t="s">
        <v>1084</v>
      </c>
      <c r="B1106" s="382" t="s">
        <v>308</v>
      </c>
      <c r="C1106" s="893"/>
      <c r="D1106" s="898"/>
      <c r="E1106" s="485">
        <v>1</v>
      </c>
      <c r="F1106" s="196" t="s">
        <v>154</v>
      </c>
      <c r="G1106" s="382"/>
      <c r="H1106" s="492">
        <v>36.700000000000003</v>
      </c>
      <c r="I1106" s="891"/>
      <c r="J1106" s="461">
        <v>100581.41470180306</v>
      </c>
      <c r="K1106" s="486">
        <v>440596.71</v>
      </c>
    </row>
    <row r="1107" spans="1:11" x14ac:dyDescent="0.2">
      <c r="A1107" s="384" t="s">
        <v>1085</v>
      </c>
      <c r="B1107" s="382" t="s">
        <v>308</v>
      </c>
      <c r="C1107" s="893"/>
      <c r="D1107" s="898"/>
      <c r="E1107" s="485">
        <v>2</v>
      </c>
      <c r="F1107" s="196" t="s">
        <v>155</v>
      </c>
      <c r="G1107" s="382"/>
      <c r="H1107" s="492">
        <v>35.4</v>
      </c>
      <c r="I1107" s="891"/>
      <c r="J1107" s="461">
        <v>97018.585298196951</v>
      </c>
      <c r="K1107" s="486">
        <v>424989.74</v>
      </c>
    </row>
    <row r="1108" spans="1:11" x14ac:dyDescent="0.2">
      <c r="A1108" s="383" t="s">
        <v>1087</v>
      </c>
      <c r="B1108" s="382"/>
      <c r="C1108" s="893" t="s">
        <v>13048</v>
      </c>
      <c r="D1108" s="898">
        <v>17</v>
      </c>
      <c r="E1108" s="485"/>
      <c r="F1108" s="196"/>
      <c r="G1108" s="382"/>
      <c r="H1108" s="492">
        <f>72.2-72.2</f>
        <v>0</v>
      </c>
      <c r="I1108" s="891">
        <v>1960</v>
      </c>
      <c r="J1108" s="461">
        <f>200700-200700</f>
        <v>0</v>
      </c>
      <c r="K1108" s="486"/>
    </row>
    <row r="1109" spans="1:11" ht="25.5" customHeight="1" x14ac:dyDescent="0.2">
      <c r="A1109" s="384" t="s">
        <v>1086</v>
      </c>
      <c r="B1109" s="382" t="s">
        <v>308</v>
      </c>
      <c r="C1109" s="893"/>
      <c r="D1109" s="898"/>
      <c r="E1109" s="485">
        <v>1</v>
      </c>
      <c r="F1109" s="196" t="s">
        <v>156</v>
      </c>
      <c r="G1109" s="382"/>
      <c r="H1109" s="492">
        <v>35.700000000000003</v>
      </c>
      <c r="I1109" s="891"/>
      <c r="J1109" s="461">
        <v>99238.088642659277</v>
      </c>
      <c r="K1109" s="486">
        <v>428591.35</v>
      </c>
    </row>
    <row r="1110" spans="1:11" ht="38.25" x14ac:dyDescent="0.2">
      <c r="A1110" s="383" t="s">
        <v>1088</v>
      </c>
      <c r="B1110" s="382" t="s">
        <v>308</v>
      </c>
      <c r="C1110" s="617" t="s">
        <v>13049</v>
      </c>
      <c r="D1110" s="619">
        <v>22</v>
      </c>
      <c r="E1110" s="485">
        <v>2</v>
      </c>
      <c r="F1110" s="196" t="s">
        <v>157</v>
      </c>
      <c r="G1110" s="382"/>
      <c r="H1110" s="492">
        <f>71.6-36.2</f>
        <v>35.399999999999991</v>
      </c>
      <c r="I1110" s="618">
        <v>1960</v>
      </c>
      <c r="J1110" s="461">
        <f>184336-91911</f>
        <v>92425</v>
      </c>
      <c r="K1110" s="486">
        <v>426190.28</v>
      </c>
    </row>
    <row r="1111" spans="1:11" ht="38.25" x14ac:dyDescent="0.2">
      <c r="A1111" s="383" t="s">
        <v>1089</v>
      </c>
      <c r="B1111" s="382" t="s">
        <v>308</v>
      </c>
      <c r="C1111" s="617" t="s">
        <v>13050</v>
      </c>
      <c r="D1111" s="619">
        <v>23</v>
      </c>
      <c r="E1111" s="485">
        <v>1</v>
      </c>
      <c r="F1111" s="196"/>
      <c r="G1111" s="382"/>
      <c r="H1111" s="492">
        <f>72.8-36.5</f>
        <v>36.299999999999997</v>
      </c>
      <c r="I1111" s="618">
        <v>1960</v>
      </c>
      <c r="J1111" s="461">
        <f>181200/72.8*36.3</f>
        <v>90351.0989010989</v>
      </c>
      <c r="K1111" s="486"/>
    </row>
    <row r="1112" spans="1:11" x14ac:dyDescent="0.2">
      <c r="A1112" s="383" t="s">
        <v>1090</v>
      </c>
      <c r="B1112" s="382"/>
      <c r="C1112" s="893" t="s">
        <v>13051</v>
      </c>
      <c r="D1112" s="898">
        <v>24</v>
      </c>
      <c r="E1112" s="485"/>
      <c r="F1112" s="196"/>
      <c r="G1112" s="382"/>
      <c r="H1112" s="492">
        <f>71.7-71.7</f>
        <v>0</v>
      </c>
      <c r="I1112" s="891">
        <v>1960</v>
      </c>
      <c r="J1112" s="461">
        <f>172700-172700</f>
        <v>0</v>
      </c>
      <c r="K1112" s="486"/>
    </row>
    <row r="1113" spans="1:11" ht="27" customHeight="1" x14ac:dyDescent="0.2">
      <c r="A1113" s="384" t="s">
        <v>1670</v>
      </c>
      <c r="B1113" s="382" t="s">
        <v>308</v>
      </c>
      <c r="C1113" s="893"/>
      <c r="D1113" s="898"/>
      <c r="E1113" s="485">
        <v>1</v>
      </c>
      <c r="F1113" s="196" t="s">
        <v>158</v>
      </c>
      <c r="G1113" s="382"/>
      <c r="H1113" s="492">
        <v>35.9</v>
      </c>
      <c r="I1113" s="891"/>
      <c r="J1113" s="461">
        <v>86470.432357043232</v>
      </c>
      <c r="K1113" s="486">
        <v>430992.42</v>
      </c>
    </row>
    <row r="1114" spans="1:11" x14ac:dyDescent="0.2">
      <c r="A1114" s="383" t="s">
        <v>1091</v>
      </c>
      <c r="B1114" s="382"/>
      <c r="C1114" s="893" t="s">
        <v>13052</v>
      </c>
      <c r="D1114" s="898">
        <v>25</v>
      </c>
      <c r="E1114" s="485"/>
      <c r="F1114" s="196"/>
      <c r="G1114" s="382"/>
      <c r="H1114" s="492">
        <f>73.3-73.3</f>
        <v>0</v>
      </c>
      <c r="I1114" s="891">
        <v>1960</v>
      </c>
      <c r="J1114" s="461">
        <f>181200-181200</f>
        <v>0</v>
      </c>
      <c r="K1114" s="486"/>
    </row>
    <row r="1115" spans="1:11" ht="24.75" customHeight="1" x14ac:dyDescent="0.2">
      <c r="A1115" s="384" t="s">
        <v>1671</v>
      </c>
      <c r="B1115" s="382" t="s">
        <v>308</v>
      </c>
      <c r="C1115" s="893"/>
      <c r="D1115" s="898"/>
      <c r="E1115" s="485">
        <v>2</v>
      </c>
      <c r="F1115" s="196" t="s">
        <v>159</v>
      </c>
      <c r="G1115" s="382"/>
      <c r="H1115" s="492">
        <v>34.700000000000003</v>
      </c>
      <c r="I1115" s="891"/>
      <c r="J1115" s="461">
        <v>85779.536152796703</v>
      </c>
      <c r="K1115" s="486">
        <v>416585.99</v>
      </c>
    </row>
    <row r="1116" spans="1:11" ht="41.25" customHeight="1" x14ac:dyDescent="0.2">
      <c r="A1116" s="383" t="s">
        <v>1092</v>
      </c>
      <c r="B1116" s="382" t="s">
        <v>308</v>
      </c>
      <c r="C1116" s="617" t="s">
        <v>13053</v>
      </c>
      <c r="D1116" s="619">
        <v>26</v>
      </c>
      <c r="E1116" s="485">
        <v>2</v>
      </c>
      <c r="F1116" s="196" t="s">
        <v>160</v>
      </c>
      <c r="G1116" s="382"/>
      <c r="H1116" s="492">
        <f>72.4-36.9</f>
        <v>35.500000000000007</v>
      </c>
      <c r="I1116" s="618">
        <v>1960</v>
      </c>
      <c r="J1116" s="461">
        <f>185976-94786</f>
        <v>91190</v>
      </c>
      <c r="K1116" s="486">
        <v>426190.28</v>
      </c>
    </row>
    <row r="1117" spans="1:11" ht="38.25" customHeight="1" x14ac:dyDescent="0.2">
      <c r="A1117" s="383" t="s">
        <v>1093</v>
      </c>
      <c r="B1117" s="382" t="s">
        <v>308</v>
      </c>
      <c r="C1117" s="617" t="s">
        <v>13054</v>
      </c>
      <c r="D1117" s="619">
        <v>29</v>
      </c>
      <c r="E1117" s="485">
        <v>2</v>
      </c>
      <c r="F1117" s="196" t="s">
        <v>161</v>
      </c>
      <c r="G1117" s="382"/>
      <c r="H1117" s="492">
        <f>76.7-38.4</f>
        <v>38.300000000000004</v>
      </c>
      <c r="I1117" s="618">
        <v>1960</v>
      </c>
      <c r="J1117" s="461">
        <f>171700/76.7*38.3</f>
        <v>85738.070404172089</v>
      </c>
      <c r="K1117" s="486">
        <v>459805.29</v>
      </c>
    </row>
    <row r="1118" spans="1:11" ht="38.25" x14ac:dyDescent="0.2">
      <c r="A1118" s="383" t="s">
        <v>1094</v>
      </c>
      <c r="B1118" s="382" t="s">
        <v>308</v>
      </c>
      <c r="C1118" s="617" t="s">
        <v>13055</v>
      </c>
      <c r="D1118" s="619">
        <v>31</v>
      </c>
      <c r="E1118" s="485">
        <v>1</v>
      </c>
      <c r="F1118" s="196"/>
      <c r="G1118" s="382"/>
      <c r="H1118" s="492">
        <f>73-35.3</f>
        <v>37.700000000000003</v>
      </c>
      <c r="I1118" s="618">
        <v>1960</v>
      </c>
      <c r="J1118" s="461">
        <f>176464-85331</f>
        <v>91133</v>
      </c>
      <c r="K1118" s="486"/>
    </row>
    <row r="1119" spans="1:11" ht="36.75" customHeight="1" x14ac:dyDescent="0.2">
      <c r="A1119" s="383" t="s">
        <v>1095</v>
      </c>
      <c r="B1119" s="382" t="s">
        <v>308</v>
      </c>
      <c r="C1119" s="617" t="s">
        <v>13056</v>
      </c>
      <c r="D1119" s="619">
        <v>33</v>
      </c>
      <c r="E1119" s="485">
        <v>1</v>
      </c>
      <c r="F1119" s="196" t="s">
        <v>162</v>
      </c>
      <c r="G1119" s="382"/>
      <c r="H1119" s="492">
        <f>71-35.8</f>
        <v>35.200000000000003</v>
      </c>
      <c r="I1119" s="618">
        <v>1960</v>
      </c>
      <c r="J1119" s="461">
        <f>171100/71*35.2</f>
        <v>84827.04225352114</v>
      </c>
      <c r="K1119" s="486">
        <v>422588.67</v>
      </c>
    </row>
    <row r="1120" spans="1:11" x14ac:dyDescent="0.2">
      <c r="A1120" s="383" t="s">
        <v>1096</v>
      </c>
      <c r="B1120" s="382"/>
      <c r="C1120" s="893" t="s">
        <v>13057</v>
      </c>
      <c r="D1120" s="898">
        <v>35</v>
      </c>
      <c r="E1120" s="485"/>
      <c r="F1120" s="196"/>
      <c r="G1120" s="382"/>
      <c r="H1120" s="492">
        <f>71-71</f>
        <v>0</v>
      </c>
      <c r="I1120" s="891">
        <v>1960</v>
      </c>
      <c r="J1120" s="461">
        <f>165300-165300</f>
        <v>0</v>
      </c>
      <c r="K1120" s="486"/>
    </row>
    <row r="1121" spans="1:11" ht="24" customHeight="1" x14ac:dyDescent="0.2">
      <c r="A1121" s="384" t="s">
        <v>1672</v>
      </c>
      <c r="B1121" s="382" t="s">
        <v>308</v>
      </c>
      <c r="C1121" s="893"/>
      <c r="D1121" s="898"/>
      <c r="E1121" s="485">
        <v>1</v>
      </c>
      <c r="F1121" s="196" t="s">
        <v>163</v>
      </c>
      <c r="G1121" s="382"/>
      <c r="H1121" s="492">
        <v>35.799999999999997</v>
      </c>
      <c r="I1121" s="891"/>
      <c r="J1121" s="461">
        <v>83348.450704225397</v>
      </c>
      <c r="K1121" s="486">
        <v>429791.89</v>
      </c>
    </row>
    <row r="1122" spans="1:11" ht="12.75" customHeight="1" x14ac:dyDescent="0.2">
      <c r="A1122" s="383" t="s">
        <v>1097</v>
      </c>
      <c r="B1122" s="382"/>
      <c r="C1122" s="877" t="s">
        <v>13058</v>
      </c>
      <c r="D1122" s="880">
        <v>15</v>
      </c>
      <c r="E1122" s="485"/>
      <c r="F1122" s="623"/>
      <c r="G1122" s="382"/>
      <c r="H1122" s="492">
        <f>363.7-363.7</f>
        <v>0</v>
      </c>
      <c r="I1122" s="883">
        <v>1985</v>
      </c>
      <c r="J1122" s="461">
        <f>1489400-1489400</f>
        <v>0</v>
      </c>
      <c r="K1122" s="486"/>
    </row>
    <row r="1123" spans="1:11" ht="24" customHeight="1" x14ac:dyDescent="0.2">
      <c r="A1123" s="384" t="s">
        <v>1673</v>
      </c>
      <c r="B1123" s="382" t="s">
        <v>308</v>
      </c>
      <c r="C1123" s="878"/>
      <c r="D1123" s="881"/>
      <c r="E1123" s="468">
        <v>2</v>
      </c>
      <c r="F1123" s="520"/>
      <c r="G1123" s="469"/>
      <c r="H1123" s="521">
        <v>42</v>
      </c>
      <c r="I1123" s="884"/>
      <c r="J1123" s="461">
        <v>171995.60076986501</v>
      </c>
      <c r="K1123" s="486"/>
    </row>
    <row r="1124" spans="1:11" ht="24" customHeight="1" x14ac:dyDescent="0.2">
      <c r="A1124" s="467" t="s">
        <v>13622</v>
      </c>
      <c r="B1124" s="467" t="s">
        <v>308</v>
      </c>
      <c r="C1124" s="879"/>
      <c r="D1124" s="882"/>
      <c r="E1124" s="523">
        <v>4</v>
      </c>
      <c r="F1124" s="520" t="s">
        <v>13623</v>
      </c>
      <c r="G1124" s="625" t="s">
        <v>143</v>
      </c>
      <c r="H1124" s="524">
        <v>55.5</v>
      </c>
      <c r="I1124" s="885"/>
      <c r="J1124" s="461">
        <v>792000</v>
      </c>
      <c r="K1124" s="486">
        <v>696437.86</v>
      </c>
    </row>
    <row r="1125" spans="1:11" ht="38.25" x14ac:dyDescent="0.2">
      <c r="A1125" s="383" t="s">
        <v>1098</v>
      </c>
      <c r="B1125" s="382" t="s">
        <v>308</v>
      </c>
      <c r="C1125" s="617" t="s">
        <v>13059</v>
      </c>
      <c r="D1125" s="619">
        <v>11</v>
      </c>
      <c r="E1125" s="485">
        <v>1</v>
      </c>
      <c r="F1125" s="623" t="s">
        <v>86</v>
      </c>
      <c r="G1125" s="382"/>
      <c r="H1125" s="492">
        <f>57.7-29.5</f>
        <v>28.200000000000003</v>
      </c>
      <c r="I1125" s="618">
        <v>1959</v>
      </c>
      <c r="J1125" s="461">
        <f>139700/57.7*28.2</f>
        <v>68276.256499133437</v>
      </c>
      <c r="K1125" s="486"/>
    </row>
    <row r="1126" spans="1:11" ht="38.25" x14ac:dyDescent="0.2">
      <c r="A1126" s="383" t="s">
        <v>1099</v>
      </c>
      <c r="B1126" s="382" t="s">
        <v>308</v>
      </c>
      <c r="C1126" s="617" t="s">
        <v>13060</v>
      </c>
      <c r="D1126" s="619">
        <v>34</v>
      </c>
      <c r="E1126" s="485">
        <v>1</v>
      </c>
      <c r="F1126" s="623"/>
      <c r="G1126" s="382"/>
      <c r="H1126" s="492">
        <f>57.3-35.2</f>
        <v>22.099999999999994</v>
      </c>
      <c r="I1126" s="618">
        <v>1959</v>
      </c>
      <c r="J1126" s="461">
        <f>135100/57.3*22.1</f>
        <v>52106.631762652716</v>
      </c>
      <c r="K1126" s="486">
        <v>229026.5</v>
      </c>
    </row>
    <row r="1127" spans="1:11" ht="38.25" x14ac:dyDescent="0.2">
      <c r="A1127" s="383" t="s">
        <v>1100</v>
      </c>
      <c r="B1127" s="382" t="s">
        <v>11567</v>
      </c>
      <c r="C1127" s="617" t="s">
        <v>13061</v>
      </c>
      <c r="D1127" s="619">
        <v>7</v>
      </c>
      <c r="E1127" s="485"/>
      <c r="F1127" s="623" t="s">
        <v>11629</v>
      </c>
      <c r="G1127" s="382"/>
      <c r="H1127" s="492">
        <v>56.8</v>
      </c>
      <c r="I1127" s="618">
        <v>1959</v>
      </c>
      <c r="J1127" s="461">
        <v>144200</v>
      </c>
      <c r="K1127" s="486">
        <v>452531.85</v>
      </c>
    </row>
    <row r="1128" spans="1:11" ht="37.5" customHeight="1" x14ac:dyDescent="0.2">
      <c r="A1128" s="383" t="s">
        <v>1101</v>
      </c>
      <c r="B1128" s="382" t="s">
        <v>11567</v>
      </c>
      <c r="C1128" s="617" t="s">
        <v>13062</v>
      </c>
      <c r="D1128" s="619">
        <v>21</v>
      </c>
      <c r="E1128" s="485"/>
      <c r="F1128" s="613" t="s">
        <v>11630</v>
      </c>
      <c r="G1128" s="382"/>
      <c r="H1128" s="492">
        <v>56.2</v>
      </c>
      <c r="I1128" s="618">
        <v>1959</v>
      </c>
      <c r="J1128" s="461">
        <v>150700</v>
      </c>
      <c r="K1128" s="486">
        <v>447751.58</v>
      </c>
    </row>
    <row r="1129" spans="1:11" x14ac:dyDescent="0.2">
      <c r="A1129" s="386" t="s">
        <v>12682</v>
      </c>
      <c r="B1129" s="467"/>
      <c r="C1129" s="877" t="s">
        <v>13801</v>
      </c>
      <c r="D1129" s="880">
        <v>1</v>
      </c>
      <c r="E1129" s="485"/>
      <c r="F1129" s="613"/>
      <c r="G1129" s="382"/>
      <c r="H1129" s="461">
        <f>1209.8-1209.8</f>
        <v>0</v>
      </c>
      <c r="I1129" s="883">
        <v>1966</v>
      </c>
      <c r="J1129" s="461">
        <f>3135024-3135024</f>
        <v>0</v>
      </c>
      <c r="K1129" s="486"/>
    </row>
    <row r="1130" spans="1:11" ht="27" customHeight="1" x14ac:dyDescent="0.2">
      <c r="A1130" s="382" t="s">
        <v>12683</v>
      </c>
      <c r="B1130" s="382" t="s">
        <v>308</v>
      </c>
      <c r="C1130" s="879"/>
      <c r="D1130" s="882"/>
      <c r="E1130" s="485">
        <v>18</v>
      </c>
      <c r="F1130" s="520" t="s">
        <v>12684</v>
      </c>
      <c r="G1130" s="382" t="s">
        <v>143</v>
      </c>
      <c r="H1130" s="461">
        <v>40.4</v>
      </c>
      <c r="I1130" s="885"/>
      <c r="J1130" s="461">
        <v>748180</v>
      </c>
      <c r="K1130" s="486">
        <v>748180.86</v>
      </c>
    </row>
    <row r="1131" spans="1:11" ht="22.5" customHeight="1" x14ac:dyDescent="0.2">
      <c r="A1131" s="383" t="s">
        <v>1102</v>
      </c>
      <c r="B1131" s="382"/>
      <c r="C1131" s="893" t="s">
        <v>13063</v>
      </c>
      <c r="D1131" s="898">
        <v>2</v>
      </c>
      <c r="E1131" s="485"/>
      <c r="F1131" s="623"/>
      <c r="G1131" s="382"/>
      <c r="H1131" s="461">
        <f>3675.3-3675.3</f>
        <v>0</v>
      </c>
      <c r="I1131" s="891">
        <v>1984</v>
      </c>
      <c r="J1131" s="461">
        <f>21274100-21274100</f>
        <v>0</v>
      </c>
      <c r="K1131" s="486"/>
    </row>
    <row r="1132" spans="1:11" ht="12.75" customHeight="1" x14ac:dyDescent="0.2">
      <c r="A1132" s="384" t="s">
        <v>1674</v>
      </c>
      <c r="B1132" s="382" t="s">
        <v>308</v>
      </c>
      <c r="C1132" s="893"/>
      <c r="D1132" s="898"/>
      <c r="E1132" s="468">
        <v>33</v>
      </c>
      <c r="F1132" s="520"/>
      <c r="G1132" s="469"/>
      <c r="H1132" s="528">
        <v>49.8</v>
      </c>
      <c r="I1132" s="891"/>
      <c r="J1132" s="461">
        <v>288262.23165455874</v>
      </c>
      <c r="K1132" s="486"/>
    </row>
    <row r="1133" spans="1:11" ht="12.75" customHeight="1" x14ac:dyDescent="0.2">
      <c r="A1133" s="384" t="s">
        <v>1675</v>
      </c>
      <c r="B1133" s="382" t="s">
        <v>308</v>
      </c>
      <c r="C1133" s="893"/>
      <c r="D1133" s="898"/>
      <c r="E1133" s="468">
        <v>57</v>
      </c>
      <c r="F1133" s="46"/>
      <c r="G1133" s="469"/>
      <c r="H1133" s="528">
        <v>55</v>
      </c>
      <c r="I1133" s="891"/>
      <c r="J1133" s="461">
        <v>318361.90242973354</v>
      </c>
      <c r="K1133" s="486"/>
    </row>
    <row r="1134" spans="1:11" x14ac:dyDescent="0.2">
      <c r="A1134" s="384" t="s">
        <v>1676</v>
      </c>
      <c r="B1134" s="382" t="s">
        <v>308</v>
      </c>
      <c r="C1134" s="893"/>
      <c r="D1134" s="898"/>
      <c r="E1134" s="468">
        <v>64</v>
      </c>
      <c r="F1134" s="46" t="s">
        <v>180</v>
      </c>
      <c r="G1134" s="469"/>
      <c r="H1134" s="528">
        <v>55.4</v>
      </c>
      <c r="I1134" s="891"/>
      <c r="J1134" s="461">
        <v>320677.26172013162</v>
      </c>
      <c r="K1134" s="486">
        <v>1104582.3600000001</v>
      </c>
    </row>
    <row r="1135" spans="1:11" ht="40.5" customHeight="1" x14ac:dyDescent="0.2">
      <c r="A1135" s="386" t="s">
        <v>1103</v>
      </c>
      <c r="B1135" s="382" t="s">
        <v>308</v>
      </c>
      <c r="C1135" s="617" t="s">
        <v>13064</v>
      </c>
      <c r="D1135" s="619">
        <v>15</v>
      </c>
      <c r="E1135" s="485">
        <v>3</v>
      </c>
      <c r="F1135" s="623" t="s">
        <v>281</v>
      </c>
      <c r="G1135" s="382"/>
      <c r="H1135" s="461">
        <f>317.2-237.5</f>
        <v>79.699999999999989</v>
      </c>
      <c r="I1135" s="618">
        <v>1993</v>
      </c>
      <c r="J1135" s="461">
        <v>31181.494325346786</v>
      </c>
      <c r="K1135" s="486">
        <v>825946.24</v>
      </c>
    </row>
    <row r="1136" spans="1:11" ht="38.25" x14ac:dyDescent="0.2">
      <c r="A1136" s="383" t="s">
        <v>1104</v>
      </c>
      <c r="B1136" s="382" t="s">
        <v>308</v>
      </c>
      <c r="C1136" s="617" t="s">
        <v>13065</v>
      </c>
      <c r="D1136" s="619">
        <v>20</v>
      </c>
      <c r="E1136" s="485">
        <v>2</v>
      </c>
      <c r="F1136" s="623"/>
      <c r="G1136" s="382"/>
      <c r="H1136" s="461">
        <f>219.6-179.6</f>
        <v>40</v>
      </c>
      <c r="I1136" s="618">
        <v>1933</v>
      </c>
      <c r="J1136" s="461">
        <f>127400/219.6*40</f>
        <v>23205.828779599273</v>
      </c>
      <c r="K1136" s="486"/>
    </row>
    <row r="1137" spans="1:11" ht="25.5" customHeight="1" x14ac:dyDescent="0.2">
      <c r="A1137" s="383" t="s">
        <v>1105</v>
      </c>
      <c r="B1137" s="382"/>
      <c r="C1137" s="893" t="s">
        <v>13066</v>
      </c>
      <c r="D1137" s="898">
        <v>21</v>
      </c>
      <c r="E1137" s="485"/>
      <c r="F1137" s="623"/>
      <c r="G1137" s="382"/>
      <c r="H1137" s="461">
        <f>410-410</f>
        <v>0</v>
      </c>
      <c r="I1137" s="891">
        <v>1949</v>
      </c>
      <c r="J1137" s="461">
        <f>1014500-1014500</f>
        <v>0</v>
      </c>
      <c r="K1137" s="486"/>
    </row>
    <row r="1138" spans="1:11" ht="12.75" customHeight="1" x14ac:dyDescent="0.2">
      <c r="A1138" s="384" t="s">
        <v>1677</v>
      </c>
      <c r="B1138" s="382" t="s">
        <v>308</v>
      </c>
      <c r="C1138" s="893"/>
      <c r="D1138" s="898"/>
      <c r="E1138" s="468">
        <v>2</v>
      </c>
      <c r="F1138" s="520"/>
      <c r="G1138" s="469"/>
      <c r="H1138" s="528">
        <v>47.4</v>
      </c>
      <c r="I1138" s="891"/>
      <c r="J1138" s="461">
        <v>117286.09756097561</v>
      </c>
      <c r="K1138" s="486"/>
    </row>
    <row r="1139" spans="1:11" x14ac:dyDescent="0.2">
      <c r="A1139" s="384" t="s">
        <v>1678</v>
      </c>
      <c r="B1139" s="382" t="s">
        <v>308</v>
      </c>
      <c r="C1139" s="893"/>
      <c r="D1139" s="898"/>
      <c r="E1139" s="468">
        <v>4</v>
      </c>
      <c r="F1139" s="520"/>
      <c r="G1139" s="469"/>
      <c r="H1139" s="528">
        <v>39.700000000000003</v>
      </c>
      <c r="I1139" s="891"/>
      <c r="J1139" s="461">
        <v>98233.29268292684</v>
      </c>
      <c r="K1139" s="486"/>
    </row>
    <row r="1140" spans="1:11" x14ac:dyDescent="0.2">
      <c r="A1140" s="383" t="s">
        <v>1106</v>
      </c>
      <c r="B1140" s="382"/>
      <c r="C1140" s="893" t="s">
        <v>13067</v>
      </c>
      <c r="D1140" s="898">
        <v>3</v>
      </c>
      <c r="E1140" s="485"/>
      <c r="F1140" s="623"/>
      <c r="G1140" s="382"/>
      <c r="H1140" s="529">
        <f>1085.3-1085.3</f>
        <v>0</v>
      </c>
      <c r="I1140" s="891">
        <v>1965</v>
      </c>
      <c r="J1140" s="461">
        <f>2669400-2669400</f>
        <v>0</v>
      </c>
      <c r="K1140" s="486"/>
    </row>
    <row r="1141" spans="1:11" ht="25.5" customHeight="1" x14ac:dyDescent="0.2">
      <c r="A1141" s="384" t="s">
        <v>1107</v>
      </c>
      <c r="B1141" s="382" t="s">
        <v>308</v>
      </c>
      <c r="C1141" s="893"/>
      <c r="D1141" s="898"/>
      <c r="E1141" s="468">
        <v>18</v>
      </c>
      <c r="F1141" s="46" t="s">
        <v>181</v>
      </c>
      <c r="G1141" s="469"/>
      <c r="H1141" s="528">
        <v>32.799999999999997</v>
      </c>
      <c r="I1141" s="891"/>
      <c r="J1141" s="461">
        <v>80674.762738413338</v>
      </c>
      <c r="K1141" s="486">
        <v>464612.66</v>
      </c>
    </row>
    <row r="1142" spans="1:11" ht="24" customHeight="1" x14ac:dyDescent="0.2">
      <c r="A1142" s="383" t="s">
        <v>1108</v>
      </c>
      <c r="B1142" s="382"/>
      <c r="C1142" s="893" t="s">
        <v>13068</v>
      </c>
      <c r="D1142" s="898">
        <v>7</v>
      </c>
      <c r="E1142" s="485"/>
      <c r="F1142" s="623"/>
      <c r="G1142" s="486"/>
      <c r="H1142" s="529">
        <f>1490.3-1490.3</f>
        <v>0</v>
      </c>
      <c r="I1142" s="891">
        <v>1958</v>
      </c>
      <c r="J1142" s="461">
        <f>4816516-4816516</f>
        <v>0</v>
      </c>
      <c r="K1142" s="486"/>
    </row>
    <row r="1143" spans="1:11" ht="12.75" customHeight="1" x14ac:dyDescent="0.2">
      <c r="A1143" s="384" t="s">
        <v>1109</v>
      </c>
      <c r="B1143" s="382" t="s">
        <v>308</v>
      </c>
      <c r="C1143" s="893"/>
      <c r="D1143" s="898"/>
      <c r="E1143" s="382">
        <v>1</v>
      </c>
      <c r="F1143" s="520"/>
      <c r="G1143" s="468"/>
      <c r="H1143" s="528">
        <v>18.5</v>
      </c>
      <c r="I1143" s="891"/>
      <c r="J1143" s="461">
        <v>59790.142924243439</v>
      </c>
      <c r="K1143" s="486"/>
    </row>
    <row r="1144" spans="1:11" ht="14.25" customHeight="1" x14ac:dyDescent="0.2">
      <c r="A1144" s="384" t="s">
        <v>1110</v>
      </c>
      <c r="B1144" s="382" t="s">
        <v>308</v>
      </c>
      <c r="C1144" s="893"/>
      <c r="D1144" s="898"/>
      <c r="E1144" s="382">
        <v>2</v>
      </c>
      <c r="F1144" s="520"/>
      <c r="G1144" s="468"/>
      <c r="H1144" s="528">
        <v>18</v>
      </c>
      <c r="I1144" s="891"/>
      <c r="J1144" s="461">
        <v>58174.193115480106</v>
      </c>
      <c r="K1144" s="486"/>
    </row>
    <row r="1145" spans="1:11" x14ac:dyDescent="0.2">
      <c r="A1145" s="384" t="s">
        <v>1111</v>
      </c>
      <c r="B1145" s="382" t="s">
        <v>308</v>
      </c>
      <c r="C1145" s="893"/>
      <c r="D1145" s="898"/>
      <c r="E1145" s="382">
        <v>3</v>
      </c>
      <c r="F1145" s="520"/>
      <c r="G1145" s="468"/>
      <c r="H1145" s="528">
        <v>16</v>
      </c>
      <c r="I1145" s="891"/>
      <c r="J1145" s="461">
        <v>51710.39388042676</v>
      </c>
      <c r="K1145" s="486"/>
    </row>
    <row r="1146" spans="1:11" x14ac:dyDescent="0.2">
      <c r="A1146" s="384" t="s">
        <v>1112</v>
      </c>
      <c r="B1146" s="382" t="s">
        <v>308</v>
      </c>
      <c r="C1146" s="893"/>
      <c r="D1146" s="898"/>
      <c r="E1146" s="382">
        <v>4</v>
      </c>
      <c r="F1146" s="520"/>
      <c r="G1146" s="468"/>
      <c r="H1146" s="528">
        <v>17</v>
      </c>
      <c r="I1146" s="891"/>
      <c r="J1146" s="461">
        <v>54942.293497953433</v>
      </c>
      <c r="K1146" s="486"/>
    </row>
    <row r="1147" spans="1:11" ht="12.75" customHeight="1" x14ac:dyDescent="0.2">
      <c r="A1147" s="384" t="s">
        <v>1679</v>
      </c>
      <c r="B1147" s="382" t="s">
        <v>308</v>
      </c>
      <c r="C1147" s="893"/>
      <c r="D1147" s="898"/>
      <c r="E1147" s="382">
        <v>5</v>
      </c>
      <c r="F1147" s="520"/>
      <c r="G1147" s="468"/>
      <c r="H1147" s="528">
        <v>19</v>
      </c>
      <c r="I1147" s="891"/>
      <c r="J1147" s="461">
        <v>61406.092733006779</v>
      </c>
      <c r="K1147" s="486"/>
    </row>
    <row r="1148" spans="1:11" x14ac:dyDescent="0.2">
      <c r="A1148" s="384" t="s">
        <v>1680</v>
      </c>
      <c r="B1148" s="382" t="s">
        <v>308</v>
      </c>
      <c r="C1148" s="893"/>
      <c r="D1148" s="898"/>
      <c r="E1148" s="382">
        <v>6</v>
      </c>
      <c r="F1148" s="520"/>
      <c r="G1148" s="468"/>
      <c r="H1148" s="528">
        <v>19</v>
      </c>
      <c r="I1148" s="891"/>
      <c r="J1148" s="461">
        <v>61406.092733006779</v>
      </c>
      <c r="K1148" s="486"/>
    </row>
    <row r="1149" spans="1:11" x14ac:dyDescent="0.2">
      <c r="A1149" s="384" t="s">
        <v>1681</v>
      </c>
      <c r="B1149" s="382" t="s">
        <v>308</v>
      </c>
      <c r="C1149" s="893"/>
      <c r="D1149" s="898"/>
      <c r="E1149" s="382">
        <v>7</v>
      </c>
      <c r="F1149" s="520"/>
      <c r="G1149" s="468"/>
      <c r="H1149" s="528">
        <v>18.5</v>
      </c>
      <c r="I1149" s="891"/>
      <c r="J1149" s="461">
        <v>59790.142924243439</v>
      </c>
      <c r="K1149" s="486"/>
    </row>
    <row r="1150" spans="1:11" ht="12.75" customHeight="1" x14ac:dyDescent="0.2">
      <c r="A1150" s="384" t="s">
        <v>1682</v>
      </c>
      <c r="B1150" s="382" t="s">
        <v>308</v>
      </c>
      <c r="C1150" s="893"/>
      <c r="D1150" s="898"/>
      <c r="E1150" s="382">
        <v>8</v>
      </c>
      <c r="F1150" s="520"/>
      <c r="G1150" s="468"/>
      <c r="H1150" s="528">
        <v>19</v>
      </c>
      <c r="I1150" s="891"/>
      <c r="J1150" s="461">
        <v>61406.092733006779</v>
      </c>
      <c r="K1150" s="486"/>
    </row>
    <row r="1151" spans="1:11" x14ac:dyDescent="0.2">
      <c r="A1151" s="384" t="s">
        <v>1683</v>
      </c>
      <c r="B1151" s="382" t="s">
        <v>308</v>
      </c>
      <c r="C1151" s="893"/>
      <c r="D1151" s="898"/>
      <c r="E1151" s="382">
        <v>9</v>
      </c>
      <c r="F1151" s="520"/>
      <c r="G1151" s="468"/>
      <c r="H1151" s="528">
        <v>18.5</v>
      </c>
      <c r="I1151" s="891"/>
      <c r="J1151" s="461">
        <v>59790.142924243439</v>
      </c>
      <c r="K1151" s="486"/>
    </row>
    <row r="1152" spans="1:11" x14ac:dyDescent="0.2">
      <c r="A1152" s="384" t="s">
        <v>1684</v>
      </c>
      <c r="B1152" s="382" t="s">
        <v>308</v>
      </c>
      <c r="C1152" s="893"/>
      <c r="D1152" s="898"/>
      <c r="E1152" s="382">
        <v>10</v>
      </c>
      <c r="F1152" s="520"/>
      <c r="G1152" s="468"/>
      <c r="H1152" s="528">
        <v>18</v>
      </c>
      <c r="I1152" s="891"/>
      <c r="J1152" s="461">
        <v>58174.193115480106</v>
      </c>
      <c r="K1152" s="486"/>
    </row>
    <row r="1153" spans="1:11" ht="12.75" customHeight="1" x14ac:dyDescent="0.2">
      <c r="A1153" s="384" t="s">
        <v>1685</v>
      </c>
      <c r="B1153" s="382" t="s">
        <v>308</v>
      </c>
      <c r="C1153" s="893"/>
      <c r="D1153" s="898"/>
      <c r="E1153" s="382">
        <v>11</v>
      </c>
      <c r="F1153" s="520"/>
      <c r="G1153" s="468"/>
      <c r="H1153" s="528">
        <v>19</v>
      </c>
      <c r="I1153" s="891"/>
      <c r="J1153" s="461">
        <v>61406.092733006779</v>
      </c>
      <c r="K1153" s="486"/>
    </row>
    <row r="1154" spans="1:11" x14ac:dyDescent="0.2">
      <c r="A1154" s="384" t="s">
        <v>1686</v>
      </c>
      <c r="B1154" s="382" t="s">
        <v>308</v>
      </c>
      <c r="C1154" s="893"/>
      <c r="D1154" s="898"/>
      <c r="E1154" s="382">
        <v>12</v>
      </c>
      <c r="F1154" s="520"/>
      <c r="G1154" s="468"/>
      <c r="H1154" s="528">
        <v>19</v>
      </c>
      <c r="I1154" s="891"/>
      <c r="J1154" s="461">
        <v>61406.092733006779</v>
      </c>
      <c r="K1154" s="486"/>
    </row>
    <row r="1155" spans="1:11" x14ac:dyDescent="0.2">
      <c r="A1155" s="384" t="s">
        <v>1687</v>
      </c>
      <c r="B1155" s="382" t="s">
        <v>308</v>
      </c>
      <c r="C1155" s="893"/>
      <c r="D1155" s="898"/>
      <c r="E1155" s="382">
        <v>13</v>
      </c>
      <c r="F1155" s="520"/>
      <c r="G1155" s="468"/>
      <c r="H1155" s="528">
        <v>18.5</v>
      </c>
      <c r="I1155" s="891"/>
      <c r="J1155" s="461">
        <v>59790.142924243439</v>
      </c>
      <c r="K1155" s="486"/>
    </row>
    <row r="1156" spans="1:11" x14ac:dyDescent="0.2">
      <c r="A1156" s="384" t="s">
        <v>1688</v>
      </c>
      <c r="B1156" s="382" t="s">
        <v>308</v>
      </c>
      <c r="C1156" s="893"/>
      <c r="D1156" s="898"/>
      <c r="E1156" s="382">
        <v>14</v>
      </c>
      <c r="F1156" s="520"/>
      <c r="G1156" s="468"/>
      <c r="H1156" s="528">
        <v>19</v>
      </c>
      <c r="I1156" s="891"/>
      <c r="J1156" s="461">
        <v>61406.092733006779</v>
      </c>
      <c r="K1156" s="486"/>
    </row>
    <row r="1157" spans="1:11" x14ac:dyDescent="0.2">
      <c r="A1157" s="384" t="s">
        <v>1689</v>
      </c>
      <c r="B1157" s="382" t="s">
        <v>308</v>
      </c>
      <c r="C1157" s="893"/>
      <c r="D1157" s="898"/>
      <c r="E1157" s="382">
        <v>15</v>
      </c>
      <c r="F1157" s="520"/>
      <c r="G1157" s="468"/>
      <c r="H1157" s="528">
        <v>19</v>
      </c>
      <c r="I1157" s="891"/>
      <c r="J1157" s="461">
        <v>61406.092733006779</v>
      </c>
      <c r="K1157" s="486"/>
    </row>
    <row r="1158" spans="1:11" x14ac:dyDescent="0.2">
      <c r="A1158" s="384" t="s">
        <v>1690</v>
      </c>
      <c r="B1158" s="382" t="s">
        <v>308</v>
      </c>
      <c r="C1158" s="893"/>
      <c r="D1158" s="898"/>
      <c r="E1158" s="382">
        <v>16</v>
      </c>
      <c r="F1158" s="520"/>
      <c r="G1158" s="468"/>
      <c r="H1158" s="528">
        <v>18.5</v>
      </c>
      <c r="I1158" s="891"/>
      <c r="J1158" s="461">
        <v>59790.142924243439</v>
      </c>
      <c r="K1158" s="486"/>
    </row>
    <row r="1159" spans="1:11" ht="12.75" customHeight="1" x14ac:dyDescent="0.2">
      <c r="A1159" s="384" t="s">
        <v>1691</v>
      </c>
      <c r="B1159" s="382" t="s">
        <v>308</v>
      </c>
      <c r="C1159" s="893"/>
      <c r="D1159" s="898"/>
      <c r="E1159" s="382">
        <v>17</v>
      </c>
      <c r="F1159" s="520"/>
      <c r="G1159" s="468"/>
      <c r="H1159" s="528">
        <v>18</v>
      </c>
      <c r="I1159" s="891"/>
      <c r="J1159" s="461">
        <v>58174.193115480106</v>
      </c>
      <c r="K1159" s="486"/>
    </row>
    <row r="1160" spans="1:11" x14ac:dyDescent="0.2">
      <c r="A1160" s="384" t="s">
        <v>1692</v>
      </c>
      <c r="B1160" s="382" t="s">
        <v>308</v>
      </c>
      <c r="C1160" s="893"/>
      <c r="D1160" s="898"/>
      <c r="E1160" s="382">
        <v>18</v>
      </c>
      <c r="F1160" s="520"/>
      <c r="G1160" s="468"/>
      <c r="H1160" s="528">
        <v>16.2</v>
      </c>
      <c r="I1160" s="891"/>
      <c r="J1160" s="461">
        <v>52356.77380393209</v>
      </c>
      <c r="K1160" s="486"/>
    </row>
    <row r="1161" spans="1:11" ht="12.75" customHeight="1" x14ac:dyDescent="0.2">
      <c r="A1161" s="384" t="s">
        <v>1693</v>
      </c>
      <c r="B1161" s="382" t="s">
        <v>308</v>
      </c>
      <c r="C1161" s="893"/>
      <c r="D1161" s="898"/>
      <c r="E1161" s="382">
        <v>19</v>
      </c>
      <c r="F1161" s="520"/>
      <c r="G1161" s="468"/>
      <c r="H1161" s="528">
        <v>18</v>
      </c>
      <c r="I1161" s="891"/>
      <c r="J1161" s="461">
        <v>58174.193115480106</v>
      </c>
      <c r="K1161" s="486"/>
    </row>
    <row r="1162" spans="1:11" x14ac:dyDescent="0.2">
      <c r="A1162" s="384" t="s">
        <v>1694</v>
      </c>
      <c r="B1162" s="382" t="s">
        <v>308</v>
      </c>
      <c r="C1162" s="893"/>
      <c r="D1162" s="898"/>
      <c r="E1162" s="382">
        <v>20</v>
      </c>
      <c r="F1162" s="520"/>
      <c r="G1162" s="468"/>
      <c r="H1162" s="528">
        <v>14.5</v>
      </c>
      <c r="I1162" s="891"/>
      <c r="J1162" s="461">
        <v>46862.544454136754</v>
      </c>
      <c r="K1162" s="486"/>
    </row>
    <row r="1163" spans="1:11" x14ac:dyDescent="0.2">
      <c r="A1163" s="384" t="s">
        <v>1695</v>
      </c>
      <c r="B1163" s="382" t="s">
        <v>308</v>
      </c>
      <c r="C1163" s="893"/>
      <c r="D1163" s="898"/>
      <c r="E1163" s="382">
        <v>21</v>
      </c>
      <c r="F1163" s="520"/>
      <c r="G1163" s="468"/>
      <c r="H1163" s="528">
        <v>18</v>
      </c>
      <c r="I1163" s="891"/>
      <c r="J1163" s="461">
        <v>58174.193115480106</v>
      </c>
      <c r="K1163" s="486"/>
    </row>
    <row r="1164" spans="1:11" x14ac:dyDescent="0.2">
      <c r="A1164" s="384" t="s">
        <v>1696</v>
      </c>
      <c r="B1164" s="382" t="s">
        <v>308</v>
      </c>
      <c r="C1164" s="893"/>
      <c r="D1164" s="898"/>
      <c r="E1164" s="382">
        <v>22</v>
      </c>
      <c r="F1164" s="520"/>
      <c r="G1164" s="468"/>
      <c r="H1164" s="528">
        <v>18</v>
      </c>
      <c r="I1164" s="891"/>
      <c r="J1164" s="461">
        <v>58174.193115480106</v>
      </c>
      <c r="K1164" s="486"/>
    </row>
    <row r="1165" spans="1:11" x14ac:dyDescent="0.2">
      <c r="A1165" s="384" t="s">
        <v>1697</v>
      </c>
      <c r="B1165" s="382" t="s">
        <v>308</v>
      </c>
      <c r="C1165" s="893"/>
      <c r="D1165" s="898"/>
      <c r="E1165" s="382">
        <v>23</v>
      </c>
      <c r="F1165" s="520"/>
      <c r="G1165" s="468"/>
      <c r="H1165" s="528">
        <v>18</v>
      </c>
      <c r="I1165" s="891"/>
      <c r="J1165" s="461">
        <v>58174.193115480106</v>
      </c>
      <c r="K1165" s="486"/>
    </row>
    <row r="1166" spans="1:11" x14ac:dyDescent="0.2">
      <c r="A1166" s="384" t="s">
        <v>1698</v>
      </c>
      <c r="B1166" s="382" t="s">
        <v>308</v>
      </c>
      <c r="C1166" s="893"/>
      <c r="D1166" s="898"/>
      <c r="E1166" s="382">
        <v>24</v>
      </c>
      <c r="F1166" s="520"/>
      <c r="G1166" s="468"/>
      <c r="H1166" s="528">
        <v>16</v>
      </c>
      <c r="I1166" s="891"/>
      <c r="J1166" s="461">
        <v>51710.39388042676</v>
      </c>
      <c r="K1166" s="486"/>
    </row>
    <row r="1167" spans="1:11" ht="12.75" customHeight="1" x14ac:dyDescent="0.2">
      <c r="A1167" s="384" t="s">
        <v>1699</v>
      </c>
      <c r="B1167" s="382" t="s">
        <v>308</v>
      </c>
      <c r="C1167" s="893"/>
      <c r="D1167" s="898"/>
      <c r="E1167" s="382">
        <v>25</v>
      </c>
      <c r="F1167" s="520"/>
      <c r="G1167" s="468"/>
      <c r="H1167" s="528">
        <v>19</v>
      </c>
      <c r="I1167" s="891"/>
      <c r="J1167" s="461">
        <v>61406.092733006779</v>
      </c>
      <c r="K1167" s="486"/>
    </row>
    <row r="1168" spans="1:11" x14ac:dyDescent="0.2">
      <c r="A1168" s="384" t="s">
        <v>1700</v>
      </c>
      <c r="B1168" s="382" t="s">
        <v>308</v>
      </c>
      <c r="C1168" s="893"/>
      <c r="D1168" s="898"/>
      <c r="E1168" s="382">
        <v>26</v>
      </c>
      <c r="F1168" s="520"/>
      <c r="G1168" s="468"/>
      <c r="H1168" s="528">
        <v>19</v>
      </c>
      <c r="I1168" s="891"/>
      <c r="J1168" s="461">
        <v>61406.092733006779</v>
      </c>
      <c r="K1168" s="486"/>
    </row>
    <row r="1169" spans="1:11" ht="12.75" customHeight="1" x14ac:dyDescent="0.2">
      <c r="A1169" s="384" t="s">
        <v>1701</v>
      </c>
      <c r="B1169" s="382" t="s">
        <v>308</v>
      </c>
      <c r="C1169" s="893"/>
      <c r="D1169" s="898"/>
      <c r="E1169" s="382">
        <v>27</v>
      </c>
      <c r="F1169" s="520"/>
      <c r="G1169" s="468"/>
      <c r="H1169" s="528">
        <v>18.5</v>
      </c>
      <c r="I1169" s="891"/>
      <c r="J1169" s="461">
        <v>59790.142924243439</v>
      </c>
      <c r="K1169" s="486"/>
    </row>
    <row r="1170" spans="1:11" x14ac:dyDescent="0.2">
      <c r="A1170" s="384" t="s">
        <v>1702</v>
      </c>
      <c r="B1170" s="382" t="s">
        <v>308</v>
      </c>
      <c r="C1170" s="893"/>
      <c r="D1170" s="898"/>
      <c r="E1170" s="382">
        <v>28</v>
      </c>
      <c r="F1170" s="520"/>
      <c r="G1170" s="468"/>
      <c r="H1170" s="528">
        <v>18.5</v>
      </c>
      <c r="I1170" s="891"/>
      <c r="J1170" s="461">
        <v>59790.142924243439</v>
      </c>
      <c r="K1170" s="486"/>
    </row>
    <row r="1171" spans="1:11" x14ac:dyDescent="0.2">
      <c r="A1171" s="384" t="s">
        <v>1703</v>
      </c>
      <c r="B1171" s="382" t="s">
        <v>308</v>
      </c>
      <c r="C1171" s="893"/>
      <c r="D1171" s="898"/>
      <c r="E1171" s="382">
        <v>29</v>
      </c>
      <c r="F1171" s="520"/>
      <c r="G1171" s="468"/>
      <c r="H1171" s="528">
        <v>18</v>
      </c>
      <c r="I1171" s="891"/>
      <c r="J1171" s="461">
        <v>58174.193115480106</v>
      </c>
      <c r="K1171" s="486"/>
    </row>
    <row r="1172" spans="1:11" x14ac:dyDescent="0.2">
      <c r="A1172" s="384" t="s">
        <v>1704</v>
      </c>
      <c r="B1172" s="382" t="s">
        <v>308</v>
      </c>
      <c r="C1172" s="893"/>
      <c r="D1172" s="898"/>
      <c r="E1172" s="382">
        <v>30</v>
      </c>
      <c r="F1172" s="520"/>
      <c r="G1172" s="468"/>
      <c r="H1172" s="528">
        <v>18.5</v>
      </c>
      <c r="I1172" s="891"/>
      <c r="J1172" s="461">
        <v>59790.142924243439</v>
      </c>
      <c r="K1172" s="486"/>
    </row>
    <row r="1173" spans="1:11" x14ac:dyDescent="0.2">
      <c r="A1173" s="384" t="s">
        <v>1705</v>
      </c>
      <c r="B1173" s="382" t="s">
        <v>308</v>
      </c>
      <c r="C1173" s="893"/>
      <c r="D1173" s="898"/>
      <c r="E1173" s="382">
        <v>31</v>
      </c>
      <c r="F1173" s="520"/>
      <c r="G1173" s="468"/>
      <c r="H1173" s="528">
        <v>18.5</v>
      </c>
      <c r="I1173" s="891"/>
      <c r="J1173" s="461">
        <v>59790.142924243439</v>
      </c>
      <c r="K1173" s="486"/>
    </row>
    <row r="1174" spans="1:11" x14ac:dyDescent="0.2">
      <c r="A1174" s="384" t="s">
        <v>1706</v>
      </c>
      <c r="B1174" s="382" t="s">
        <v>308</v>
      </c>
      <c r="C1174" s="893"/>
      <c r="D1174" s="898"/>
      <c r="E1174" s="382">
        <v>32</v>
      </c>
      <c r="F1174" s="520"/>
      <c r="G1174" s="468"/>
      <c r="H1174" s="528">
        <v>18.5</v>
      </c>
      <c r="I1174" s="891"/>
      <c r="J1174" s="461">
        <v>59790.142924243439</v>
      </c>
      <c r="K1174" s="486"/>
    </row>
    <row r="1175" spans="1:11" x14ac:dyDescent="0.2">
      <c r="A1175" s="384" t="s">
        <v>1707</v>
      </c>
      <c r="B1175" s="382" t="s">
        <v>308</v>
      </c>
      <c r="C1175" s="893"/>
      <c r="D1175" s="898"/>
      <c r="E1175" s="382">
        <v>33</v>
      </c>
      <c r="F1175" s="520"/>
      <c r="G1175" s="468"/>
      <c r="H1175" s="528">
        <v>18.5</v>
      </c>
      <c r="I1175" s="891"/>
      <c r="J1175" s="461">
        <v>59790.142924243439</v>
      </c>
      <c r="K1175" s="486"/>
    </row>
    <row r="1176" spans="1:11" ht="12.75" customHeight="1" x14ac:dyDescent="0.2">
      <c r="A1176" s="384" t="s">
        <v>1708</v>
      </c>
      <c r="B1176" s="382" t="s">
        <v>308</v>
      </c>
      <c r="C1176" s="893"/>
      <c r="D1176" s="898"/>
      <c r="E1176" s="382">
        <v>34</v>
      </c>
      <c r="F1176" s="520"/>
      <c r="G1176" s="468"/>
      <c r="H1176" s="528">
        <v>19</v>
      </c>
      <c r="I1176" s="891"/>
      <c r="J1176" s="461">
        <v>61406.092733006779</v>
      </c>
      <c r="K1176" s="486"/>
    </row>
    <row r="1177" spans="1:11" x14ac:dyDescent="0.2">
      <c r="A1177" s="384" t="s">
        <v>1709</v>
      </c>
      <c r="B1177" s="382" t="s">
        <v>308</v>
      </c>
      <c r="C1177" s="893"/>
      <c r="D1177" s="898"/>
      <c r="E1177" s="382">
        <v>35</v>
      </c>
      <c r="F1177" s="520"/>
      <c r="G1177" s="468"/>
      <c r="H1177" s="528">
        <v>18.5</v>
      </c>
      <c r="I1177" s="891"/>
      <c r="J1177" s="461">
        <v>59790.142924243439</v>
      </c>
      <c r="K1177" s="486"/>
    </row>
    <row r="1178" spans="1:11" x14ac:dyDescent="0.2">
      <c r="A1178" s="384" t="s">
        <v>1710</v>
      </c>
      <c r="B1178" s="382" t="s">
        <v>308</v>
      </c>
      <c r="C1178" s="893"/>
      <c r="D1178" s="898"/>
      <c r="E1178" s="382">
        <v>36</v>
      </c>
      <c r="F1178" s="520"/>
      <c r="G1178" s="468"/>
      <c r="H1178" s="528">
        <v>19</v>
      </c>
      <c r="I1178" s="891"/>
      <c r="J1178" s="461">
        <v>61406.092733006779</v>
      </c>
      <c r="K1178" s="486"/>
    </row>
    <row r="1179" spans="1:11" x14ac:dyDescent="0.2">
      <c r="A1179" s="384" t="s">
        <v>1711</v>
      </c>
      <c r="B1179" s="382" t="s">
        <v>308</v>
      </c>
      <c r="C1179" s="893"/>
      <c r="D1179" s="898"/>
      <c r="E1179" s="382">
        <v>37</v>
      </c>
      <c r="F1179" s="520"/>
      <c r="G1179" s="468"/>
      <c r="H1179" s="528">
        <v>18.5</v>
      </c>
      <c r="I1179" s="891"/>
      <c r="J1179" s="461">
        <v>59790.142924243439</v>
      </c>
      <c r="K1179" s="486"/>
    </row>
    <row r="1180" spans="1:11" x14ac:dyDescent="0.2">
      <c r="A1180" s="384" t="s">
        <v>1712</v>
      </c>
      <c r="B1180" s="382" t="s">
        <v>308</v>
      </c>
      <c r="C1180" s="893"/>
      <c r="D1180" s="898"/>
      <c r="E1180" s="382">
        <v>38</v>
      </c>
      <c r="F1180" s="520"/>
      <c r="G1180" s="468"/>
      <c r="H1180" s="528">
        <v>18</v>
      </c>
      <c r="I1180" s="891"/>
      <c r="J1180" s="461">
        <v>58174.193115480106</v>
      </c>
      <c r="K1180" s="486"/>
    </row>
    <row r="1181" spans="1:11" x14ac:dyDescent="0.2">
      <c r="A1181" s="384" t="s">
        <v>1713</v>
      </c>
      <c r="B1181" s="382" t="s">
        <v>308</v>
      </c>
      <c r="C1181" s="893"/>
      <c r="D1181" s="898"/>
      <c r="E1181" s="382">
        <v>39</v>
      </c>
      <c r="F1181" s="520"/>
      <c r="G1181" s="468"/>
      <c r="H1181" s="528">
        <v>14</v>
      </c>
      <c r="I1181" s="891"/>
      <c r="J1181" s="461">
        <v>45246.594645373414</v>
      </c>
      <c r="K1181" s="486"/>
    </row>
    <row r="1182" spans="1:11" x14ac:dyDescent="0.2">
      <c r="A1182" s="384" t="s">
        <v>1714</v>
      </c>
      <c r="B1182" s="382" t="s">
        <v>308</v>
      </c>
      <c r="C1182" s="893"/>
      <c r="D1182" s="898"/>
      <c r="E1182" s="382">
        <v>40</v>
      </c>
      <c r="F1182" s="520"/>
      <c r="G1182" s="468"/>
      <c r="H1182" s="528">
        <v>15.5</v>
      </c>
      <c r="I1182" s="891"/>
      <c r="J1182" s="461">
        <v>50094.444071663427</v>
      </c>
      <c r="K1182" s="486"/>
    </row>
    <row r="1183" spans="1:11" ht="12.75" customHeight="1" x14ac:dyDescent="0.2">
      <c r="A1183" s="384" t="s">
        <v>1715</v>
      </c>
      <c r="B1183" s="382" t="s">
        <v>308</v>
      </c>
      <c r="C1183" s="893"/>
      <c r="D1183" s="898"/>
      <c r="E1183" s="382">
        <v>41</v>
      </c>
      <c r="F1183" s="520"/>
      <c r="G1183" s="468"/>
      <c r="H1183" s="528">
        <v>18.5</v>
      </c>
      <c r="I1183" s="891"/>
      <c r="J1183" s="461">
        <v>59790.142924243439</v>
      </c>
      <c r="K1183" s="486"/>
    </row>
    <row r="1184" spans="1:11" x14ac:dyDescent="0.2">
      <c r="A1184" s="384" t="s">
        <v>1716</v>
      </c>
      <c r="B1184" s="382" t="s">
        <v>308</v>
      </c>
      <c r="C1184" s="893"/>
      <c r="D1184" s="898"/>
      <c r="E1184" s="382">
        <v>42</v>
      </c>
      <c r="F1184" s="520"/>
      <c r="G1184" s="468"/>
      <c r="H1184" s="528">
        <v>18.5</v>
      </c>
      <c r="I1184" s="891"/>
      <c r="J1184" s="461">
        <v>59790.142924243439</v>
      </c>
      <c r="K1184" s="486"/>
    </row>
    <row r="1185" spans="1:11" ht="38.25" x14ac:dyDescent="0.2">
      <c r="A1185" s="383" t="s">
        <v>1113</v>
      </c>
      <c r="B1185" s="382" t="s">
        <v>308</v>
      </c>
      <c r="C1185" s="617" t="s">
        <v>13069</v>
      </c>
      <c r="D1185" s="619">
        <v>15</v>
      </c>
      <c r="E1185" s="485">
        <v>1</v>
      </c>
      <c r="F1185" s="623"/>
      <c r="G1185" s="382"/>
      <c r="H1185" s="529">
        <f>1004.9-969.8</f>
        <v>35.100000000000023</v>
      </c>
      <c r="I1185" s="618">
        <v>1960</v>
      </c>
      <c r="J1185" s="461">
        <f>3387700/1004.9*35.1</f>
        <v>118328.46054333764</v>
      </c>
      <c r="K1185" s="486"/>
    </row>
    <row r="1186" spans="1:11" ht="39" customHeight="1" x14ac:dyDescent="0.2">
      <c r="A1186" s="383" t="s">
        <v>1114</v>
      </c>
      <c r="B1186" s="382" t="s">
        <v>308</v>
      </c>
      <c r="C1186" s="617" t="s">
        <v>13070</v>
      </c>
      <c r="D1186" s="619">
        <v>17</v>
      </c>
      <c r="E1186" s="485">
        <v>5</v>
      </c>
      <c r="F1186" s="623"/>
      <c r="G1186" s="382" t="s">
        <v>143</v>
      </c>
      <c r="H1186" s="461">
        <f>1125.8-1093.9</f>
        <v>31.899999999999864</v>
      </c>
      <c r="I1186" s="618">
        <v>1963</v>
      </c>
      <c r="J1186" s="461">
        <f>2990200/1125.8*31.7</f>
        <v>84197.317463137326</v>
      </c>
      <c r="K1186" s="486">
        <v>451864.14</v>
      </c>
    </row>
    <row r="1187" spans="1:11" x14ac:dyDescent="0.2">
      <c r="A1187" s="383" t="s">
        <v>1115</v>
      </c>
      <c r="B1187" s="382"/>
      <c r="C1187" s="893" t="s">
        <v>13071</v>
      </c>
      <c r="D1187" s="898">
        <v>24</v>
      </c>
      <c r="E1187" s="472"/>
      <c r="F1187" s="623"/>
      <c r="G1187" s="382"/>
      <c r="H1187" s="461">
        <f>1570.6-1570.6</f>
        <v>0</v>
      </c>
      <c r="I1187" s="891">
        <v>1963</v>
      </c>
      <c r="J1187" s="461">
        <f>4415500-4415500</f>
        <v>0</v>
      </c>
      <c r="K1187" s="486"/>
    </row>
    <row r="1188" spans="1:11" x14ac:dyDescent="0.2">
      <c r="A1188" s="384" t="s">
        <v>1116</v>
      </c>
      <c r="B1188" s="382" t="s">
        <v>308</v>
      </c>
      <c r="C1188" s="893"/>
      <c r="D1188" s="898"/>
      <c r="E1188" s="472">
        <v>10</v>
      </c>
      <c r="F1188" s="623"/>
      <c r="G1188" s="382"/>
      <c r="H1188" s="461">
        <v>39.799999999999997</v>
      </c>
      <c r="I1188" s="891"/>
      <c r="J1188" s="461">
        <v>111891.57010059849</v>
      </c>
      <c r="K1188" s="486"/>
    </row>
    <row r="1189" spans="1:11" ht="12.75" customHeight="1" x14ac:dyDescent="0.2">
      <c r="A1189" s="384" t="s">
        <v>1117</v>
      </c>
      <c r="B1189" s="382" t="s">
        <v>308</v>
      </c>
      <c r="C1189" s="893"/>
      <c r="D1189" s="898"/>
      <c r="E1189" s="472">
        <v>34</v>
      </c>
      <c r="F1189" s="623"/>
      <c r="G1189" s="382"/>
      <c r="H1189" s="461">
        <v>32</v>
      </c>
      <c r="I1189" s="891"/>
      <c r="J1189" s="461">
        <v>89963.071437667139</v>
      </c>
      <c r="K1189" s="486"/>
    </row>
    <row r="1190" spans="1:11" x14ac:dyDescent="0.2">
      <c r="A1190" s="383" t="s">
        <v>1118</v>
      </c>
      <c r="B1190" s="382"/>
      <c r="C1190" s="877" t="s">
        <v>13072</v>
      </c>
      <c r="D1190" s="880">
        <v>1</v>
      </c>
      <c r="E1190" s="472"/>
      <c r="F1190" s="623"/>
      <c r="G1190" s="382"/>
      <c r="H1190" s="461">
        <f>2634.3-2634.3</f>
        <v>0</v>
      </c>
      <c r="I1190" s="883">
        <v>1970</v>
      </c>
      <c r="J1190" s="461">
        <f>7015800-7015800</f>
        <v>0</v>
      </c>
      <c r="K1190" s="486"/>
    </row>
    <row r="1191" spans="1:11" x14ac:dyDescent="0.2">
      <c r="A1191" s="384" t="s">
        <v>1119</v>
      </c>
      <c r="B1191" s="382" t="s">
        <v>308</v>
      </c>
      <c r="C1191" s="878"/>
      <c r="D1191" s="881"/>
      <c r="E1191" s="468">
        <v>3</v>
      </c>
      <c r="F1191" s="520"/>
      <c r="G1191" s="469"/>
      <c r="H1191" s="528">
        <v>43.5</v>
      </c>
      <c r="I1191" s="884"/>
      <c r="J1191" s="461">
        <v>115851.38366928596</v>
      </c>
      <c r="K1191" s="486"/>
    </row>
    <row r="1192" spans="1:11" ht="12.75" customHeight="1" x14ac:dyDescent="0.2">
      <c r="A1192" s="384" t="s">
        <v>1120</v>
      </c>
      <c r="B1192" s="382" t="s">
        <v>308</v>
      </c>
      <c r="C1192" s="878"/>
      <c r="D1192" s="881"/>
      <c r="E1192" s="468">
        <v>45</v>
      </c>
      <c r="F1192" s="520"/>
      <c r="G1192" s="520"/>
      <c r="H1192" s="528">
        <v>40.200000000000003</v>
      </c>
      <c r="I1192" s="884"/>
      <c r="J1192" s="461">
        <v>107062.658011616</v>
      </c>
      <c r="K1192" s="486"/>
    </row>
    <row r="1193" spans="1:11" x14ac:dyDescent="0.2">
      <c r="A1193" s="384" t="s">
        <v>1121</v>
      </c>
      <c r="B1193" s="382" t="s">
        <v>308</v>
      </c>
      <c r="C1193" s="878"/>
      <c r="D1193" s="881"/>
      <c r="E1193" s="468">
        <v>47</v>
      </c>
      <c r="F1193" s="520"/>
      <c r="G1193" s="520"/>
      <c r="H1193" s="528">
        <v>40.6</v>
      </c>
      <c r="I1193" s="884"/>
      <c r="J1193" s="461">
        <v>108127.95809133357</v>
      </c>
      <c r="K1193" s="486"/>
    </row>
    <row r="1194" spans="1:11" x14ac:dyDescent="0.2">
      <c r="A1194" s="384" t="s">
        <v>1122</v>
      </c>
      <c r="B1194" s="382" t="s">
        <v>308</v>
      </c>
      <c r="C1194" s="878"/>
      <c r="D1194" s="881"/>
      <c r="E1194" s="468">
        <v>61</v>
      </c>
      <c r="F1194" s="520"/>
      <c r="G1194" s="520"/>
      <c r="H1194" s="528">
        <v>11.9</v>
      </c>
      <c r="I1194" s="884"/>
      <c r="J1194" s="461">
        <v>31692.677371597769</v>
      </c>
      <c r="K1194" s="486"/>
    </row>
    <row r="1195" spans="1:11" x14ac:dyDescent="0.2">
      <c r="A1195" s="384" t="s">
        <v>1717</v>
      </c>
      <c r="B1195" s="382" t="s">
        <v>308</v>
      </c>
      <c r="C1195" s="878"/>
      <c r="D1195" s="881"/>
      <c r="E1195" s="468" t="s">
        <v>5470</v>
      </c>
      <c r="F1195" s="520"/>
      <c r="G1195" s="520"/>
      <c r="H1195" s="528">
        <v>41.1</v>
      </c>
      <c r="I1195" s="884"/>
      <c r="J1195" s="461">
        <v>109459.58319098053</v>
      </c>
      <c r="K1195" s="486"/>
    </row>
    <row r="1196" spans="1:11" x14ac:dyDescent="0.2">
      <c r="A1196" s="384" t="s">
        <v>6251</v>
      </c>
      <c r="B1196" s="382" t="s">
        <v>308</v>
      </c>
      <c r="C1196" s="878"/>
      <c r="D1196" s="881"/>
      <c r="E1196" s="526">
        <v>62</v>
      </c>
      <c r="F1196" s="520" t="s">
        <v>6252</v>
      </c>
      <c r="G1196" s="624" t="s">
        <v>6253</v>
      </c>
      <c r="H1196" s="527">
        <v>69.099999999999994</v>
      </c>
      <c r="I1196" s="884"/>
      <c r="J1196" s="461">
        <v>1200000</v>
      </c>
      <c r="K1196" s="486"/>
    </row>
    <row r="1197" spans="1:11" ht="24" x14ac:dyDescent="0.2">
      <c r="A1197" s="384" t="s">
        <v>11739</v>
      </c>
      <c r="B1197" s="196" t="s">
        <v>5459</v>
      </c>
      <c r="C1197" s="879"/>
      <c r="D1197" s="882"/>
      <c r="E1197" s="382">
        <v>14</v>
      </c>
      <c r="F1197" s="624" t="s">
        <v>11740</v>
      </c>
      <c r="G1197" s="382" t="s">
        <v>538</v>
      </c>
      <c r="H1197" s="382">
        <v>41.5</v>
      </c>
      <c r="I1197" s="885"/>
      <c r="J1197" s="461">
        <v>750000</v>
      </c>
      <c r="K1197" s="486">
        <v>655289.15</v>
      </c>
    </row>
    <row r="1198" spans="1:11" x14ac:dyDescent="0.2">
      <c r="A1198" s="383" t="s">
        <v>1123</v>
      </c>
      <c r="B1198" s="382"/>
      <c r="C1198" s="877" t="s">
        <v>13073</v>
      </c>
      <c r="D1198" s="880">
        <v>2</v>
      </c>
      <c r="E1198" s="472"/>
      <c r="F1198" s="623"/>
      <c r="G1198" s="613"/>
      <c r="H1198" s="529">
        <f>4338.1-4338.1</f>
        <v>0</v>
      </c>
      <c r="I1198" s="883">
        <v>1979</v>
      </c>
      <c r="J1198" s="461">
        <f>11662900-11662900</f>
        <v>0</v>
      </c>
      <c r="K1198" s="486"/>
    </row>
    <row r="1199" spans="1:11" ht="25.5" customHeight="1" x14ac:dyDescent="0.2">
      <c r="A1199" s="384" t="s">
        <v>1718</v>
      </c>
      <c r="B1199" s="382" t="s">
        <v>308</v>
      </c>
      <c r="C1199" s="878"/>
      <c r="D1199" s="881"/>
      <c r="E1199" s="468">
        <v>64</v>
      </c>
      <c r="F1199" s="520"/>
      <c r="G1199" s="520"/>
      <c r="H1199" s="528">
        <v>42.5</v>
      </c>
      <c r="I1199" s="884"/>
      <c r="J1199" s="461">
        <v>114260.44812244993</v>
      </c>
      <c r="K1199" s="486"/>
    </row>
    <row r="1200" spans="1:11" ht="12.75" customHeight="1" x14ac:dyDescent="0.2">
      <c r="A1200" s="481" t="s">
        <v>12477</v>
      </c>
      <c r="B1200" s="223" t="s">
        <v>13074</v>
      </c>
      <c r="C1200" s="879"/>
      <c r="D1200" s="882"/>
      <c r="E1200" s="468">
        <v>96</v>
      </c>
      <c r="F1200" s="382" t="s">
        <v>13075</v>
      </c>
      <c r="G1200" s="525" t="s">
        <v>13076</v>
      </c>
      <c r="H1200" s="528">
        <v>39.5</v>
      </c>
      <c r="I1200" s="885"/>
      <c r="J1200" s="461">
        <v>727000</v>
      </c>
      <c r="K1200" s="486">
        <v>759796.73</v>
      </c>
    </row>
    <row r="1201" spans="1:11" ht="36.75" customHeight="1" x14ac:dyDescent="0.2">
      <c r="A1201" s="386" t="s">
        <v>1124</v>
      </c>
      <c r="B1201" s="382" t="s">
        <v>308</v>
      </c>
      <c r="C1201" s="617" t="s">
        <v>13077</v>
      </c>
      <c r="D1201" s="619">
        <v>14</v>
      </c>
      <c r="E1201" s="472">
        <v>1</v>
      </c>
      <c r="F1201" s="623" t="s">
        <v>282</v>
      </c>
      <c r="G1201" s="382" t="s">
        <v>11631</v>
      </c>
      <c r="H1201" s="529">
        <f>280-210.4</f>
        <v>69.599999999999994</v>
      </c>
      <c r="I1201" s="618">
        <v>1989</v>
      </c>
      <c r="J1201" s="461">
        <f>1409400/280*69.6</f>
        <v>350336.57142857136</v>
      </c>
      <c r="K1201" s="486">
        <v>721278.02</v>
      </c>
    </row>
    <row r="1202" spans="1:11" ht="19.5" customHeight="1" x14ac:dyDescent="0.2">
      <c r="A1202" s="383" t="s">
        <v>1125</v>
      </c>
      <c r="B1202" s="382"/>
      <c r="C1202" s="893" t="s">
        <v>13078</v>
      </c>
      <c r="D1202" s="898">
        <v>15</v>
      </c>
      <c r="E1202" s="472"/>
      <c r="F1202" s="623"/>
      <c r="G1202" s="382"/>
      <c r="H1202" s="529">
        <f>272.2-272.2</f>
        <v>0</v>
      </c>
      <c r="I1202" s="891">
        <v>1990</v>
      </c>
      <c r="J1202" s="461">
        <f>940700-940700</f>
        <v>0</v>
      </c>
      <c r="K1202" s="486"/>
    </row>
    <row r="1203" spans="1:11" ht="25.5" customHeight="1" x14ac:dyDescent="0.2">
      <c r="A1203" s="384" t="s">
        <v>1126</v>
      </c>
      <c r="B1203" s="382" t="s">
        <v>308</v>
      </c>
      <c r="C1203" s="893"/>
      <c r="D1203" s="898"/>
      <c r="E1203" s="468">
        <v>2</v>
      </c>
      <c r="F1203" s="520"/>
      <c r="G1203" s="469"/>
      <c r="H1203" s="528">
        <v>66.2</v>
      </c>
      <c r="I1203" s="891"/>
      <c r="J1203" s="461">
        <v>228781.55767817784</v>
      </c>
      <c r="K1203" s="486"/>
    </row>
    <row r="1204" spans="1:11" ht="12.75" customHeight="1" x14ac:dyDescent="0.2">
      <c r="A1204" s="383" t="s">
        <v>1127</v>
      </c>
      <c r="B1204" s="382"/>
      <c r="C1204" s="877" t="s">
        <v>13079</v>
      </c>
      <c r="D1204" s="880">
        <v>13</v>
      </c>
      <c r="E1204" s="472"/>
      <c r="F1204" s="623"/>
      <c r="G1204" s="382"/>
      <c r="H1204" s="529">
        <f>1574.2-1574.2</f>
        <v>0</v>
      </c>
      <c r="I1204" s="883">
        <v>1965</v>
      </c>
      <c r="J1204" s="461">
        <f>4279100-4279100</f>
        <v>0</v>
      </c>
      <c r="K1204" s="486"/>
    </row>
    <row r="1205" spans="1:11" ht="25.5" customHeight="1" x14ac:dyDescent="0.2">
      <c r="A1205" s="384" t="s">
        <v>1719</v>
      </c>
      <c r="B1205" s="382" t="s">
        <v>308</v>
      </c>
      <c r="C1205" s="878"/>
      <c r="D1205" s="881"/>
      <c r="E1205" s="468">
        <v>8</v>
      </c>
      <c r="F1205" s="520" t="s">
        <v>104</v>
      </c>
      <c r="G1205" s="469"/>
      <c r="H1205" s="528">
        <v>43.2</v>
      </c>
      <c r="I1205" s="884"/>
      <c r="J1205" s="461">
        <v>117429.24660144837</v>
      </c>
      <c r="K1205" s="486">
        <v>830967.57</v>
      </c>
    </row>
    <row r="1206" spans="1:11" ht="12.75" customHeight="1" x14ac:dyDescent="0.2">
      <c r="A1206" s="384" t="s">
        <v>1720</v>
      </c>
      <c r="B1206" s="382" t="s">
        <v>308</v>
      </c>
      <c r="C1206" s="878"/>
      <c r="D1206" s="881"/>
      <c r="E1206" s="468">
        <v>16</v>
      </c>
      <c r="F1206" s="520"/>
      <c r="G1206" s="469"/>
      <c r="H1206" s="528">
        <v>18.100000000000001</v>
      </c>
      <c r="I1206" s="884"/>
      <c r="J1206" s="461">
        <v>49200.679710329059</v>
      </c>
      <c r="K1206" s="486"/>
    </row>
    <row r="1207" spans="1:11" ht="14.25" customHeight="1" x14ac:dyDescent="0.2">
      <c r="A1207" s="384" t="s">
        <v>1721</v>
      </c>
      <c r="B1207" s="382" t="s">
        <v>308</v>
      </c>
      <c r="C1207" s="878"/>
      <c r="D1207" s="881"/>
      <c r="E1207" s="468">
        <v>26</v>
      </c>
      <c r="F1207" s="520" t="s">
        <v>105</v>
      </c>
      <c r="G1207" s="469"/>
      <c r="H1207" s="528">
        <v>41.8</v>
      </c>
      <c r="I1207" s="884"/>
      <c r="J1207" s="461">
        <v>113623.6691652903</v>
      </c>
      <c r="K1207" s="486">
        <v>804038.06</v>
      </c>
    </row>
    <row r="1208" spans="1:11" ht="14.25" customHeight="1" x14ac:dyDescent="0.2">
      <c r="A1208" s="384" t="s">
        <v>1722</v>
      </c>
      <c r="B1208" s="382" t="s">
        <v>308</v>
      </c>
      <c r="C1208" s="878"/>
      <c r="D1208" s="881"/>
      <c r="E1208" s="468">
        <v>28</v>
      </c>
      <c r="F1208" s="520" t="s">
        <v>106</v>
      </c>
      <c r="G1208" s="469"/>
      <c r="H1208" s="528">
        <v>29.4</v>
      </c>
      <c r="I1208" s="884"/>
      <c r="J1208" s="461">
        <v>79917.126159319014</v>
      </c>
      <c r="K1208" s="486">
        <v>582709.76000000001</v>
      </c>
    </row>
    <row r="1209" spans="1:11" ht="14.25" customHeight="1" x14ac:dyDescent="0.2">
      <c r="A1209" s="384" t="s">
        <v>1723</v>
      </c>
      <c r="B1209" s="382" t="s">
        <v>308</v>
      </c>
      <c r="C1209" s="878"/>
      <c r="D1209" s="881"/>
      <c r="E1209" s="468">
        <v>33</v>
      </c>
      <c r="F1209" s="520"/>
      <c r="G1209" s="469"/>
      <c r="H1209" s="528">
        <v>18.399999999999999</v>
      </c>
      <c r="I1209" s="884"/>
      <c r="J1209" s="461">
        <v>50016.16058950578</v>
      </c>
      <c r="K1209" s="486"/>
    </row>
    <row r="1210" spans="1:11" ht="14.25" customHeight="1" x14ac:dyDescent="0.2">
      <c r="A1210" s="384" t="s">
        <v>1724</v>
      </c>
      <c r="B1210" s="382" t="s">
        <v>308</v>
      </c>
      <c r="C1210" s="878"/>
      <c r="D1210" s="881"/>
      <c r="E1210" s="468">
        <v>34</v>
      </c>
      <c r="F1210" s="520"/>
      <c r="G1210" s="469"/>
      <c r="H1210" s="528">
        <v>18.7</v>
      </c>
      <c r="I1210" s="884"/>
      <c r="J1210" s="461">
        <v>50831.641468682501</v>
      </c>
      <c r="K1210" s="486"/>
    </row>
    <row r="1211" spans="1:11" ht="14.25" customHeight="1" x14ac:dyDescent="0.2">
      <c r="A1211" s="384" t="s">
        <v>1725</v>
      </c>
      <c r="B1211" s="382" t="s">
        <v>308</v>
      </c>
      <c r="C1211" s="878"/>
      <c r="D1211" s="881"/>
      <c r="E1211" s="468">
        <v>35</v>
      </c>
      <c r="F1211" s="520"/>
      <c r="G1211" s="469"/>
      <c r="H1211" s="528">
        <v>18.2</v>
      </c>
      <c r="I1211" s="884"/>
      <c r="J1211" s="461">
        <v>49472.50667005463</v>
      </c>
      <c r="K1211" s="486"/>
    </row>
    <row r="1212" spans="1:11" ht="14.25" customHeight="1" x14ac:dyDescent="0.2">
      <c r="A1212" s="384" t="s">
        <v>1726</v>
      </c>
      <c r="B1212" s="382" t="s">
        <v>308</v>
      </c>
      <c r="C1212" s="878"/>
      <c r="D1212" s="881"/>
      <c r="E1212" s="468">
        <v>36</v>
      </c>
      <c r="F1212" s="520"/>
      <c r="G1212" s="469"/>
      <c r="H1212" s="528">
        <v>18.100000000000001</v>
      </c>
      <c r="I1212" s="884"/>
      <c r="J1212" s="461">
        <v>49200.679710329059</v>
      </c>
      <c r="K1212" s="486"/>
    </row>
    <row r="1213" spans="1:11" ht="14.25" customHeight="1" x14ac:dyDescent="0.2">
      <c r="A1213" s="384" t="s">
        <v>1727</v>
      </c>
      <c r="B1213" s="382" t="s">
        <v>308</v>
      </c>
      <c r="C1213" s="878"/>
      <c r="D1213" s="881"/>
      <c r="E1213" s="468">
        <v>37</v>
      </c>
      <c r="F1213" s="520"/>
      <c r="G1213" s="469"/>
      <c r="H1213" s="528">
        <v>18</v>
      </c>
      <c r="I1213" s="884"/>
      <c r="J1213" s="461">
        <v>48928.852750603481</v>
      </c>
      <c r="K1213" s="486"/>
    </row>
    <row r="1214" spans="1:11" ht="14.25" customHeight="1" x14ac:dyDescent="0.2">
      <c r="A1214" s="384" t="s">
        <v>1728</v>
      </c>
      <c r="B1214" s="382" t="s">
        <v>308</v>
      </c>
      <c r="C1214" s="878"/>
      <c r="D1214" s="881"/>
      <c r="E1214" s="468">
        <v>38</v>
      </c>
      <c r="F1214" s="520"/>
      <c r="G1214" s="469"/>
      <c r="H1214" s="528">
        <v>19</v>
      </c>
      <c r="I1214" s="884"/>
      <c r="J1214" s="461">
        <v>51647.122347859229</v>
      </c>
      <c r="K1214" s="486"/>
    </row>
    <row r="1215" spans="1:11" ht="14.25" customHeight="1" x14ac:dyDescent="0.2">
      <c r="A1215" s="384" t="s">
        <v>1729</v>
      </c>
      <c r="B1215" s="382" t="s">
        <v>308</v>
      </c>
      <c r="C1215" s="878"/>
      <c r="D1215" s="881"/>
      <c r="E1215" s="468">
        <v>39</v>
      </c>
      <c r="F1215" s="520"/>
      <c r="G1215" s="469"/>
      <c r="H1215" s="528">
        <v>18.7</v>
      </c>
      <c r="I1215" s="884"/>
      <c r="J1215" s="461">
        <v>50831.641468682501</v>
      </c>
      <c r="K1215" s="486"/>
    </row>
    <row r="1216" spans="1:11" ht="14.25" customHeight="1" x14ac:dyDescent="0.2">
      <c r="A1216" s="384" t="s">
        <v>1730</v>
      </c>
      <c r="B1216" s="382" t="s">
        <v>308</v>
      </c>
      <c r="C1216" s="878"/>
      <c r="D1216" s="881"/>
      <c r="E1216" s="468">
        <v>40</v>
      </c>
      <c r="F1216" s="520"/>
      <c r="G1216" s="469"/>
      <c r="H1216" s="528">
        <v>18.3</v>
      </c>
      <c r="I1216" s="884"/>
      <c r="J1216" s="461">
        <v>49744.333629780209</v>
      </c>
      <c r="K1216" s="486"/>
    </row>
    <row r="1217" spans="1:11" ht="14.25" customHeight="1" x14ac:dyDescent="0.2">
      <c r="A1217" s="384" t="s">
        <v>1731</v>
      </c>
      <c r="B1217" s="382" t="s">
        <v>308</v>
      </c>
      <c r="C1217" s="878"/>
      <c r="D1217" s="881"/>
      <c r="E1217" s="468">
        <v>41</v>
      </c>
      <c r="F1217" s="520"/>
      <c r="G1217" s="469"/>
      <c r="H1217" s="528">
        <v>18.2</v>
      </c>
      <c r="I1217" s="884"/>
      <c r="J1217" s="461">
        <v>49472.50667005463</v>
      </c>
      <c r="K1217" s="486"/>
    </row>
    <row r="1218" spans="1:11" ht="14.25" customHeight="1" x14ac:dyDescent="0.2">
      <c r="A1218" s="384" t="s">
        <v>1732</v>
      </c>
      <c r="B1218" s="382" t="s">
        <v>308</v>
      </c>
      <c r="C1218" s="878"/>
      <c r="D1218" s="881"/>
      <c r="E1218" s="468">
        <v>42</v>
      </c>
      <c r="F1218" s="520"/>
      <c r="G1218" s="469"/>
      <c r="H1218" s="528">
        <v>18.2</v>
      </c>
      <c r="I1218" s="884"/>
      <c r="J1218" s="461">
        <v>49472.50667005463</v>
      </c>
      <c r="K1218" s="486"/>
    </row>
    <row r="1219" spans="1:11" ht="14.25" customHeight="1" x14ac:dyDescent="0.2">
      <c r="A1219" s="384" t="s">
        <v>1733</v>
      </c>
      <c r="B1219" s="382" t="s">
        <v>308</v>
      </c>
      <c r="C1219" s="878"/>
      <c r="D1219" s="881"/>
      <c r="E1219" s="468">
        <v>44</v>
      </c>
      <c r="F1219" s="520"/>
      <c r="G1219" s="469"/>
      <c r="H1219" s="528">
        <v>18.100000000000001</v>
      </c>
      <c r="I1219" s="884"/>
      <c r="J1219" s="461">
        <v>49200.679710329059</v>
      </c>
      <c r="K1219" s="486"/>
    </row>
    <row r="1220" spans="1:11" ht="14.25" customHeight="1" x14ac:dyDescent="0.2">
      <c r="A1220" s="384" t="s">
        <v>1734</v>
      </c>
      <c r="B1220" s="382" t="s">
        <v>308</v>
      </c>
      <c r="C1220" s="878"/>
      <c r="D1220" s="881"/>
      <c r="E1220" s="468">
        <v>46</v>
      </c>
      <c r="F1220" s="520"/>
      <c r="G1220" s="469"/>
      <c r="H1220" s="528">
        <v>18.2</v>
      </c>
      <c r="I1220" s="884"/>
      <c r="J1220" s="461">
        <v>49472.50667005463</v>
      </c>
      <c r="K1220" s="486"/>
    </row>
    <row r="1221" spans="1:11" ht="14.25" customHeight="1" x14ac:dyDescent="0.2">
      <c r="A1221" s="384" t="s">
        <v>1735</v>
      </c>
      <c r="B1221" s="382" t="s">
        <v>308</v>
      </c>
      <c r="C1221" s="878"/>
      <c r="D1221" s="881"/>
      <c r="E1221" s="468">
        <v>47</v>
      </c>
      <c r="F1221" s="520"/>
      <c r="G1221" s="469"/>
      <c r="H1221" s="528">
        <v>17.2</v>
      </c>
      <c r="I1221" s="884"/>
      <c r="J1221" s="461">
        <v>46754.237072798882</v>
      </c>
      <c r="K1221" s="486"/>
    </row>
    <row r="1222" spans="1:11" ht="14.25" customHeight="1" x14ac:dyDescent="0.2">
      <c r="A1222" s="384" t="s">
        <v>1736</v>
      </c>
      <c r="B1222" s="382" t="s">
        <v>308</v>
      </c>
      <c r="C1222" s="878"/>
      <c r="D1222" s="881"/>
      <c r="E1222" s="468">
        <v>48</v>
      </c>
      <c r="F1222" s="520"/>
      <c r="G1222" s="469"/>
      <c r="H1222" s="528">
        <v>18.3</v>
      </c>
      <c r="I1222" s="884"/>
      <c r="J1222" s="461">
        <v>49744.333629780209</v>
      </c>
      <c r="K1222" s="486"/>
    </row>
    <row r="1223" spans="1:11" ht="14.25" customHeight="1" x14ac:dyDescent="0.2">
      <c r="A1223" s="384" t="s">
        <v>1737</v>
      </c>
      <c r="B1223" s="382" t="s">
        <v>308</v>
      </c>
      <c r="C1223" s="878"/>
      <c r="D1223" s="881"/>
      <c r="E1223" s="468">
        <v>14</v>
      </c>
      <c r="F1223" s="520"/>
      <c r="G1223" s="469"/>
      <c r="H1223" s="528">
        <v>40.9</v>
      </c>
      <c r="I1223" s="884"/>
      <c r="J1223" s="461">
        <v>111177.22652776013</v>
      </c>
      <c r="K1223" s="486"/>
    </row>
    <row r="1224" spans="1:11" ht="14.25" customHeight="1" x14ac:dyDescent="0.2">
      <c r="A1224" s="384" t="s">
        <v>1738</v>
      </c>
      <c r="B1224" s="382" t="s">
        <v>308</v>
      </c>
      <c r="C1224" s="878"/>
      <c r="D1224" s="881"/>
      <c r="E1224" s="468" t="s">
        <v>356</v>
      </c>
      <c r="F1224" s="520"/>
      <c r="G1224" s="469"/>
      <c r="H1224" s="528">
        <v>51.8</v>
      </c>
      <c r="I1224" s="884"/>
      <c r="J1224" s="461">
        <v>140806.36513784778</v>
      </c>
      <c r="K1224" s="486"/>
    </row>
    <row r="1225" spans="1:11" ht="12.75" customHeight="1" x14ac:dyDescent="0.2">
      <c r="A1225" s="383" t="s">
        <v>1128</v>
      </c>
      <c r="B1225" s="382"/>
      <c r="C1225" s="893" t="s">
        <v>13080</v>
      </c>
      <c r="D1225" s="898">
        <v>15</v>
      </c>
      <c r="E1225" s="472"/>
      <c r="F1225" s="623"/>
      <c r="G1225" s="613"/>
      <c r="H1225" s="529">
        <f>1314.6-1314.6</f>
        <v>0</v>
      </c>
      <c r="I1225" s="891">
        <v>1963</v>
      </c>
      <c r="J1225" s="461">
        <f>2715000-2715000</f>
        <v>0</v>
      </c>
      <c r="K1225" s="486"/>
    </row>
    <row r="1226" spans="1:11" ht="14.25" customHeight="1" x14ac:dyDescent="0.2">
      <c r="A1226" s="384" t="s">
        <v>1129</v>
      </c>
      <c r="B1226" s="382" t="s">
        <v>308</v>
      </c>
      <c r="C1226" s="893"/>
      <c r="D1226" s="898"/>
      <c r="E1226" s="468">
        <v>12</v>
      </c>
      <c r="F1226" s="520"/>
      <c r="G1226" s="520"/>
      <c r="H1226" s="528">
        <v>32.1</v>
      </c>
      <c r="I1226" s="891"/>
      <c r="J1226" s="461">
        <v>66295.070743952529</v>
      </c>
      <c r="K1226" s="486"/>
    </row>
    <row r="1227" spans="1:11" ht="12.75" customHeight="1" x14ac:dyDescent="0.2">
      <c r="A1227" s="384" t="s">
        <v>1130</v>
      </c>
      <c r="B1227" s="382" t="s">
        <v>308</v>
      </c>
      <c r="C1227" s="893"/>
      <c r="D1227" s="898"/>
      <c r="E1227" s="468">
        <v>14</v>
      </c>
      <c r="F1227" s="520"/>
      <c r="G1227" s="520"/>
      <c r="H1227" s="528">
        <v>42.3</v>
      </c>
      <c r="I1227" s="891"/>
      <c r="J1227" s="461">
        <v>87360.794157918746</v>
      </c>
      <c r="K1227" s="486"/>
    </row>
    <row r="1228" spans="1:11" ht="15" customHeight="1" x14ac:dyDescent="0.2">
      <c r="A1228" s="383" t="s">
        <v>1131</v>
      </c>
      <c r="B1228" s="382"/>
      <c r="C1228" s="893" t="s">
        <v>13081</v>
      </c>
      <c r="D1228" s="898">
        <v>16</v>
      </c>
      <c r="E1228" s="472"/>
      <c r="F1228" s="623"/>
      <c r="G1228" s="613"/>
      <c r="H1228" s="529">
        <f>2600.5-2600.5</f>
        <v>0</v>
      </c>
      <c r="I1228" s="891">
        <v>1964</v>
      </c>
      <c r="J1228" s="461">
        <f>6578400-6578400</f>
        <v>0</v>
      </c>
      <c r="K1228" s="486"/>
    </row>
    <row r="1229" spans="1:11" ht="14.25" customHeight="1" x14ac:dyDescent="0.2">
      <c r="A1229" s="384" t="s">
        <v>1132</v>
      </c>
      <c r="B1229" s="382" t="s">
        <v>308</v>
      </c>
      <c r="C1229" s="893"/>
      <c r="D1229" s="898"/>
      <c r="E1229" s="468">
        <v>17</v>
      </c>
      <c r="F1229" s="520"/>
      <c r="G1229" s="520"/>
      <c r="H1229" s="528">
        <v>41.9</v>
      </c>
      <c r="I1229" s="891"/>
      <c r="J1229" s="461">
        <v>105993.06287252452</v>
      </c>
      <c r="K1229" s="486"/>
    </row>
    <row r="1230" spans="1:11" ht="12.75" customHeight="1" x14ac:dyDescent="0.2">
      <c r="A1230" s="384" t="s">
        <v>1133</v>
      </c>
      <c r="B1230" s="382" t="s">
        <v>308</v>
      </c>
      <c r="C1230" s="893"/>
      <c r="D1230" s="898"/>
      <c r="E1230" s="468">
        <v>38</v>
      </c>
      <c r="F1230" s="520" t="s">
        <v>11632</v>
      </c>
      <c r="G1230" s="520"/>
      <c r="H1230" s="528">
        <v>42.2</v>
      </c>
      <c r="I1230" s="891"/>
      <c r="J1230" s="461">
        <v>106751.96308402231</v>
      </c>
      <c r="K1230" s="486">
        <v>811732.21</v>
      </c>
    </row>
    <row r="1231" spans="1:11" x14ac:dyDescent="0.2">
      <c r="A1231" s="383" t="s">
        <v>1134</v>
      </c>
      <c r="B1231" s="382"/>
      <c r="C1231" s="877" t="s">
        <v>13082</v>
      </c>
      <c r="D1231" s="880">
        <v>17</v>
      </c>
      <c r="E1231" s="472"/>
      <c r="F1231" s="623"/>
      <c r="G1231" s="382"/>
      <c r="H1231" s="529">
        <f>2050.1-2050.1</f>
        <v>0</v>
      </c>
      <c r="I1231" s="883">
        <v>1963</v>
      </c>
      <c r="J1231" s="461">
        <f>3910700-3910700</f>
        <v>0</v>
      </c>
      <c r="K1231" s="486"/>
    </row>
    <row r="1232" spans="1:11" x14ac:dyDescent="0.2">
      <c r="A1232" s="384" t="s">
        <v>1135</v>
      </c>
      <c r="B1232" s="382" t="s">
        <v>308</v>
      </c>
      <c r="C1232" s="878"/>
      <c r="D1232" s="881"/>
      <c r="E1232" s="468">
        <v>1</v>
      </c>
      <c r="F1232" s="520"/>
      <c r="G1232" s="469"/>
      <c r="H1232" s="528">
        <v>18.5</v>
      </c>
      <c r="I1232" s="884"/>
      <c r="J1232" s="461">
        <v>35289.961465294378</v>
      </c>
      <c r="K1232" s="486"/>
    </row>
    <row r="1233" spans="1:11" ht="12.75" customHeight="1" x14ac:dyDescent="0.2">
      <c r="A1233" s="384" t="s">
        <v>1136</v>
      </c>
      <c r="B1233" s="382" t="s">
        <v>308</v>
      </c>
      <c r="C1233" s="878"/>
      <c r="D1233" s="881"/>
      <c r="E1233" s="468" t="s">
        <v>381</v>
      </c>
      <c r="F1233" s="520"/>
      <c r="G1233" s="469"/>
      <c r="H1233" s="528">
        <v>18.5</v>
      </c>
      <c r="I1233" s="884"/>
      <c r="J1233" s="461">
        <v>35289.961465294378</v>
      </c>
      <c r="K1233" s="486"/>
    </row>
    <row r="1234" spans="1:11" x14ac:dyDescent="0.2">
      <c r="A1234" s="384" t="s">
        <v>1739</v>
      </c>
      <c r="B1234" s="382" t="s">
        <v>308</v>
      </c>
      <c r="C1234" s="878"/>
      <c r="D1234" s="881"/>
      <c r="E1234" s="468" t="s">
        <v>382</v>
      </c>
      <c r="F1234" s="520"/>
      <c r="G1234" s="469"/>
      <c r="H1234" s="528">
        <v>19.899999999999999</v>
      </c>
      <c r="I1234" s="884"/>
      <c r="J1234" s="461">
        <v>37960.553143749086</v>
      </c>
      <c r="K1234" s="486"/>
    </row>
    <row r="1235" spans="1:11" x14ac:dyDescent="0.2">
      <c r="A1235" s="384" t="s">
        <v>1740</v>
      </c>
      <c r="B1235" s="382" t="s">
        <v>308</v>
      </c>
      <c r="C1235" s="878"/>
      <c r="D1235" s="881"/>
      <c r="E1235" s="468">
        <v>2</v>
      </c>
      <c r="F1235" s="520"/>
      <c r="G1235" s="469"/>
      <c r="H1235" s="528">
        <v>18.5</v>
      </c>
      <c r="I1235" s="884"/>
      <c r="J1235" s="461">
        <v>35289.961465294378</v>
      </c>
      <c r="K1235" s="486"/>
    </row>
    <row r="1236" spans="1:11" x14ac:dyDescent="0.2">
      <c r="A1236" s="384" t="s">
        <v>1741</v>
      </c>
      <c r="B1236" s="382" t="s">
        <v>308</v>
      </c>
      <c r="C1236" s="878"/>
      <c r="D1236" s="881"/>
      <c r="E1236" s="468">
        <v>3</v>
      </c>
      <c r="F1236" s="520"/>
      <c r="G1236" s="469"/>
      <c r="H1236" s="528">
        <v>18.5</v>
      </c>
      <c r="I1236" s="884"/>
      <c r="J1236" s="461">
        <v>35289.961465294378</v>
      </c>
      <c r="K1236" s="486"/>
    </row>
    <row r="1237" spans="1:11" x14ac:dyDescent="0.2">
      <c r="A1237" s="384" t="s">
        <v>1742</v>
      </c>
      <c r="B1237" s="382" t="s">
        <v>308</v>
      </c>
      <c r="C1237" s="878"/>
      <c r="D1237" s="881"/>
      <c r="E1237" s="468">
        <v>4</v>
      </c>
      <c r="F1237" s="520"/>
      <c r="G1237" s="469"/>
      <c r="H1237" s="528">
        <v>18.5</v>
      </c>
      <c r="I1237" s="884"/>
      <c r="J1237" s="461">
        <v>35289.961465294378</v>
      </c>
      <c r="K1237" s="486"/>
    </row>
    <row r="1238" spans="1:11" x14ac:dyDescent="0.2">
      <c r="A1238" s="384" t="s">
        <v>1743</v>
      </c>
      <c r="B1238" s="382" t="s">
        <v>308</v>
      </c>
      <c r="C1238" s="878"/>
      <c r="D1238" s="881"/>
      <c r="E1238" s="468">
        <v>10</v>
      </c>
      <c r="F1238" s="520"/>
      <c r="G1238" s="469"/>
      <c r="H1238" s="528">
        <v>19</v>
      </c>
      <c r="I1238" s="884"/>
      <c r="J1238" s="461">
        <v>36243.74420759963</v>
      </c>
      <c r="K1238" s="486"/>
    </row>
    <row r="1239" spans="1:11" x14ac:dyDescent="0.2">
      <c r="A1239" s="384" t="s">
        <v>1744</v>
      </c>
      <c r="B1239" s="382" t="s">
        <v>308</v>
      </c>
      <c r="C1239" s="878"/>
      <c r="D1239" s="881"/>
      <c r="E1239" s="468">
        <v>11</v>
      </c>
      <c r="F1239" s="520"/>
      <c r="G1239" s="469"/>
      <c r="H1239" s="528">
        <v>19</v>
      </c>
      <c r="I1239" s="884"/>
      <c r="J1239" s="461">
        <v>36243.74420759963</v>
      </c>
      <c r="K1239" s="486"/>
    </row>
    <row r="1240" spans="1:11" x14ac:dyDescent="0.2">
      <c r="A1240" s="384" t="s">
        <v>1745</v>
      </c>
      <c r="B1240" s="382" t="s">
        <v>308</v>
      </c>
      <c r="C1240" s="878"/>
      <c r="D1240" s="881"/>
      <c r="E1240" s="468">
        <v>12</v>
      </c>
      <c r="F1240" s="520"/>
      <c r="G1240" s="469"/>
      <c r="H1240" s="528">
        <v>18.5</v>
      </c>
      <c r="I1240" s="884"/>
      <c r="J1240" s="461">
        <v>35289.961465294378</v>
      </c>
      <c r="K1240" s="486"/>
    </row>
    <row r="1241" spans="1:11" x14ac:dyDescent="0.2">
      <c r="A1241" s="384" t="s">
        <v>1746</v>
      </c>
      <c r="B1241" s="382" t="s">
        <v>308</v>
      </c>
      <c r="C1241" s="878"/>
      <c r="D1241" s="881"/>
      <c r="E1241" s="468">
        <v>13</v>
      </c>
      <c r="F1241" s="520"/>
      <c r="G1241" s="469"/>
      <c r="H1241" s="528">
        <v>18</v>
      </c>
      <c r="I1241" s="884"/>
      <c r="J1241" s="461">
        <v>34336.178722989127</v>
      </c>
      <c r="K1241" s="486"/>
    </row>
    <row r="1242" spans="1:11" x14ac:dyDescent="0.2">
      <c r="A1242" s="384" t="s">
        <v>1747</v>
      </c>
      <c r="B1242" s="382" t="s">
        <v>308</v>
      </c>
      <c r="C1242" s="878"/>
      <c r="D1242" s="881"/>
      <c r="E1242" s="468">
        <v>14</v>
      </c>
      <c r="F1242" s="520"/>
      <c r="G1242" s="469"/>
      <c r="H1242" s="528">
        <v>18.5</v>
      </c>
      <c r="I1242" s="884"/>
      <c r="J1242" s="461">
        <v>35289.961465294386</v>
      </c>
      <c r="K1242" s="486"/>
    </row>
    <row r="1243" spans="1:11" x14ac:dyDescent="0.2">
      <c r="A1243" s="384" t="s">
        <v>1748</v>
      </c>
      <c r="B1243" s="382" t="s">
        <v>308</v>
      </c>
      <c r="C1243" s="878"/>
      <c r="D1243" s="881"/>
      <c r="E1243" s="468">
        <v>15</v>
      </c>
      <c r="F1243" s="520"/>
      <c r="G1243" s="469"/>
      <c r="H1243" s="528">
        <v>18.5</v>
      </c>
      <c r="I1243" s="884"/>
      <c r="J1243" s="461">
        <v>35289.961465294386</v>
      </c>
      <c r="K1243" s="486"/>
    </row>
    <row r="1244" spans="1:11" x14ac:dyDescent="0.2">
      <c r="A1244" s="384" t="s">
        <v>1749</v>
      </c>
      <c r="B1244" s="382" t="s">
        <v>308</v>
      </c>
      <c r="C1244" s="878"/>
      <c r="D1244" s="881"/>
      <c r="E1244" s="468">
        <v>16</v>
      </c>
      <c r="F1244" s="520"/>
      <c r="G1244" s="469"/>
      <c r="H1244" s="528">
        <v>18.5</v>
      </c>
      <c r="I1244" s="884"/>
      <c r="J1244" s="461">
        <v>35289.961465294386</v>
      </c>
      <c r="K1244" s="486"/>
    </row>
    <row r="1245" spans="1:11" x14ac:dyDescent="0.2">
      <c r="A1245" s="384" t="s">
        <v>1750</v>
      </c>
      <c r="B1245" s="382" t="s">
        <v>308</v>
      </c>
      <c r="C1245" s="878"/>
      <c r="D1245" s="881"/>
      <c r="E1245" s="468">
        <v>17</v>
      </c>
      <c r="F1245" s="520"/>
      <c r="G1245" s="469"/>
      <c r="H1245" s="528">
        <v>18</v>
      </c>
      <c r="I1245" s="884"/>
      <c r="J1245" s="461">
        <v>34336.178722989134</v>
      </c>
      <c r="K1245" s="486"/>
    </row>
    <row r="1246" spans="1:11" x14ac:dyDescent="0.2">
      <c r="A1246" s="384" t="s">
        <v>1751</v>
      </c>
      <c r="B1246" s="382" t="s">
        <v>308</v>
      </c>
      <c r="C1246" s="878"/>
      <c r="D1246" s="881"/>
      <c r="E1246" s="468">
        <v>18</v>
      </c>
      <c r="F1246" s="520"/>
      <c r="G1246" s="469"/>
      <c r="H1246" s="528">
        <v>19</v>
      </c>
      <c r="I1246" s="884"/>
      <c r="J1246" s="461">
        <v>36243.744207599637</v>
      </c>
      <c r="K1246" s="486"/>
    </row>
    <row r="1247" spans="1:11" x14ac:dyDescent="0.2">
      <c r="A1247" s="384" t="s">
        <v>1752</v>
      </c>
      <c r="B1247" s="382" t="s">
        <v>308</v>
      </c>
      <c r="C1247" s="878"/>
      <c r="D1247" s="881"/>
      <c r="E1247" s="468">
        <v>19</v>
      </c>
      <c r="F1247" s="520"/>
      <c r="G1247" s="469"/>
      <c r="H1247" s="528">
        <v>19</v>
      </c>
      <c r="I1247" s="884"/>
      <c r="J1247" s="461">
        <v>36243.744207599637</v>
      </c>
      <c r="K1247" s="486"/>
    </row>
    <row r="1248" spans="1:11" x14ac:dyDescent="0.2">
      <c r="A1248" s="384" t="s">
        <v>1753</v>
      </c>
      <c r="B1248" s="382" t="s">
        <v>308</v>
      </c>
      <c r="C1248" s="878"/>
      <c r="D1248" s="881"/>
      <c r="E1248" s="468">
        <v>20</v>
      </c>
      <c r="F1248" s="520"/>
      <c r="G1248" s="469"/>
      <c r="H1248" s="528">
        <v>19</v>
      </c>
      <c r="I1248" s="884"/>
      <c r="J1248" s="461">
        <v>36243.744207599637</v>
      </c>
      <c r="K1248" s="486"/>
    </row>
    <row r="1249" spans="1:11" x14ac:dyDescent="0.2">
      <c r="A1249" s="384" t="s">
        <v>1754</v>
      </c>
      <c r="B1249" s="382" t="s">
        <v>308</v>
      </c>
      <c r="C1249" s="878"/>
      <c r="D1249" s="881"/>
      <c r="E1249" s="468">
        <v>21</v>
      </c>
      <c r="F1249" s="520"/>
      <c r="G1249" s="469"/>
      <c r="H1249" s="528">
        <v>18.5</v>
      </c>
      <c r="I1249" s="884"/>
      <c r="J1249" s="461">
        <v>35289.961465294386</v>
      </c>
      <c r="K1249" s="486"/>
    </row>
    <row r="1250" spans="1:11" x14ac:dyDescent="0.2">
      <c r="A1250" s="384" t="s">
        <v>1755</v>
      </c>
      <c r="B1250" s="382" t="s">
        <v>308</v>
      </c>
      <c r="C1250" s="878"/>
      <c r="D1250" s="881"/>
      <c r="E1250" s="468">
        <v>22</v>
      </c>
      <c r="F1250" s="520"/>
      <c r="G1250" s="469"/>
      <c r="H1250" s="528">
        <v>18.5</v>
      </c>
      <c r="I1250" s="884"/>
      <c r="J1250" s="461">
        <v>35289.961465294386</v>
      </c>
      <c r="K1250" s="486"/>
    </row>
    <row r="1251" spans="1:11" x14ac:dyDescent="0.2">
      <c r="A1251" s="384" t="s">
        <v>1756</v>
      </c>
      <c r="B1251" s="382" t="s">
        <v>308</v>
      </c>
      <c r="C1251" s="878"/>
      <c r="D1251" s="881"/>
      <c r="E1251" s="468">
        <v>23</v>
      </c>
      <c r="F1251" s="520"/>
      <c r="G1251" s="469"/>
      <c r="H1251" s="528">
        <v>18.5</v>
      </c>
      <c r="I1251" s="884"/>
      <c r="J1251" s="461">
        <v>35289.961465294386</v>
      </c>
      <c r="K1251" s="486"/>
    </row>
    <row r="1252" spans="1:11" x14ac:dyDescent="0.2">
      <c r="A1252" s="384" t="s">
        <v>1757</v>
      </c>
      <c r="B1252" s="382" t="s">
        <v>308</v>
      </c>
      <c r="C1252" s="878"/>
      <c r="D1252" s="881"/>
      <c r="E1252" s="468">
        <v>24</v>
      </c>
      <c r="F1252" s="520"/>
      <c r="G1252" s="469"/>
      <c r="H1252" s="528">
        <v>18.5</v>
      </c>
      <c r="I1252" s="884"/>
      <c r="J1252" s="461">
        <v>35289.961465294386</v>
      </c>
      <c r="K1252" s="486"/>
    </row>
    <row r="1253" spans="1:11" x14ac:dyDescent="0.2">
      <c r="A1253" s="384" t="s">
        <v>1758</v>
      </c>
      <c r="B1253" s="382" t="s">
        <v>308</v>
      </c>
      <c r="C1253" s="878"/>
      <c r="D1253" s="881"/>
      <c r="E1253" s="468">
        <v>25</v>
      </c>
      <c r="F1253" s="520"/>
      <c r="G1253" s="469"/>
      <c r="H1253" s="528">
        <v>19</v>
      </c>
      <c r="I1253" s="884"/>
      <c r="J1253" s="461">
        <v>36243.744207599637</v>
      </c>
      <c r="K1253" s="486"/>
    </row>
    <row r="1254" spans="1:11" x14ac:dyDescent="0.2">
      <c r="A1254" s="384" t="s">
        <v>1759</v>
      </c>
      <c r="B1254" s="382" t="s">
        <v>308</v>
      </c>
      <c r="C1254" s="878"/>
      <c r="D1254" s="881"/>
      <c r="E1254" s="468">
        <v>26</v>
      </c>
      <c r="F1254" s="520"/>
      <c r="G1254" s="469"/>
      <c r="H1254" s="528">
        <v>18.5</v>
      </c>
      <c r="I1254" s="884"/>
      <c r="J1254" s="461">
        <v>35289.961465294386</v>
      </c>
      <c r="K1254" s="486"/>
    </row>
    <row r="1255" spans="1:11" x14ac:dyDescent="0.2">
      <c r="A1255" s="384" t="s">
        <v>1760</v>
      </c>
      <c r="B1255" s="382" t="s">
        <v>308</v>
      </c>
      <c r="C1255" s="878"/>
      <c r="D1255" s="881"/>
      <c r="E1255" s="468">
        <v>27</v>
      </c>
      <c r="F1255" s="520"/>
      <c r="G1255" s="469"/>
      <c r="H1255" s="528">
        <v>18.5</v>
      </c>
      <c r="I1255" s="884"/>
      <c r="J1255" s="461">
        <v>35289.961465294386</v>
      </c>
      <c r="K1255" s="486"/>
    </row>
    <row r="1256" spans="1:11" x14ac:dyDescent="0.2">
      <c r="A1256" s="384" t="s">
        <v>1761</v>
      </c>
      <c r="B1256" s="382" t="s">
        <v>308</v>
      </c>
      <c r="C1256" s="878"/>
      <c r="D1256" s="881"/>
      <c r="E1256" s="468">
        <v>28</v>
      </c>
      <c r="F1256" s="520"/>
      <c r="G1256" s="469"/>
      <c r="H1256" s="528">
        <v>18.5</v>
      </c>
      <c r="I1256" s="884"/>
      <c r="J1256" s="461">
        <v>35289.961465294386</v>
      </c>
      <c r="K1256" s="486"/>
    </row>
    <row r="1257" spans="1:11" x14ac:dyDescent="0.2">
      <c r="A1257" s="384" t="s">
        <v>1762</v>
      </c>
      <c r="B1257" s="382" t="s">
        <v>308</v>
      </c>
      <c r="C1257" s="878"/>
      <c r="D1257" s="881"/>
      <c r="E1257" s="468">
        <v>29</v>
      </c>
      <c r="F1257" s="520"/>
      <c r="G1257" s="469"/>
      <c r="H1257" s="528">
        <v>18.5</v>
      </c>
      <c r="I1257" s="884"/>
      <c r="J1257" s="461">
        <v>35289.961465294386</v>
      </c>
      <c r="K1257" s="486"/>
    </row>
    <row r="1258" spans="1:11" x14ac:dyDescent="0.2">
      <c r="A1258" s="384" t="s">
        <v>1763</v>
      </c>
      <c r="B1258" s="382" t="s">
        <v>308</v>
      </c>
      <c r="C1258" s="878"/>
      <c r="D1258" s="881"/>
      <c r="E1258" s="468">
        <v>30</v>
      </c>
      <c r="F1258" s="520"/>
      <c r="G1258" s="469"/>
      <c r="H1258" s="528">
        <v>19</v>
      </c>
      <c r="I1258" s="884"/>
      <c r="J1258" s="461">
        <v>36243.744207599637</v>
      </c>
      <c r="K1258" s="486"/>
    </row>
    <row r="1259" spans="1:11" x14ac:dyDescent="0.2">
      <c r="A1259" s="384" t="s">
        <v>1764</v>
      </c>
      <c r="B1259" s="382" t="s">
        <v>308</v>
      </c>
      <c r="C1259" s="878"/>
      <c r="D1259" s="881"/>
      <c r="E1259" s="468">
        <v>31</v>
      </c>
      <c r="F1259" s="520"/>
      <c r="G1259" s="469"/>
      <c r="H1259" s="528">
        <v>18</v>
      </c>
      <c r="I1259" s="884"/>
      <c r="J1259" s="461">
        <v>34336.178722989127</v>
      </c>
      <c r="K1259" s="486"/>
    </row>
    <row r="1260" spans="1:11" x14ac:dyDescent="0.2">
      <c r="A1260" s="384" t="s">
        <v>1765</v>
      </c>
      <c r="B1260" s="382" t="s">
        <v>308</v>
      </c>
      <c r="C1260" s="878"/>
      <c r="D1260" s="881"/>
      <c r="E1260" s="468">
        <v>32</v>
      </c>
      <c r="F1260" s="520"/>
      <c r="G1260" s="469"/>
      <c r="H1260" s="528">
        <v>18.5</v>
      </c>
      <c r="I1260" s="884"/>
      <c r="J1260" s="461">
        <v>35289.961465294386</v>
      </c>
      <c r="K1260" s="486"/>
    </row>
    <row r="1261" spans="1:11" x14ac:dyDescent="0.2">
      <c r="A1261" s="384" t="s">
        <v>1766</v>
      </c>
      <c r="B1261" s="382" t="s">
        <v>308</v>
      </c>
      <c r="C1261" s="878"/>
      <c r="D1261" s="881"/>
      <c r="E1261" s="468">
        <v>33</v>
      </c>
      <c r="F1261" s="520"/>
      <c r="G1261" s="469"/>
      <c r="H1261" s="528">
        <v>18.5</v>
      </c>
      <c r="I1261" s="884"/>
      <c r="J1261" s="461">
        <v>35289.961465294386</v>
      </c>
      <c r="K1261" s="486"/>
    </row>
    <row r="1262" spans="1:11" x14ac:dyDescent="0.2">
      <c r="A1262" s="384" t="s">
        <v>1767</v>
      </c>
      <c r="B1262" s="382" t="s">
        <v>308</v>
      </c>
      <c r="C1262" s="878"/>
      <c r="D1262" s="881"/>
      <c r="E1262" s="468">
        <v>34</v>
      </c>
      <c r="F1262" s="520"/>
      <c r="G1262" s="469"/>
      <c r="H1262" s="528">
        <v>18.5</v>
      </c>
      <c r="I1262" s="884"/>
      <c r="J1262" s="461">
        <v>35289.961465294386</v>
      </c>
      <c r="K1262" s="486"/>
    </row>
    <row r="1263" spans="1:11" x14ac:dyDescent="0.2">
      <c r="A1263" s="384" t="s">
        <v>1768</v>
      </c>
      <c r="B1263" s="382" t="s">
        <v>308</v>
      </c>
      <c r="C1263" s="878"/>
      <c r="D1263" s="881"/>
      <c r="E1263" s="468">
        <v>35</v>
      </c>
      <c r="F1263" s="520"/>
      <c r="G1263" s="469"/>
      <c r="H1263" s="528">
        <v>18.5</v>
      </c>
      <c r="I1263" s="884"/>
      <c r="J1263" s="461">
        <v>35289.961465294386</v>
      </c>
      <c r="K1263" s="486"/>
    </row>
    <row r="1264" spans="1:11" x14ac:dyDescent="0.2">
      <c r="A1264" s="384" t="s">
        <v>1769</v>
      </c>
      <c r="B1264" s="382" t="s">
        <v>308</v>
      </c>
      <c r="C1264" s="878"/>
      <c r="D1264" s="881"/>
      <c r="E1264" s="468">
        <v>36</v>
      </c>
      <c r="F1264" s="520"/>
      <c r="G1264" s="469"/>
      <c r="H1264" s="528">
        <v>18.5</v>
      </c>
      <c r="I1264" s="884"/>
      <c r="J1264" s="461">
        <v>35289.961465294386</v>
      </c>
      <c r="K1264" s="486"/>
    </row>
    <row r="1265" spans="1:11" x14ac:dyDescent="0.2">
      <c r="A1265" s="384" t="s">
        <v>1770</v>
      </c>
      <c r="B1265" s="382" t="s">
        <v>308</v>
      </c>
      <c r="C1265" s="878"/>
      <c r="D1265" s="881"/>
      <c r="E1265" s="468">
        <v>37</v>
      </c>
      <c r="F1265" s="520"/>
      <c r="G1265" s="469"/>
      <c r="H1265" s="528">
        <v>18.5</v>
      </c>
      <c r="I1265" s="884"/>
      <c r="J1265" s="461">
        <v>35289.961465294386</v>
      </c>
      <c r="K1265" s="486"/>
    </row>
    <row r="1266" spans="1:11" x14ac:dyDescent="0.2">
      <c r="A1266" s="384" t="s">
        <v>1771</v>
      </c>
      <c r="B1266" s="382" t="s">
        <v>308</v>
      </c>
      <c r="C1266" s="878"/>
      <c r="D1266" s="881"/>
      <c r="E1266" s="468">
        <v>38</v>
      </c>
      <c r="F1266" s="520"/>
      <c r="G1266" s="469"/>
      <c r="H1266" s="528">
        <v>18.5</v>
      </c>
      <c r="I1266" s="884"/>
      <c r="J1266" s="461">
        <v>35289.961465294386</v>
      </c>
      <c r="K1266" s="486"/>
    </row>
    <row r="1267" spans="1:11" x14ac:dyDescent="0.2">
      <c r="A1267" s="384" t="s">
        <v>1772</v>
      </c>
      <c r="B1267" s="382" t="s">
        <v>308</v>
      </c>
      <c r="C1267" s="878"/>
      <c r="D1267" s="881"/>
      <c r="E1267" s="468">
        <v>39</v>
      </c>
      <c r="F1267" s="520"/>
      <c r="G1267" s="469"/>
      <c r="H1267" s="528">
        <v>18.5</v>
      </c>
      <c r="I1267" s="884"/>
      <c r="J1267" s="461">
        <v>35289.961465294386</v>
      </c>
      <c r="K1267" s="486"/>
    </row>
    <row r="1268" spans="1:11" x14ac:dyDescent="0.2">
      <c r="A1268" s="384" t="s">
        <v>1773</v>
      </c>
      <c r="B1268" s="382" t="s">
        <v>308</v>
      </c>
      <c r="C1268" s="878"/>
      <c r="D1268" s="881"/>
      <c r="E1268" s="468">
        <v>40</v>
      </c>
      <c r="F1268" s="520"/>
      <c r="G1268" s="469"/>
      <c r="H1268" s="528">
        <v>19</v>
      </c>
      <c r="I1268" s="884"/>
      <c r="J1268" s="461">
        <v>36243.744207599637</v>
      </c>
      <c r="K1268" s="486"/>
    </row>
    <row r="1269" spans="1:11" x14ac:dyDescent="0.2">
      <c r="A1269" s="384" t="s">
        <v>1774</v>
      </c>
      <c r="B1269" s="382" t="s">
        <v>308</v>
      </c>
      <c r="C1269" s="878"/>
      <c r="D1269" s="881"/>
      <c r="E1269" s="468">
        <v>41</v>
      </c>
      <c r="F1269" s="520"/>
      <c r="G1269" s="469"/>
      <c r="H1269" s="528">
        <v>19</v>
      </c>
      <c r="I1269" s="884"/>
      <c r="J1269" s="461">
        <v>36243.744207599637</v>
      </c>
      <c r="K1269" s="486"/>
    </row>
    <row r="1270" spans="1:11" x14ac:dyDescent="0.2">
      <c r="A1270" s="384" t="s">
        <v>1775</v>
      </c>
      <c r="B1270" s="382" t="s">
        <v>308</v>
      </c>
      <c r="C1270" s="878"/>
      <c r="D1270" s="881"/>
      <c r="E1270" s="468">
        <v>42</v>
      </c>
      <c r="F1270" s="520"/>
      <c r="G1270" s="469"/>
      <c r="H1270" s="528">
        <v>18.5</v>
      </c>
      <c r="I1270" s="884"/>
      <c r="J1270" s="461">
        <v>35289.961465294386</v>
      </c>
      <c r="K1270" s="486"/>
    </row>
    <row r="1271" spans="1:11" x14ac:dyDescent="0.2">
      <c r="A1271" s="384" t="s">
        <v>1776</v>
      </c>
      <c r="B1271" s="382" t="s">
        <v>308</v>
      </c>
      <c r="C1271" s="878"/>
      <c r="D1271" s="881"/>
      <c r="E1271" s="468">
        <v>43</v>
      </c>
      <c r="F1271" s="520"/>
      <c r="G1271" s="469"/>
      <c r="H1271" s="528">
        <v>18.5</v>
      </c>
      <c r="I1271" s="884"/>
      <c r="J1271" s="461">
        <v>35289.961465294386</v>
      </c>
      <c r="K1271" s="486"/>
    </row>
    <row r="1272" spans="1:11" x14ac:dyDescent="0.2">
      <c r="A1272" s="384" t="s">
        <v>1777</v>
      </c>
      <c r="B1272" s="382" t="s">
        <v>308</v>
      </c>
      <c r="C1272" s="878"/>
      <c r="D1272" s="881"/>
      <c r="E1272" s="468">
        <v>44</v>
      </c>
      <c r="F1272" s="520"/>
      <c r="G1272" s="469"/>
      <c r="H1272" s="528">
        <v>18.5</v>
      </c>
      <c r="I1272" s="884"/>
      <c r="J1272" s="461">
        <v>35289.961465294386</v>
      </c>
      <c r="K1272" s="486"/>
    </row>
    <row r="1273" spans="1:11" x14ac:dyDescent="0.2">
      <c r="A1273" s="384" t="s">
        <v>1778</v>
      </c>
      <c r="B1273" s="382" t="s">
        <v>308</v>
      </c>
      <c r="C1273" s="878"/>
      <c r="D1273" s="881"/>
      <c r="E1273" s="468">
        <v>45</v>
      </c>
      <c r="F1273" s="520"/>
      <c r="G1273" s="469"/>
      <c r="H1273" s="528">
        <v>18.5</v>
      </c>
      <c r="I1273" s="884"/>
      <c r="J1273" s="461">
        <v>35289.961465294386</v>
      </c>
      <c r="K1273" s="486"/>
    </row>
    <row r="1274" spans="1:11" x14ac:dyDescent="0.2">
      <c r="A1274" s="384" t="s">
        <v>1779</v>
      </c>
      <c r="B1274" s="382" t="s">
        <v>308</v>
      </c>
      <c r="C1274" s="878"/>
      <c r="D1274" s="881"/>
      <c r="E1274" s="468">
        <v>46</v>
      </c>
      <c r="F1274" s="520"/>
      <c r="G1274" s="469"/>
      <c r="H1274" s="528">
        <v>18.5</v>
      </c>
      <c r="I1274" s="884"/>
      <c r="J1274" s="461">
        <v>35289.961465294386</v>
      </c>
      <c r="K1274" s="486"/>
    </row>
    <row r="1275" spans="1:11" x14ac:dyDescent="0.2">
      <c r="A1275" s="384" t="s">
        <v>1780</v>
      </c>
      <c r="B1275" s="382" t="s">
        <v>308</v>
      </c>
      <c r="C1275" s="878"/>
      <c r="D1275" s="881"/>
      <c r="E1275" s="468">
        <v>47</v>
      </c>
      <c r="F1275" s="520"/>
      <c r="G1275" s="469"/>
      <c r="H1275" s="528">
        <v>18.5</v>
      </c>
      <c r="I1275" s="884"/>
      <c r="J1275" s="461">
        <v>35289.961465294386</v>
      </c>
      <c r="K1275" s="486"/>
    </row>
    <row r="1276" spans="1:11" x14ac:dyDescent="0.2">
      <c r="A1276" s="384" t="s">
        <v>1781</v>
      </c>
      <c r="B1276" s="382" t="s">
        <v>308</v>
      </c>
      <c r="C1276" s="878"/>
      <c r="D1276" s="881"/>
      <c r="E1276" s="468">
        <v>48</v>
      </c>
      <c r="F1276" s="520"/>
      <c r="G1276" s="469"/>
      <c r="H1276" s="528">
        <v>18.5</v>
      </c>
      <c r="I1276" s="884"/>
      <c r="J1276" s="461">
        <v>35289.961465294386</v>
      </c>
      <c r="K1276" s="486"/>
    </row>
    <row r="1277" spans="1:11" x14ac:dyDescent="0.2">
      <c r="A1277" s="384" t="s">
        <v>1782</v>
      </c>
      <c r="B1277" s="382" t="s">
        <v>308</v>
      </c>
      <c r="C1277" s="878"/>
      <c r="D1277" s="881"/>
      <c r="E1277" s="468">
        <v>49</v>
      </c>
      <c r="F1277" s="520"/>
      <c r="G1277" s="469"/>
      <c r="H1277" s="528">
        <v>18.5</v>
      </c>
      <c r="I1277" s="884"/>
      <c r="J1277" s="461">
        <v>35289.961465294386</v>
      </c>
      <c r="K1277" s="486"/>
    </row>
    <row r="1278" spans="1:11" x14ac:dyDescent="0.2">
      <c r="A1278" s="384" t="s">
        <v>1783</v>
      </c>
      <c r="B1278" s="382" t="s">
        <v>308</v>
      </c>
      <c r="C1278" s="878"/>
      <c r="D1278" s="881"/>
      <c r="E1278" s="468">
        <v>50</v>
      </c>
      <c r="F1278" s="520"/>
      <c r="G1278" s="469"/>
      <c r="H1278" s="528">
        <v>18.5</v>
      </c>
      <c r="I1278" s="884"/>
      <c r="J1278" s="461">
        <v>35289.961465294386</v>
      </c>
      <c r="K1278" s="486"/>
    </row>
    <row r="1279" spans="1:11" x14ac:dyDescent="0.2">
      <c r="A1279" s="384" t="s">
        <v>1784</v>
      </c>
      <c r="B1279" s="382" t="s">
        <v>308</v>
      </c>
      <c r="C1279" s="878"/>
      <c r="D1279" s="881"/>
      <c r="E1279" s="468">
        <v>51</v>
      </c>
      <c r="F1279" s="520"/>
      <c r="G1279" s="469"/>
      <c r="H1279" s="528">
        <v>18.5</v>
      </c>
      <c r="I1279" s="884"/>
      <c r="J1279" s="461">
        <v>35289.961465294386</v>
      </c>
      <c r="K1279" s="486"/>
    </row>
    <row r="1280" spans="1:11" x14ac:dyDescent="0.2">
      <c r="A1280" s="384" t="s">
        <v>1785</v>
      </c>
      <c r="B1280" s="382" t="s">
        <v>308</v>
      </c>
      <c r="C1280" s="878"/>
      <c r="D1280" s="881"/>
      <c r="E1280" s="468">
        <v>52</v>
      </c>
      <c r="F1280" s="520"/>
      <c r="G1280" s="469"/>
      <c r="H1280" s="528">
        <v>18.5</v>
      </c>
      <c r="I1280" s="884"/>
      <c r="J1280" s="461">
        <v>35289.961465294386</v>
      </c>
      <c r="K1280" s="486"/>
    </row>
    <row r="1281" spans="1:11" x14ac:dyDescent="0.2">
      <c r="A1281" s="384" t="s">
        <v>1786</v>
      </c>
      <c r="B1281" s="382" t="s">
        <v>308</v>
      </c>
      <c r="C1281" s="878"/>
      <c r="D1281" s="881"/>
      <c r="E1281" s="468">
        <v>53</v>
      </c>
      <c r="F1281" s="520"/>
      <c r="G1281" s="469"/>
      <c r="H1281" s="528">
        <v>19</v>
      </c>
      <c r="I1281" s="884"/>
      <c r="J1281" s="461">
        <v>36243.744207599637</v>
      </c>
      <c r="K1281" s="486"/>
    </row>
    <row r="1282" spans="1:11" x14ac:dyDescent="0.2">
      <c r="A1282" s="384" t="s">
        <v>1787</v>
      </c>
      <c r="B1282" s="382" t="s">
        <v>308</v>
      </c>
      <c r="C1282" s="878"/>
      <c r="D1282" s="881"/>
      <c r="E1282" s="468">
        <v>54</v>
      </c>
      <c r="F1282" s="520"/>
      <c r="G1282" s="469"/>
      <c r="H1282" s="528">
        <v>19</v>
      </c>
      <c r="I1282" s="884"/>
      <c r="J1282" s="461">
        <v>36243.744207599637</v>
      </c>
      <c r="K1282" s="486"/>
    </row>
    <row r="1283" spans="1:11" x14ac:dyDescent="0.2">
      <c r="A1283" s="384" t="s">
        <v>1788</v>
      </c>
      <c r="B1283" s="382" t="s">
        <v>308</v>
      </c>
      <c r="C1283" s="878"/>
      <c r="D1283" s="881"/>
      <c r="E1283" s="468">
        <v>55</v>
      </c>
      <c r="F1283" s="520"/>
      <c r="G1283" s="469"/>
      <c r="H1283" s="528">
        <v>18.5</v>
      </c>
      <c r="I1283" s="884"/>
      <c r="J1283" s="461">
        <v>35289.961465294386</v>
      </c>
      <c r="K1283" s="486"/>
    </row>
    <row r="1284" spans="1:11" x14ac:dyDescent="0.2">
      <c r="A1284" s="384" t="s">
        <v>1789</v>
      </c>
      <c r="B1284" s="382" t="s">
        <v>308</v>
      </c>
      <c r="C1284" s="878"/>
      <c r="D1284" s="881"/>
      <c r="E1284" s="468">
        <v>56</v>
      </c>
      <c r="F1284" s="520"/>
      <c r="G1284" s="469"/>
      <c r="H1284" s="528">
        <v>18.5</v>
      </c>
      <c r="I1284" s="884"/>
      <c r="J1284" s="461">
        <v>35289.961465294386</v>
      </c>
      <c r="K1284" s="486"/>
    </row>
    <row r="1285" spans="1:11" x14ac:dyDescent="0.2">
      <c r="A1285" s="384" t="s">
        <v>1790</v>
      </c>
      <c r="B1285" s="382" t="s">
        <v>308</v>
      </c>
      <c r="C1285" s="878"/>
      <c r="D1285" s="881"/>
      <c r="E1285" s="468">
        <v>57</v>
      </c>
      <c r="F1285" s="520"/>
      <c r="G1285" s="469"/>
      <c r="H1285" s="528">
        <v>18.5</v>
      </c>
      <c r="I1285" s="884"/>
      <c r="J1285" s="461">
        <v>35289.961465294386</v>
      </c>
      <c r="K1285" s="486"/>
    </row>
    <row r="1286" spans="1:11" x14ac:dyDescent="0.2">
      <c r="A1286" s="384" t="s">
        <v>1791</v>
      </c>
      <c r="B1286" s="382" t="s">
        <v>308</v>
      </c>
      <c r="C1286" s="878"/>
      <c r="D1286" s="881"/>
      <c r="E1286" s="468">
        <v>58</v>
      </c>
      <c r="F1286" s="520"/>
      <c r="G1286" s="469"/>
      <c r="H1286" s="528">
        <v>18.5</v>
      </c>
      <c r="I1286" s="884"/>
      <c r="J1286" s="461">
        <v>35289.961465294386</v>
      </c>
      <c r="K1286" s="486"/>
    </row>
    <row r="1287" spans="1:11" x14ac:dyDescent="0.2">
      <c r="A1287" s="384" t="s">
        <v>1792</v>
      </c>
      <c r="B1287" s="382" t="s">
        <v>308</v>
      </c>
      <c r="C1287" s="878"/>
      <c r="D1287" s="881"/>
      <c r="E1287" s="468">
        <v>59</v>
      </c>
      <c r="F1287" s="520"/>
      <c r="G1287" s="469"/>
      <c r="H1287" s="528">
        <v>18.5</v>
      </c>
      <c r="I1287" s="884"/>
      <c r="J1287" s="461">
        <v>35289.961465294386</v>
      </c>
      <c r="K1287" s="486"/>
    </row>
    <row r="1288" spans="1:11" x14ac:dyDescent="0.2">
      <c r="A1288" s="384" t="s">
        <v>1793</v>
      </c>
      <c r="B1288" s="382" t="s">
        <v>308</v>
      </c>
      <c r="C1288" s="879"/>
      <c r="D1288" s="882"/>
      <c r="E1288" s="468">
        <v>60</v>
      </c>
      <c r="F1288" s="520"/>
      <c r="G1288" s="469"/>
      <c r="H1288" s="528">
        <v>19.5</v>
      </c>
      <c r="I1288" s="885"/>
      <c r="J1288" s="461">
        <v>37197.526949904895</v>
      </c>
      <c r="K1288" s="486"/>
    </row>
    <row r="1289" spans="1:11" x14ac:dyDescent="0.2">
      <c r="A1289" s="383" t="s">
        <v>13083</v>
      </c>
      <c r="B1289" s="382"/>
      <c r="C1289" s="877" t="s">
        <v>13084</v>
      </c>
      <c r="D1289" s="880">
        <v>4</v>
      </c>
      <c r="E1289" s="472"/>
      <c r="F1289" s="623"/>
      <c r="G1289" s="382"/>
      <c r="H1289" s="529">
        <f>175-175</f>
        <v>0</v>
      </c>
      <c r="I1289" s="883">
        <v>1933</v>
      </c>
      <c r="J1289" s="461">
        <f>109100-109100</f>
        <v>0</v>
      </c>
      <c r="K1289" s="486"/>
    </row>
    <row r="1290" spans="1:11" x14ac:dyDescent="0.2">
      <c r="A1290" s="384" t="s">
        <v>13085</v>
      </c>
      <c r="B1290" s="382" t="s">
        <v>308</v>
      </c>
      <c r="C1290" s="878"/>
      <c r="D1290" s="881"/>
      <c r="E1290" s="468">
        <v>2</v>
      </c>
      <c r="F1290" s="520"/>
      <c r="G1290" s="469"/>
      <c r="H1290" s="528">
        <v>31.1</v>
      </c>
      <c r="I1290" s="884"/>
      <c r="J1290" s="461">
        <v>19388.628571428573</v>
      </c>
      <c r="K1290" s="486"/>
    </row>
    <row r="1291" spans="1:11" ht="12.75" customHeight="1" x14ac:dyDescent="0.2">
      <c r="A1291" s="384" t="s">
        <v>13086</v>
      </c>
      <c r="B1291" s="382" t="s">
        <v>308</v>
      </c>
      <c r="C1291" s="878"/>
      <c r="D1291" s="881"/>
      <c r="E1291" s="468">
        <v>3</v>
      </c>
      <c r="F1291" s="520"/>
      <c r="G1291" s="469"/>
      <c r="H1291" s="528">
        <v>26.5</v>
      </c>
      <c r="I1291" s="884"/>
      <c r="J1291" s="461">
        <v>16520.857142857145</v>
      </c>
      <c r="K1291" s="486"/>
    </row>
    <row r="1292" spans="1:11" ht="15.75" customHeight="1" x14ac:dyDescent="0.2">
      <c r="A1292" s="384" t="s">
        <v>13087</v>
      </c>
      <c r="B1292" s="382" t="s">
        <v>308</v>
      </c>
      <c r="C1292" s="878"/>
      <c r="D1292" s="881"/>
      <c r="E1292" s="468">
        <v>4</v>
      </c>
      <c r="F1292" s="520" t="s">
        <v>13088</v>
      </c>
      <c r="G1292" s="530" t="s">
        <v>143</v>
      </c>
      <c r="H1292" s="528">
        <v>39.5</v>
      </c>
      <c r="I1292" s="884"/>
      <c r="J1292" s="461">
        <v>24625.428571428576</v>
      </c>
      <c r="K1292" s="486"/>
    </row>
    <row r="1293" spans="1:11" ht="18.75" customHeight="1" x14ac:dyDescent="0.2">
      <c r="A1293" s="384" t="s">
        <v>13089</v>
      </c>
      <c r="B1293" s="382" t="s">
        <v>308</v>
      </c>
      <c r="C1293" s="878"/>
      <c r="D1293" s="881"/>
      <c r="E1293" s="468">
        <v>6</v>
      </c>
      <c r="F1293" s="520"/>
      <c r="G1293" s="530"/>
      <c r="H1293" s="528">
        <v>19.5</v>
      </c>
      <c r="I1293" s="884"/>
      <c r="J1293" s="461">
        <v>12156.857142857145</v>
      </c>
      <c r="K1293" s="486"/>
    </row>
    <row r="1294" spans="1:11" ht="12.75" customHeight="1" x14ac:dyDescent="0.2">
      <c r="A1294" s="384" t="s">
        <v>13090</v>
      </c>
      <c r="B1294" s="382" t="s">
        <v>308</v>
      </c>
      <c r="C1294" s="878"/>
      <c r="D1294" s="881"/>
      <c r="E1294" s="468">
        <v>1</v>
      </c>
      <c r="F1294" s="617" t="s">
        <v>13091</v>
      </c>
      <c r="G1294" s="530" t="s">
        <v>143</v>
      </c>
      <c r="H1294" s="528">
        <v>20.7</v>
      </c>
      <c r="I1294" s="884"/>
      <c r="J1294" s="461">
        <v>613134</v>
      </c>
      <c r="K1294" s="486"/>
    </row>
    <row r="1295" spans="1:11" ht="18" customHeight="1" x14ac:dyDescent="0.2">
      <c r="A1295" s="384" t="s">
        <v>13092</v>
      </c>
      <c r="B1295" s="382" t="s">
        <v>308</v>
      </c>
      <c r="C1295" s="879"/>
      <c r="D1295" s="882"/>
      <c r="E1295" s="468">
        <v>5</v>
      </c>
      <c r="F1295" s="617" t="s">
        <v>13093</v>
      </c>
      <c r="G1295" s="530" t="s">
        <v>143</v>
      </c>
      <c r="H1295" s="528">
        <v>20.9</v>
      </c>
      <c r="I1295" s="885"/>
      <c r="J1295" s="461">
        <v>619058</v>
      </c>
      <c r="K1295" s="486"/>
    </row>
    <row r="1296" spans="1:11" ht="16.5" customHeight="1" x14ac:dyDescent="0.2">
      <c r="A1296" s="383" t="s">
        <v>1137</v>
      </c>
      <c r="B1296" s="382"/>
      <c r="C1296" s="893" t="s">
        <v>13094</v>
      </c>
      <c r="D1296" s="898">
        <v>6</v>
      </c>
      <c r="E1296" s="472"/>
      <c r="F1296" s="623"/>
      <c r="G1296" s="382"/>
      <c r="H1296" s="529">
        <f>276.1-276.1</f>
        <v>0</v>
      </c>
      <c r="I1296" s="891">
        <v>1953</v>
      </c>
      <c r="J1296" s="461">
        <f>159100-159100</f>
        <v>0</v>
      </c>
      <c r="K1296" s="486"/>
    </row>
    <row r="1297" spans="1:11" ht="12.75" customHeight="1" x14ac:dyDescent="0.2">
      <c r="A1297" s="384" t="s">
        <v>1138</v>
      </c>
      <c r="B1297" s="382" t="s">
        <v>308</v>
      </c>
      <c r="C1297" s="893"/>
      <c r="D1297" s="898"/>
      <c r="E1297" s="472">
        <v>4</v>
      </c>
      <c r="F1297" s="623"/>
      <c r="G1297" s="382"/>
      <c r="H1297" s="528">
        <v>57.1</v>
      </c>
      <c r="I1297" s="891"/>
      <c r="J1297" s="461">
        <v>32903.332126041285</v>
      </c>
      <c r="K1297" s="486"/>
    </row>
    <row r="1298" spans="1:11" ht="25.5" customHeight="1" x14ac:dyDescent="0.2">
      <c r="A1298" s="384" t="s">
        <v>1139</v>
      </c>
      <c r="B1298" s="382" t="s">
        <v>308</v>
      </c>
      <c r="C1298" s="893"/>
      <c r="D1298" s="898"/>
      <c r="E1298" s="472">
        <v>7</v>
      </c>
      <c r="F1298" s="623"/>
      <c r="G1298" s="382"/>
      <c r="H1298" s="528">
        <v>54.8</v>
      </c>
      <c r="I1298" s="891"/>
      <c r="J1298" s="461">
        <v>31577.978993118431</v>
      </c>
      <c r="K1298" s="486"/>
    </row>
    <row r="1299" spans="1:11" ht="12.75" customHeight="1" x14ac:dyDescent="0.2">
      <c r="A1299" s="383" t="s">
        <v>1140</v>
      </c>
      <c r="B1299" s="382"/>
      <c r="C1299" s="893" t="s">
        <v>13095</v>
      </c>
      <c r="D1299" s="898">
        <v>10</v>
      </c>
      <c r="E1299" s="472"/>
      <c r="F1299" s="623"/>
      <c r="G1299" s="382"/>
      <c r="H1299" s="529">
        <f>90.8-90.8</f>
        <v>0</v>
      </c>
      <c r="I1299" s="891">
        <v>1933</v>
      </c>
      <c r="J1299" s="461">
        <f>58100-58100</f>
        <v>0</v>
      </c>
      <c r="K1299" s="486"/>
    </row>
    <row r="1300" spans="1:11" ht="16.5" customHeight="1" x14ac:dyDescent="0.2">
      <c r="A1300" s="384" t="s">
        <v>1794</v>
      </c>
      <c r="B1300" s="382" t="s">
        <v>308</v>
      </c>
      <c r="C1300" s="893"/>
      <c r="D1300" s="898"/>
      <c r="E1300" s="472">
        <v>1</v>
      </c>
      <c r="F1300" s="623" t="s">
        <v>200</v>
      </c>
      <c r="G1300" s="530" t="s">
        <v>143</v>
      </c>
      <c r="H1300" s="529">
        <v>44.1</v>
      </c>
      <c r="I1300" s="891"/>
      <c r="J1300" s="461">
        <v>28218.171806167404</v>
      </c>
      <c r="K1300" s="486">
        <v>474160.11</v>
      </c>
    </row>
    <row r="1301" spans="1:11" ht="17.25" customHeight="1" x14ac:dyDescent="0.2">
      <c r="A1301" s="384" t="s">
        <v>1795</v>
      </c>
      <c r="B1301" s="382" t="s">
        <v>308</v>
      </c>
      <c r="C1301" s="893"/>
      <c r="D1301" s="898"/>
      <c r="E1301" s="472">
        <v>2</v>
      </c>
      <c r="F1301" s="623" t="s">
        <v>201</v>
      </c>
      <c r="G1301" s="530" t="s">
        <v>143</v>
      </c>
      <c r="H1301" s="529">
        <v>46.7</v>
      </c>
      <c r="I1301" s="891"/>
      <c r="J1301" s="461">
        <v>29881.828193832604</v>
      </c>
      <c r="K1301" s="486">
        <v>502115.13</v>
      </c>
    </row>
    <row r="1302" spans="1:11" ht="12.75" customHeight="1" x14ac:dyDescent="0.2">
      <c r="A1302" s="383" t="s">
        <v>1141</v>
      </c>
      <c r="B1302" s="382"/>
      <c r="C1302" s="893" t="s">
        <v>13096</v>
      </c>
      <c r="D1302" s="898">
        <v>11</v>
      </c>
      <c r="E1302" s="472"/>
      <c r="F1302" s="623"/>
      <c r="G1302" s="382"/>
      <c r="H1302" s="529">
        <f>872.9-872.9</f>
        <v>0</v>
      </c>
      <c r="I1302" s="891">
        <v>1943</v>
      </c>
      <c r="J1302" s="461">
        <f>1868500-1868500</f>
        <v>0</v>
      </c>
      <c r="K1302" s="486"/>
    </row>
    <row r="1303" spans="1:11" ht="25.5" customHeight="1" x14ac:dyDescent="0.2">
      <c r="A1303" s="384" t="s">
        <v>1143</v>
      </c>
      <c r="B1303" s="382" t="s">
        <v>308</v>
      </c>
      <c r="C1303" s="893"/>
      <c r="D1303" s="898"/>
      <c r="E1303" s="468">
        <v>1</v>
      </c>
      <c r="F1303" s="520"/>
      <c r="G1303" s="530"/>
      <c r="H1303" s="528">
        <v>60</v>
      </c>
      <c r="I1303" s="891"/>
      <c r="J1303" s="461">
        <v>128433.955779585</v>
      </c>
      <c r="K1303" s="486"/>
    </row>
    <row r="1304" spans="1:11" ht="15" customHeight="1" x14ac:dyDescent="0.2">
      <c r="A1304" s="383" t="s">
        <v>1142</v>
      </c>
      <c r="B1304" s="382"/>
      <c r="C1304" s="893" t="s">
        <v>13097</v>
      </c>
      <c r="D1304" s="898">
        <v>12</v>
      </c>
      <c r="E1304" s="472"/>
      <c r="F1304" s="623"/>
      <c r="G1304" s="382"/>
      <c r="H1304" s="529">
        <f>109.6-109.6</f>
        <v>0</v>
      </c>
      <c r="I1304" s="891">
        <v>1953</v>
      </c>
      <c r="J1304" s="461">
        <f>55400-55400</f>
        <v>0</v>
      </c>
      <c r="K1304" s="486"/>
    </row>
    <row r="1305" spans="1:11" ht="15" customHeight="1" x14ac:dyDescent="0.2">
      <c r="A1305" s="384" t="s">
        <v>1144</v>
      </c>
      <c r="B1305" s="382" t="s">
        <v>308</v>
      </c>
      <c r="C1305" s="893"/>
      <c r="D1305" s="898"/>
      <c r="E1305" s="472">
        <v>1</v>
      </c>
      <c r="F1305" s="623"/>
      <c r="G1305" s="382"/>
      <c r="H1305" s="528">
        <v>38.6</v>
      </c>
      <c r="I1305" s="891"/>
      <c r="J1305" s="461">
        <v>19511.313868613142</v>
      </c>
      <c r="K1305" s="486"/>
    </row>
    <row r="1306" spans="1:11" ht="15" customHeight="1" x14ac:dyDescent="0.2">
      <c r="A1306" s="384" t="s">
        <v>1145</v>
      </c>
      <c r="B1306" s="382" t="s">
        <v>308</v>
      </c>
      <c r="C1306" s="893"/>
      <c r="D1306" s="898"/>
      <c r="E1306" s="472">
        <v>3</v>
      </c>
      <c r="F1306" s="623"/>
      <c r="G1306" s="382"/>
      <c r="H1306" s="528">
        <v>26</v>
      </c>
      <c r="I1306" s="891"/>
      <c r="J1306" s="461">
        <v>13142.335766423361</v>
      </c>
      <c r="K1306" s="486"/>
    </row>
    <row r="1307" spans="1:11" ht="15" customHeight="1" x14ac:dyDescent="0.2">
      <c r="A1307" s="383" t="s">
        <v>1146</v>
      </c>
      <c r="B1307" s="382"/>
      <c r="C1307" s="877" t="s">
        <v>13098</v>
      </c>
      <c r="D1307" s="880">
        <v>15</v>
      </c>
      <c r="E1307" s="472"/>
      <c r="F1307" s="623"/>
      <c r="G1307" s="382"/>
      <c r="H1307" s="529">
        <f>171.4-171.4</f>
        <v>0</v>
      </c>
      <c r="I1307" s="883">
        <v>1962</v>
      </c>
      <c r="J1307" s="461">
        <f>100000-100000</f>
        <v>0</v>
      </c>
      <c r="K1307" s="486"/>
    </row>
    <row r="1308" spans="1:11" ht="25.5" customHeight="1" x14ac:dyDescent="0.2">
      <c r="A1308" s="384" t="s">
        <v>1147</v>
      </c>
      <c r="B1308" s="382" t="s">
        <v>308</v>
      </c>
      <c r="C1308" s="878"/>
      <c r="D1308" s="881"/>
      <c r="E1308" s="382">
        <v>3</v>
      </c>
      <c r="F1308" s="520"/>
      <c r="G1308" s="530"/>
      <c r="H1308" s="528">
        <v>42.7</v>
      </c>
      <c r="I1308" s="884"/>
      <c r="J1308" s="461">
        <v>24912.485414235707</v>
      </c>
      <c r="K1308" s="486"/>
    </row>
    <row r="1309" spans="1:11" ht="12.75" customHeight="1" x14ac:dyDescent="0.2">
      <c r="A1309" s="384" t="s">
        <v>1148</v>
      </c>
      <c r="B1309" s="382" t="s">
        <v>308</v>
      </c>
      <c r="C1309" s="878"/>
      <c r="D1309" s="881"/>
      <c r="E1309" s="382">
        <v>4</v>
      </c>
      <c r="F1309" s="520"/>
      <c r="G1309" s="530"/>
      <c r="H1309" s="528">
        <v>42.5</v>
      </c>
      <c r="I1309" s="884"/>
      <c r="J1309" s="461">
        <v>24795.799299883314</v>
      </c>
      <c r="K1309" s="486"/>
    </row>
    <row r="1310" spans="1:11" ht="14.25" customHeight="1" x14ac:dyDescent="0.2">
      <c r="A1310" s="384" t="s">
        <v>1149</v>
      </c>
      <c r="B1310" s="382" t="s">
        <v>308</v>
      </c>
      <c r="C1310" s="878"/>
      <c r="D1310" s="881"/>
      <c r="E1310" s="382">
        <v>5</v>
      </c>
      <c r="F1310" s="520"/>
      <c r="G1310" s="530"/>
      <c r="H1310" s="528">
        <v>19.600000000000001</v>
      </c>
      <c r="I1310" s="884"/>
      <c r="J1310" s="461">
        <v>11435.239206534423</v>
      </c>
      <c r="K1310" s="486"/>
    </row>
    <row r="1311" spans="1:11" ht="14.25" customHeight="1" x14ac:dyDescent="0.2">
      <c r="A1311" s="384" t="s">
        <v>1150</v>
      </c>
      <c r="B1311" s="382" t="s">
        <v>308</v>
      </c>
      <c r="C1311" s="878"/>
      <c r="D1311" s="881"/>
      <c r="E1311" s="382">
        <v>6</v>
      </c>
      <c r="F1311" s="520"/>
      <c r="G1311" s="530"/>
      <c r="H1311" s="528">
        <v>18.899999999999999</v>
      </c>
      <c r="I1311" s="884"/>
      <c r="J1311" s="461">
        <v>11026.83780630105</v>
      </c>
      <c r="K1311" s="486"/>
    </row>
    <row r="1312" spans="1:11" ht="13.5" customHeight="1" x14ac:dyDescent="0.2">
      <c r="A1312" s="384" t="s">
        <v>10458</v>
      </c>
      <c r="B1312" s="382" t="s">
        <v>308</v>
      </c>
      <c r="C1312" s="879"/>
      <c r="D1312" s="882"/>
      <c r="E1312" s="516">
        <v>2</v>
      </c>
      <c r="F1312" s="531" t="s">
        <v>10459</v>
      </c>
      <c r="G1312" s="532" t="s">
        <v>143</v>
      </c>
      <c r="H1312" s="524">
        <v>19.100000000000001</v>
      </c>
      <c r="I1312" s="885"/>
      <c r="J1312" s="461">
        <v>565169</v>
      </c>
      <c r="K1312" s="486"/>
    </row>
    <row r="1313" spans="1:11" ht="37.5" customHeight="1" x14ac:dyDescent="0.2">
      <c r="A1313" s="383" t="s">
        <v>1151</v>
      </c>
      <c r="B1313" s="382" t="s">
        <v>308</v>
      </c>
      <c r="C1313" s="617" t="s">
        <v>13099</v>
      </c>
      <c r="D1313" s="619">
        <v>2</v>
      </c>
      <c r="E1313" s="472">
        <v>3</v>
      </c>
      <c r="F1313" s="196"/>
      <c r="G1313" s="382"/>
      <c r="H1313" s="529">
        <f>81.8-60.7</f>
        <v>21.099999999999994</v>
      </c>
      <c r="I1313" s="618">
        <v>1957</v>
      </c>
      <c r="J1313" s="461">
        <f>274900/81.8*21.1</f>
        <v>70909.413202933996</v>
      </c>
      <c r="K1313" s="486"/>
    </row>
    <row r="1314" spans="1:11" ht="18.75" customHeight="1" x14ac:dyDescent="0.2">
      <c r="A1314" s="383" t="s">
        <v>1152</v>
      </c>
      <c r="B1314" s="382"/>
      <c r="C1314" s="893" t="s">
        <v>13100</v>
      </c>
      <c r="D1314" s="898">
        <v>7</v>
      </c>
      <c r="E1314" s="472"/>
      <c r="F1314" s="196"/>
      <c r="G1314" s="382"/>
      <c r="H1314" s="529">
        <f>55.2-55.2</f>
        <v>0</v>
      </c>
      <c r="I1314" s="891">
        <v>1960</v>
      </c>
      <c r="J1314" s="461">
        <f>126300-126300</f>
        <v>0</v>
      </c>
      <c r="K1314" s="486"/>
    </row>
    <row r="1315" spans="1:11" ht="18" customHeight="1" x14ac:dyDescent="0.2">
      <c r="A1315" s="384" t="s">
        <v>1796</v>
      </c>
      <c r="B1315" s="382" t="s">
        <v>308</v>
      </c>
      <c r="C1315" s="893"/>
      <c r="D1315" s="898"/>
      <c r="E1315" s="472">
        <v>1</v>
      </c>
      <c r="F1315" s="196" t="s">
        <v>202</v>
      </c>
      <c r="G1315" s="382"/>
      <c r="H1315" s="529">
        <v>27.6</v>
      </c>
      <c r="I1315" s="891"/>
      <c r="J1315" s="461">
        <v>63150</v>
      </c>
      <c r="K1315" s="486">
        <v>286024.03999999998</v>
      </c>
    </row>
    <row r="1316" spans="1:11" ht="12.75" customHeight="1" x14ac:dyDescent="0.2">
      <c r="A1316" s="384" t="s">
        <v>1797</v>
      </c>
      <c r="B1316" s="382" t="s">
        <v>308</v>
      </c>
      <c r="C1316" s="893"/>
      <c r="D1316" s="898"/>
      <c r="E1316" s="472">
        <v>2</v>
      </c>
      <c r="F1316" s="196" t="s">
        <v>203</v>
      </c>
      <c r="G1316" s="382"/>
      <c r="H1316" s="529">
        <v>27.6</v>
      </c>
      <c r="I1316" s="891"/>
      <c r="J1316" s="461">
        <v>63150</v>
      </c>
      <c r="K1316" s="486">
        <v>286024.03999999998</v>
      </c>
    </row>
    <row r="1317" spans="1:11" ht="37.5" customHeight="1" x14ac:dyDescent="0.2">
      <c r="A1317" s="383" t="s">
        <v>1153</v>
      </c>
      <c r="B1317" s="382" t="s">
        <v>308</v>
      </c>
      <c r="C1317" s="617" t="s">
        <v>13101</v>
      </c>
      <c r="D1317" s="619">
        <v>3</v>
      </c>
      <c r="E1317" s="472">
        <v>2</v>
      </c>
      <c r="F1317" s="196"/>
      <c r="G1317" s="382"/>
      <c r="H1317" s="529">
        <f>164-80.6</f>
        <v>83.4</v>
      </c>
      <c r="I1317" s="618">
        <v>1932</v>
      </c>
      <c r="J1317" s="461">
        <f>98600/164*83.4</f>
        <v>50141.707317073175</v>
      </c>
      <c r="K1317" s="486"/>
    </row>
    <row r="1318" spans="1:11" ht="14.25" customHeight="1" x14ac:dyDescent="0.2">
      <c r="A1318" s="383" t="s">
        <v>1154</v>
      </c>
      <c r="B1318" s="382"/>
      <c r="C1318" s="877" t="s">
        <v>13102</v>
      </c>
      <c r="D1318" s="880">
        <v>19</v>
      </c>
      <c r="E1318" s="472"/>
      <c r="F1318" s="196" t="s">
        <v>204</v>
      </c>
      <c r="G1318" s="382"/>
      <c r="H1318" s="529">
        <f>89.3-89.3</f>
        <v>0</v>
      </c>
      <c r="I1318" s="883">
        <v>1961</v>
      </c>
      <c r="J1318" s="461">
        <f>201400-201400</f>
        <v>0</v>
      </c>
      <c r="K1318" s="486">
        <v>910934.12</v>
      </c>
    </row>
    <row r="1319" spans="1:11" ht="21.75" customHeight="1" x14ac:dyDescent="0.2">
      <c r="A1319" s="384" t="s">
        <v>4994</v>
      </c>
      <c r="B1319" s="382" t="s">
        <v>308</v>
      </c>
      <c r="C1319" s="878"/>
      <c r="D1319" s="881"/>
      <c r="E1319" s="472">
        <v>2</v>
      </c>
      <c r="F1319" s="196" t="s">
        <v>4995</v>
      </c>
      <c r="G1319" s="382"/>
      <c r="H1319" s="529">
        <v>40.5</v>
      </c>
      <c r="I1319" s="884"/>
      <c r="J1319" s="461">
        <f>201400/89.3*H1319</f>
        <v>91340.425531914894</v>
      </c>
      <c r="K1319" s="486"/>
    </row>
    <row r="1320" spans="1:11" ht="14.25" customHeight="1" x14ac:dyDescent="0.2">
      <c r="A1320" s="466" t="s">
        <v>1155</v>
      </c>
      <c r="B1320" s="382"/>
      <c r="C1320" s="877" t="s">
        <v>13103</v>
      </c>
      <c r="D1320" s="880">
        <v>53</v>
      </c>
      <c r="E1320" s="472"/>
      <c r="F1320" s="3"/>
      <c r="G1320" s="382"/>
      <c r="H1320" s="529">
        <f>250.2-250.2</f>
        <v>0</v>
      </c>
      <c r="I1320" s="883">
        <v>1953</v>
      </c>
      <c r="J1320" s="461">
        <f>138600-138600</f>
        <v>0</v>
      </c>
      <c r="K1320" s="486"/>
    </row>
    <row r="1321" spans="1:11" ht="14.25" customHeight="1" x14ac:dyDescent="0.2">
      <c r="A1321" s="384" t="s">
        <v>1156</v>
      </c>
      <c r="B1321" s="382" t="s">
        <v>308</v>
      </c>
      <c r="C1321" s="889"/>
      <c r="D1321" s="889"/>
      <c r="E1321" s="468">
        <v>2</v>
      </c>
      <c r="F1321" s="469"/>
      <c r="G1321" s="469"/>
      <c r="H1321" s="528">
        <v>37.200000000000003</v>
      </c>
      <c r="I1321" s="889"/>
      <c r="J1321" s="461">
        <v>20607.194244604321</v>
      </c>
      <c r="K1321" s="486"/>
    </row>
    <row r="1322" spans="1:11" ht="14.25" customHeight="1" x14ac:dyDescent="0.2">
      <c r="A1322" s="384" t="s">
        <v>1157</v>
      </c>
      <c r="B1322" s="382" t="s">
        <v>308</v>
      </c>
      <c r="C1322" s="889"/>
      <c r="D1322" s="889"/>
      <c r="E1322" s="468">
        <v>4</v>
      </c>
      <c r="F1322" s="469"/>
      <c r="G1322" s="469"/>
      <c r="H1322" s="528">
        <v>48.4</v>
      </c>
      <c r="I1322" s="889"/>
      <c r="J1322" s="461">
        <v>26811.510791366909</v>
      </c>
      <c r="K1322" s="486"/>
    </row>
    <row r="1323" spans="1:11" ht="12.75" customHeight="1" x14ac:dyDescent="0.2">
      <c r="A1323" s="384" t="s">
        <v>1798</v>
      </c>
      <c r="B1323" s="382" t="s">
        <v>308</v>
      </c>
      <c r="C1323" s="889"/>
      <c r="D1323" s="889"/>
      <c r="E1323" s="468">
        <v>6</v>
      </c>
      <c r="F1323" s="469"/>
      <c r="G1323" s="469"/>
      <c r="H1323" s="528">
        <v>37.799999999999997</v>
      </c>
      <c r="I1323" s="889"/>
      <c r="J1323" s="461">
        <v>20939.568345323743</v>
      </c>
      <c r="K1323" s="486"/>
    </row>
    <row r="1324" spans="1:11" ht="15" customHeight="1" x14ac:dyDescent="0.2">
      <c r="A1324" s="384" t="s">
        <v>8947</v>
      </c>
      <c r="B1324" s="382" t="s">
        <v>308</v>
      </c>
      <c r="C1324" s="889"/>
      <c r="D1324" s="889"/>
      <c r="E1324" s="468">
        <v>1</v>
      </c>
      <c r="F1324" s="520" t="s">
        <v>8948</v>
      </c>
      <c r="G1324" s="520" t="s">
        <v>143</v>
      </c>
      <c r="H1324" s="528">
        <v>37.200000000000003</v>
      </c>
      <c r="I1324" s="889"/>
      <c r="J1324" s="461">
        <v>1101120</v>
      </c>
      <c r="K1324" s="486"/>
    </row>
    <row r="1325" spans="1:11" ht="14.25" customHeight="1" x14ac:dyDescent="0.2">
      <c r="A1325" s="384" t="s">
        <v>9367</v>
      </c>
      <c r="B1325" s="382" t="s">
        <v>308</v>
      </c>
      <c r="C1325" s="889"/>
      <c r="D1325" s="889"/>
      <c r="E1325" s="468">
        <v>3</v>
      </c>
      <c r="F1325" s="520" t="s">
        <v>9368</v>
      </c>
      <c r="G1325" s="520" t="s">
        <v>143</v>
      </c>
      <c r="H1325" s="528">
        <v>49.1</v>
      </c>
      <c r="I1325" s="889"/>
      <c r="J1325" s="461">
        <v>1453360</v>
      </c>
      <c r="K1325" s="486"/>
    </row>
    <row r="1326" spans="1:11" ht="15" customHeight="1" x14ac:dyDescent="0.2">
      <c r="A1326" s="384" t="s">
        <v>12364</v>
      </c>
      <c r="B1326" s="382" t="s">
        <v>308</v>
      </c>
      <c r="C1326" s="911"/>
      <c r="D1326" s="911"/>
      <c r="E1326" s="468">
        <v>5</v>
      </c>
      <c r="F1326" s="467" t="s">
        <v>12365</v>
      </c>
      <c r="G1326" s="520" t="s">
        <v>143</v>
      </c>
      <c r="H1326" s="528">
        <v>36.5</v>
      </c>
      <c r="I1326" s="911"/>
      <c r="J1326" s="461">
        <v>1268443.6000000001</v>
      </c>
      <c r="K1326" s="486">
        <v>419201.67</v>
      </c>
    </row>
    <row r="1327" spans="1:11" ht="15" customHeight="1" x14ac:dyDescent="0.2">
      <c r="A1327" s="383" t="s">
        <v>1799</v>
      </c>
      <c r="B1327" s="382"/>
      <c r="C1327" s="893" t="s">
        <v>13104</v>
      </c>
      <c r="D1327" s="898" t="s">
        <v>380</v>
      </c>
      <c r="E1327" s="472"/>
      <c r="F1327" s="196"/>
      <c r="G1327" s="382"/>
      <c r="H1327" s="529">
        <f>402.9-402.9</f>
        <v>0</v>
      </c>
      <c r="I1327" s="891">
        <v>1989</v>
      </c>
      <c r="J1327" s="461">
        <f>1492100-1492100</f>
        <v>0</v>
      </c>
      <c r="K1327" s="486"/>
    </row>
    <row r="1328" spans="1:11" ht="12.75" customHeight="1" x14ac:dyDescent="0.2">
      <c r="A1328" s="384" t="s">
        <v>1158</v>
      </c>
      <c r="B1328" s="382" t="s">
        <v>308</v>
      </c>
      <c r="C1328" s="893"/>
      <c r="D1328" s="898"/>
      <c r="E1328" s="468">
        <v>2</v>
      </c>
      <c r="F1328" s="469" t="s">
        <v>112</v>
      </c>
      <c r="G1328" s="469"/>
      <c r="H1328" s="528">
        <v>58.1</v>
      </c>
      <c r="I1328" s="891"/>
      <c r="J1328" s="461">
        <v>215167.56018863246</v>
      </c>
      <c r="K1328" s="486">
        <v>743168.14</v>
      </c>
    </row>
    <row r="1329" spans="1:11" x14ac:dyDescent="0.2">
      <c r="A1329" s="384" t="s">
        <v>1159</v>
      </c>
      <c r="B1329" s="382" t="s">
        <v>308</v>
      </c>
      <c r="C1329" s="893"/>
      <c r="D1329" s="898"/>
      <c r="E1329" s="468">
        <v>4</v>
      </c>
      <c r="F1329" s="469" t="s">
        <v>113</v>
      </c>
      <c r="G1329" s="469"/>
      <c r="H1329" s="528">
        <v>41.8</v>
      </c>
      <c r="I1329" s="891"/>
      <c r="J1329" s="461">
        <v>154802.13452469598</v>
      </c>
      <c r="K1329" s="486">
        <v>546603.13</v>
      </c>
    </row>
    <row r="1330" spans="1:11" x14ac:dyDescent="0.2">
      <c r="A1330" s="384" t="s">
        <v>1800</v>
      </c>
      <c r="B1330" s="382" t="s">
        <v>308</v>
      </c>
      <c r="C1330" s="893"/>
      <c r="D1330" s="898"/>
      <c r="E1330" s="468">
        <v>5</v>
      </c>
      <c r="F1330" s="469" t="s">
        <v>110</v>
      </c>
      <c r="G1330" s="469"/>
      <c r="H1330" s="528">
        <v>43.5</v>
      </c>
      <c r="I1330" s="891"/>
      <c r="J1330" s="461">
        <v>161097.91511541329</v>
      </c>
      <c r="K1330" s="486">
        <v>568833.4</v>
      </c>
    </row>
    <row r="1331" spans="1:11" ht="12.75" customHeight="1" x14ac:dyDescent="0.2">
      <c r="A1331" s="384" t="s">
        <v>1801</v>
      </c>
      <c r="B1331" s="382" t="s">
        <v>308</v>
      </c>
      <c r="C1331" s="893"/>
      <c r="D1331" s="898"/>
      <c r="E1331" s="468">
        <v>6</v>
      </c>
      <c r="F1331" s="469" t="s">
        <v>111</v>
      </c>
      <c r="G1331" s="469"/>
      <c r="H1331" s="528">
        <v>58</v>
      </c>
      <c r="I1331" s="891"/>
      <c r="J1331" s="461">
        <v>214797.22015388438</v>
      </c>
      <c r="K1331" s="486">
        <v>741889.02</v>
      </c>
    </row>
    <row r="1332" spans="1:11" x14ac:dyDescent="0.2">
      <c r="A1332" s="383" t="s">
        <v>1160</v>
      </c>
      <c r="B1332" s="382"/>
      <c r="C1332" s="893" t="s">
        <v>13105</v>
      </c>
      <c r="D1332" s="898" t="s">
        <v>5490</v>
      </c>
      <c r="E1332" s="472"/>
      <c r="F1332" s="196"/>
      <c r="G1332" s="382"/>
      <c r="H1332" s="461">
        <f>202.6-202.6</f>
        <v>0</v>
      </c>
      <c r="I1332" s="891">
        <v>1977</v>
      </c>
      <c r="J1332" s="461">
        <f>537100-537100</f>
        <v>0</v>
      </c>
      <c r="K1332" s="486"/>
    </row>
    <row r="1333" spans="1:11" ht="12.75" customHeight="1" x14ac:dyDescent="0.2">
      <c r="A1333" s="384" t="s">
        <v>1802</v>
      </c>
      <c r="B1333" s="382" t="s">
        <v>308</v>
      </c>
      <c r="C1333" s="893"/>
      <c r="D1333" s="898"/>
      <c r="E1333" s="472">
        <v>1</v>
      </c>
      <c r="F1333" s="196"/>
      <c r="G1333" s="382"/>
      <c r="H1333" s="461">
        <v>50.9</v>
      </c>
      <c r="I1333" s="891"/>
      <c r="J1333" s="461">
        <v>134937.75913129319</v>
      </c>
      <c r="K1333" s="486"/>
    </row>
    <row r="1334" spans="1:11" ht="24.75" customHeight="1" x14ac:dyDescent="0.2">
      <c r="A1334" s="384" t="s">
        <v>1803</v>
      </c>
      <c r="B1334" s="382" t="s">
        <v>308</v>
      </c>
      <c r="C1334" s="893"/>
      <c r="D1334" s="898"/>
      <c r="E1334" s="472">
        <v>2</v>
      </c>
      <c r="F1334" s="196"/>
      <c r="G1334" s="382"/>
      <c r="H1334" s="461">
        <v>50.2</v>
      </c>
      <c r="I1334" s="891"/>
      <c r="J1334" s="461">
        <v>133082.03356367227</v>
      </c>
      <c r="K1334" s="486"/>
    </row>
    <row r="1335" spans="1:11" ht="12.75" customHeight="1" x14ac:dyDescent="0.2">
      <c r="A1335" s="383" t="s">
        <v>1161</v>
      </c>
      <c r="B1335" s="382"/>
      <c r="C1335" s="893" t="s">
        <v>13106</v>
      </c>
      <c r="D1335" s="898">
        <v>1</v>
      </c>
      <c r="E1335" s="472"/>
      <c r="F1335" s="196"/>
      <c r="G1335" s="382"/>
      <c r="H1335" s="461">
        <f>1899-1899</f>
        <v>0</v>
      </c>
      <c r="I1335" s="891">
        <v>1957</v>
      </c>
      <c r="J1335" s="461">
        <f>962700-962700</f>
        <v>0</v>
      </c>
      <c r="K1335" s="486"/>
    </row>
    <row r="1336" spans="1:11" ht="27" customHeight="1" x14ac:dyDescent="0.2">
      <c r="A1336" s="384" t="s">
        <v>1804</v>
      </c>
      <c r="B1336" s="382" t="s">
        <v>308</v>
      </c>
      <c r="C1336" s="893"/>
      <c r="D1336" s="898"/>
      <c r="E1336" s="472">
        <v>23</v>
      </c>
      <c r="F1336" s="196"/>
      <c r="G1336" s="382"/>
      <c r="H1336" s="461">
        <v>45.3</v>
      </c>
      <c r="I1336" s="891"/>
      <c r="J1336" s="461">
        <v>22964.881516587677</v>
      </c>
      <c r="K1336" s="486"/>
    </row>
    <row r="1337" spans="1:11" ht="24.75" customHeight="1" x14ac:dyDescent="0.2">
      <c r="A1337" s="383" t="s">
        <v>1162</v>
      </c>
      <c r="B1337" s="382"/>
      <c r="C1337" s="877" t="s">
        <v>13107</v>
      </c>
      <c r="D1337" s="880">
        <v>3</v>
      </c>
      <c r="E1337" s="472"/>
      <c r="F1337" s="196"/>
      <c r="G1337" s="382"/>
      <c r="H1337" s="529">
        <f>1734-1734</f>
        <v>0</v>
      </c>
      <c r="I1337" s="883">
        <v>1958</v>
      </c>
      <c r="J1337" s="461">
        <f>783900-783900</f>
        <v>0</v>
      </c>
      <c r="K1337" s="486"/>
    </row>
    <row r="1338" spans="1:11" x14ac:dyDescent="0.2">
      <c r="A1338" s="384" t="s">
        <v>1163</v>
      </c>
      <c r="B1338" s="382" t="s">
        <v>308</v>
      </c>
      <c r="C1338" s="878"/>
      <c r="D1338" s="881"/>
      <c r="E1338" s="468">
        <v>23</v>
      </c>
      <c r="F1338" s="520" t="s">
        <v>114</v>
      </c>
      <c r="G1338" s="469"/>
      <c r="H1338" s="528">
        <v>42.9</v>
      </c>
      <c r="I1338" s="884"/>
      <c r="J1338" s="461">
        <v>19394.065743944637</v>
      </c>
      <c r="K1338" s="486">
        <v>590714.12</v>
      </c>
    </row>
    <row r="1339" spans="1:11" x14ac:dyDescent="0.2">
      <c r="A1339" s="383" t="s">
        <v>1164</v>
      </c>
      <c r="B1339" s="382"/>
      <c r="C1339" s="877" t="s">
        <v>13108</v>
      </c>
      <c r="D1339" s="880">
        <v>6</v>
      </c>
      <c r="E1339" s="472"/>
      <c r="F1339" s="196"/>
      <c r="G1339" s="613"/>
      <c r="H1339" s="529">
        <f>939-939</f>
        <v>0</v>
      </c>
      <c r="I1339" s="883">
        <v>1958</v>
      </c>
      <c r="J1339" s="461">
        <f>398500-398500</f>
        <v>0</v>
      </c>
      <c r="K1339" s="486"/>
    </row>
    <row r="1340" spans="1:11" ht="25.5" customHeight="1" x14ac:dyDescent="0.2">
      <c r="A1340" s="384" t="s">
        <v>7032</v>
      </c>
      <c r="B1340" s="382" t="s">
        <v>5459</v>
      </c>
      <c r="C1340" s="879"/>
      <c r="D1340" s="882"/>
      <c r="E1340" s="468">
        <v>8</v>
      </c>
      <c r="F1340" s="520" t="s">
        <v>7033</v>
      </c>
      <c r="G1340" s="520" t="s">
        <v>543</v>
      </c>
      <c r="H1340" s="528">
        <v>46.8</v>
      </c>
      <c r="I1340" s="885"/>
      <c r="J1340" s="461">
        <v>1041348</v>
      </c>
      <c r="K1340" s="486">
        <v>600371.46</v>
      </c>
    </row>
    <row r="1341" spans="1:11" ht="12.75" customHeight="1" x14ac:dyDescent="0.2">
      <c r="A1341" s="383" t="s">
        <v>1165</v>
      </c>
      <c r="B1341" s="382"/>
      <c r="C1341" s="877" t="s">
        <v>13109</v>
      </c>
      <c r="D1341" s="880">
        <v>8</v>
      </c>
      <c r="E1341" s="472"/>
      <c r="F1341" s="196"/>
      <c r="G1341" s="613"/>
      <c r="H1341" s="529">
        <f>1448-1448</f>
        <v>0</v>
      </c>
      <c r="I1341" s="883">
        <v>1963</v>
      </c>
      <c r="J1341" s="461">
        <f>707000-707000</f>
        <v>0</v>
      </c>
      <c r="K1341" s="486"/>
    </row>
    <row r="1342" spans="1:11" ht="38.25" x14ac:dyDescent="0.2">
      <c r="A1342" s="384" t="s">
        <v>3510</v>
      </c>
      <c r="B1342" s="382" t="s">
        <v>12792</v>
      </c>
      <c r="C1342" s="878"/>
      <c r="D1342" s="881"/>
      <c r="E1342" s="472">
        <v>13</v>
      </c>
      <c r="F1342" s="196" t="s">
        <v>11633</v>
      </c>
      <c r="G1342" s="613" t="s">
        <v>11624</v>
      </c>
      <c r="H1342" s="529">
        <f>29.7</f>
        <v>29.7</v>
      </c>
      <c r="I1342" s="884"/>
      <c r="J1342" s="461">
        <v>670000</v>
      </c>
      <c r="K1342" s="486">
        <v>567389.63</v>
      </c>
    </row>
    <row r="1343" spans="1:11" ht="12.75" customHeight="1" x14ac:dyDescent="0.2">
      <c r="A1343" s="450" t="s">
        <v>6681</v>
      </c>
      <c r="B1343" s="382" t="s">
        <v>308</v>
      </c>
      <c r="C1343" s="878"/>
      <c r="D1343" s="881"/>
      <c r="E1343" s="472">
        <v>19</v>
      </c>
      <c r="F1343" s="295" t="s">
        <v>6685</v>
      </c>
      <c r="G1343" s="616" t="s">
        <v>143</v>
      </c>
      <c r="H1343" s="529">
        <v>39.700000000000003</v>
      </c>
      <c r="I1343" s="884"/>
      <c r="J1343" s="461">
        <v>749770.56</v>
      </c>
      <c r="K1343" s="486"/>
    </row>
    <row r="1344" spans="1:11" x14ac:dyDescent="0.2">
      <c r="A1344" s="450" t="s">
        <v>10454</v>
      </c>
      <c r="B1344" s="382" t="s">
        <v>308</v>
      </c>
      <c r="C1344" s="879"/>
      <c r="D1344" s="882"/>
      <c r="E1344" s="472">
        <v>21</v>
      </c>
      <c r="F1344" s="45" t="s">
        <v>10455</v>
      </c>
      <c r="G1344" s="616" t="s">
        <v>543</v>
      </c>
      <c r="H1344" s="529">
        <v>42.5</v>
      </c>
      <c r="I1344" s="885"/>
      <c r="J1344" s="461">
        <v>1000000</v>
      </c>
      <c r="K1344" s="486">
        <v>817502.81</v>
      </c>
    </row>
    <row r="1345" spans="1:11" ht="12.75" customHeight="1" x14ac:dyDescent="0.2">
      <c r="A1345" s="383" t="s">
        <v>1166</v>
      </c>
      <c r="B1345" s="382"/>
      <c r="C1345" s="893" t="s">
        <v>13110</v>
      </c>
      <c r="D1345" s="898">
        <v>11</v>
      </c>
      <c r="E1345" s="472"/>
      <c r="F1345" s="196"/>
      <c r="G1345" s="382"/>
      <c r="H1345" s="529">
        <f>1010-1010</f>
        <v>0</v>
      </c>
      <c r="I1345" s="891">
        <v>1960</v>
      </c>
      <c r="J1345" s="461">
        <f>510400-510400</f>
        <v>0</v>
      </c>
      <c r="K1345" s="486"/>
    </row>
    <row r="1346" spans="1:11" ht="26.25" customHeight="1" x14ac:dyDescent="0.2">
      <c r="A1346" s="384" t="s">
        <v>1805</v>
      </c>
      <c r="B1346" s="382" t="s">
        <v>308</v>
      </c>
      <c r="C1346" s="893"/>
      <c r="D1346" s="898"/>
      <c r="E1346" s="468">
        <v>6</v>
      </c>
      <c r="F1346" s="520" t="s">
        <v>4996</v>
      </c>
      <c r="G1346" s="520"/>
      <c r="H1346" s="528">
        <v>40.4</v>
      </c>
      <c r="I1346" s="891"/>
      <c r="J1346" s="461">
        <v>20416</v>
      </c>
      <c r="K1346" s="486">
        <v>556290.22</v>
      </c>
    </row>
    <row r="1347" spans="1:11" x14ac:dyDescent="0.2">
      <c r="A1347" s="383" t="s">
        <v>1167</v>
      </c>
      <c r="B1347" s="382"/>
      <c r="C1347" s="893" t="s">
        <v>13111</v>
      </c>
      <c r="D1347" s="898">
        <v>12</v>
      </c>
      <c r="E1347" s="472"/>
      <c r="F1347" s="196"/>
      <c r="G1347" s="382"/>
      <c r="H1347" s="461">
        <f>1008-1008</f>
        <v>0</v>
      </c>
      <c r="I1347" s="891">
        <v>1960</v>
      </c>
      <c r="J1347" s="461">
        <f>1000*518.2-518200</f>
        <v>0</v>
      </c>
      <c r="K1347" s="486"/>
    </row>
    <row r="1348" spans="1:11" ht="25.5" customHeight="1" x14ac:dyDescent="0.2">
      <c r="A1348" s="382" t="s">
        <v>3535</v>
      </c>
      <c r="B1348" s="382" t="s">
        <v>308</v>
      </c>
      <c r="C1348" s="893"/>
      <c r="D1348" s="898"/>
      <c r="E1348" s="472">
        <v>11</v>
      </c>
      <c r="F1348" s="196" t="s">
        <v>3536</v>
      </c>
      <c r="G1348" s="382" t="s">
        <v>134</v>
      </c>
      <c r="H1348" s="461">
        <v>46</v>
      </c>
      <c r="I1348" s="891"/>
      <c r="J1348" s="461">
        <v>470750</v>
      </c>
      <c r="K1348" s="486">
        <v>633399.76</v>
      </c>
    </row>
    <row r="1349" spans="1:11" x14ac:dyDescent="0.2">
      <c r="A1349" s="383" t="s">
        <v>1168</v>
      </c>
      <c r="B1349" s="382"/>
      <c r="C1349" s="893" t="s">
        <v>13112</v>
      </c>
      <c r="D1349" s="898">
        <v>13</v>
      </c>
      <c r="E1349" s="472"/>
      <c r="F1349" s="196"/>
      <c r="G1349" s="382"/>
      <c r="H1349" s="529">
        <f>1013-1013</f>
        <v>0</v>
      </c>
      <c r="I1349" s="891">
        <v>1959</v>
      </c>
      <c r="J1349" s="461">
        <f>524800-524800</f>
        <v>0</v>
      </c>
      <c r="K1349" s="486"/>
    </row>
    <row r="1350" spans="1:11" ht="12.75" customHeight="1" x14ac:dyDescent="0.2">
      <c r="A1350" s="384" t="s">
        <v>1169</v>
      </c>
      <c r="B1350" s="382" t="s">
        <v>308</v>
      </c>
      <c r="C1350" s="893"/>
      <c r="D1350" s="898"/>
      <c r="E1350" s="468">
        <v>13</v>
      </c>
      <c r="F1350" s="469"/>
      <c r="G1350" s="469"/>
      <c r="H1350" s="528">
        <v>40.700000000000003</v>
      </c>
      <c r="I1350" s="891"/>
      <c r="J1350" s="461">
        <v>21085.251727541956</v>
      </c>
      <c r="K1350" s="486"/>
    </row>
    <row r="1351" spans="1:11" x14ac:dyDescent="0.2">
      <c r="A1351" s="384" t="s">
        <v>1170</v>
      </c>
      <c r="B1351" s="382" t="s">
        <v>308</v>
      </c>
      <c r="C1351" s="893"/>
      <c r="D1351" s="898"/>
      <c r="E1351" s="468">
        <v>19</v>
      </c>
      <c r="F1351" s="469"/>
      <c r="G1351" s="469"/>
      <c r="H1351" s="528">
        <v>39</v>
      </c>
      <c r="I1351" s="891"/>
      <c r="J1351" s="461">
        <v>20204.540967423494</v>
      </c>
      <c r="K1351" s="486"/>
    </row>
    <row r="1352" spans="1:11" x14ac:dyDescent="0.2">
      <c r="A1352" s="383" t="s">
        <v>1171</v>
      </c>
      <c r="B1352" s="382"/>
      <c r="C1352" s="877" t="s">
        <v>13113</v>
      </c>
      <c r="D1352" s="880" t="s">
        <v>5501</v>
      </c>
      <c r="E1352" s="472"/>
      <c r="F1352" s="196"/>
      <c r="G1352" s="382"/>
      <c r="H1352" s="529">
        <f>793-793</f>
        <v>0</v>
      </c>
      <c r="I1352" s="883">
        <v>1960</v>
      </c>
      <c r="J1352" s="461">
        <f>383800-383800</f>
        <v>0</v>
      </c>
      <c r="K1352" s="486"/>
    </row>
    <row r="1353" spans="1:11" x14ac:dyDescent="0.2">
      <c r="A1353" s="384" t="s">
        <v>1173</v>
      </c>
      <c r="B1353" s="382" t="s">
        <v>312</v>
      </c>
      <c r="C1353" s="878"/>
      <c r="D1353" s="881"/>
      <c r="E1353" s="533" t="s">
        <v>115</v>
      </c>
      <c r="F1353" s="469"/>
      <c r="G1353" s="469"/>
      <c r="H1353" s="528">
        <v>15.2</v>
      </c>
      <c r="I1353" s="884"/>
      <c r="J1353" s="461">
        <v>7356.5699873896592</v>
      </c>
      <c r="K1353" s="486"/>
    </row>
    <row r="1354" spans="1:11" x14ac:dyDescent="0.2">
      <c r="A1354" s="384" t="s">
        <v>1174</v>
      </c>
      <c r="B1354" s="382" t="s">
        <v>312</v>
      </c>
      <c r="C1354" s="878"/>
      <c r="D1354" s="881"/>
      <c r="E1354" s="533" t="s">
        <v>116</v>
      </c>
      <c r="F1354" s="520"/>
      <c r="G1354" s="469"/>
      <c r="H1354" s="528">
        <v>10.4</v>
      </c>
      <c r="I1354" s="884"/>
      <c r="J1354" s="461">
        <v>5033.4426229508199</v>
      </c>
      <c r="K1354" s="486"/>
    </row>
    <row r="1355" spans="1:11" ht="12.75" customHeight="1" x14ac:dyDescent="0.2">
      <c r="A1355" s="384" t="s">
        <v>1806</v>
      </c>
      <c r="B1355" s="382" t="s">
        <v>312</v>
      </c>
      <c r="C1355" s="878"/>
      <c r="D1355" s="881"/>
      <c r="E1355" s="533" t="s">
        <v>117</v>
      </c>
      <c r="F1355" s="520"/>
      <c r="G1355" s="469"/>
      <c r="H1355" s="528">
        <v>10.7</v>
      </c>
      <c r="I1355" s="884"/>
      <c r="J1355" s="461">
        <v>5178.6380832282484</v>
      </c>
      <c r="K1355" s="486"/>
    </row>
    <row r="1356" spans="1:11" x14ac:dyDescent="0.2">
      <c r="A1356" s="384" t="s">
        <v>1807</v>
      </c>
      <c r="B1356" s="382" t="s">
        <v>312</v>
      </c>
      <c r="C1356" s="878"/>
      <c r="D1356" s="881"/>
      <c r="E1356" s="533" t="s">
        <v>118</v>
      </c>
      <c r="F1356" s="520"/>
      <c r="G1356" s="469"/>
      <c r="H1356" s="528">
        <v>9.4</v>
      </c>
      <c r="I1356" s="884"/>
      <c r="J1356" s="461">
        <v>4549.4577553593963</v>
      </c>
      <c r="K1356" s="486"/>
    </row>
    <row r="1357" spans="1:11" x14ac:dyDescent="0.2">
      <c r="A1357" s="384" t="s">
        <v>1808</v>
      </c>
      <c r="B1357" s="382" t="s">
        <v>312</v>
      </c>
      <c r="C1357" s="878"/>
      <c r="D1357" s="881"/>
      <c r="E1357" s="533" t="s">
        <v>119</v>
      </c>
      <c r="F1357" s="520"/>
      <c r="G1357" s="469"/>
      <c r="H1357" s="528">
        <v>10.3</v>
      </c>
      <c r="I1357" s="884"/>
      <c r="J1357" s="461">
        <v>4985.0441361916792</v>
      </c>
      <c r="K1357" s="486"/>
    </row>
    <row r="1358" spans="1:11" x14ac:dyDescent="0.2">
      <c r="A1358" s="384" t="s">
        <v>1809</v>
      </c>
      <c r="B1358" s="382" t="s">
        <v>312</v>
      </c>
      <c r="C1358" s="878"/>
      <c r="D1358" s="881"/>
      <c r="E1358" s="533" t="s">
        <v>120</v>
      </c>
      <c r="F1358" s="520"/>
      <c r="G1358" s="469"/>
      <c r="H1358" s="528">
        <v>10.5</v>
      </c>
      <c r="I1358" s="884"/>
      <c r="J1358" s="461">
        <v>5081.8411097099643</v>
      </c>
      <c r="K1358" s="486"/>
    </row>
    <row r="1359" spans="1:11" x14ac:dyDescent="0.2">
      <c r="A1359" s="384" t="s">
        <v>1810</v>
      </c>
      <c r="B1359" s="382" t="s">
        <v>312</v>
      </c>
      <c r="C1359" s="878"/>
      <c r="D1359" s="881"/>
      <c r="E1359" s="533" t="s">
        <v>121</v>
      </c>
      <c r="F1359" s="520"/>
      <c r="G1359" s="469"/>
      <c r="H1359" s="528">
        <v>10.7</v>
      </c>
      <c r="I1359" s="884"/>
      <c r="J1359" s="461">
        <v>5178.6380832282484</v>
      </c>
      <c r="K1359" s="486"/>
    </row>
    <row r="1360" spans="1:11" ht="12.75" customHeight="1" x14ac:dyDescent="0.2">
      <c r="A1360" s="384" t="s">
        <v>1811</v>
      </c>
      <c r="B1360" s="382" t="s">
        <v>312</v>
      </c>
      <c r="C1360" s="878"/>
      <c r="D1360" s="881"/>
      <c r="E1360" s="533" t="s">
        <v>122</v>
      </c>
      <c r="F1360" s="520"/>
      <c r="G1360" s="469"/>
      <c r="H1360" s="528">
        <v>9.5</v>
      </c>
      <c r="I1360" s="884"/>
      <c r="J1360" s="461">
        <v>4597.8562421185388</v>
      </c>
      <c r="K1360" s="486"/>
    </row>
    <row r="1361" spans="1:12" x14ac:dyDescent="0.2">
      <c r="A1361" s="384" t="s">
        <v>1812</v>
      </c>
      <c r="B1361" s="382" t="s">
        <v>312</v>
      </c>
      <c r="C1361" s="878"/>
      <c r="D1361" s="881"/>
      <c r="E1361" s="533" t="s">
        <v>123</v>
      </c>
      <c r="F1361" s="520"/>
      <c r="G1361" s="469"/>
      <c r="H1361" s="528">
        <v>14.4</v>
      </c>
      <c r="I1361" s="884"/>
      <c r="J1361" s="461">
        <v>6969.3820933165225</v>
      </c>
      <c r="K1361" s="486"/>
    </row>
    <row r="1362" spans="1:12" x14ac:dyDescent="0.2">
      <c r="A1362" s="384" t="s">
        <v>1813</v>
      </c>
      <c r="B1362" s="382" t="s">
        <v>312</v>
      </c>
      <c r="C1362" s="878"/>
      <c r="D1362" s="881"/>
      <c r="E1362" s="533" t="s">
        <v>124</v>
      </c>
      <c r="F1362" s="520"/>
      <c r="G1362" s="469"/>
      <c r="H1362" s="528">
        <v>10.1</v>
      </c>
      <c r="I1362" s="884"/>
      <c r="J1362" s="461">
        <v>4888.2471626733941</v>
      </c>
      <c r="K1362" s="486"/>
    </row>
    <row r="1363" spans="1:12" ht="12.75" customHeight="1" x14ac:dyDescent="0.2">
      <c r="A1363" s="384" t="s">
        <v>1814</v>
      </c>
      <c r="B1363" s="382" t="s">
        <v>312</v>
      </c>
      <c r="C1363" s="878"/>
      <c r="D1363" s="881"/>
      <c r="E1363" s="533" t="s">
        <v>125</v>
      </c>
      <c r="F1363" s="520"/>
      <c r="G1363" s="469"/>
      <c r="H1363" s="528">
        <v>10.9</v>
      </c>
      <c r="I1363" s="884"/>
      <c r="J1363" s="461">
        <v>5275.4350567465344</v>
      </c>
      <c r="K1363" s="486"/>
    </row>
    <row r="1364" spans="1:12" x14ac:dyDescent="0.2">
      <c r="A1364" s="384" t="s">
        <v>1815</v>
      </c>
      <c r="B1364" s="382" t="s">
        <v>312</v>
      </c>
      <c r="C1364" s="878"/>
      <c r="D1364" s="881"/>
      <c r="E1364" s="533" t="s">
        <v>126</v>
      </c>
      <c r="F1364" s="520"/>
      <c r="G1364" s="469"/>
      <c r="H1364" s="528">
        <v>11.3</v>
      </c>
      <c r="I1364" s="884"/>
      <c r="J1364" s="461">
        <v>5469.0290037831046</v>
      </c>
      <c r="K1364" s="486"/>
    </row>
    <row r="1365" spans="1:12" x14ac:dyDescent="0.2">
      <c r="A1365" s="384" t="s">
        <v>1816</v>
      </c>
      <c r="B1365" s="382" t="s">
        <v>312</v>
      </c>
      <c r="C1365" s="878"/>
      <c r="D1365" s="881"/>
      <c r="E1365" s="533" t="s">
        <v>127</v>
      </c>
      <c r="F1365" s="520"/>
      <c r="G1365" s="469"/>
      <c r="H1365" s="528">
        <v>10</v>
      </c>
      <c r="I1365" s="884"/>
      <c r="J1365" s="461">
        <v>4839.8486759142515</v>
      </c>
      <c r="K1365" s="486"/>
    </row>
    <row r="1366" spans="1:12" x14ac:dyDescent="0.2">
      <c r="A1366" s="384" t="s">
        <v>1817</v>
      </c>
      <c r="B1366" s="382" t="s">
        <v>312</v>
      </c>
      <c r="C1366" s="878"/>
      <c r="D1366" s="881"/>
      <c r="E1366" s="533" t="s">
        <v>128</v>
      </c>
      <c r="F1366" s="520"/>
      <c r="G1366" s="469"/>
      <c r="H1366" s="528">
        <v>10.4</v>
      </c>
      <c r="I1366" s="884"/>
      <c r="J1366" s="461">
        <v>5033.4426229508217</v>
      </c>
      <c r="K1366" s="486"/>
    </row>
    <row r="1367" spans="1:12" x14ac:dyDescent="0.2">
      <c r="A1367" s="384" t="s">
        <v>1818</v>
      </c>
      <c r="B1367" s="382" t="s">
        <v>312</v>
      </c>
      <c r="C1367" s="878"/>
      <c r="D1367" s="881"/>
      <c r="E1367" s="533" t="s">
        <v>129</v>
      </c>
      <c r="F1367" s="520" t="s">
        <v>11947</v>
      </c>
      <c r="G1367" s="469"/>
      <c r="H1367" s="528">
        <v>10.1</v>
      </c>
      <c r="I1367" s="884"/>
      <c r="J1367" s="461">
        <v>4888.2471626733941</v>
      </c>
      <c r="K1367" s="486"/>
    </row>
    <row r="1368" spans="1:12" ht="12.75" customHeight="1" x14ac:dyDescent="0.2">
      <c r="A1368" s="384" t="s">
        <v>1819</v>
      </c>
      <c r="B1368" s="382" t="s">
        <v>312</v>
      </c>
      <c r="C1368" s="878"/>
      <c r="D1368" s="881"/>
      <c r="E1368" s="533" t="s">
        <v>130</v>
      </c>
      <c r="F1368" s="520" t="s">
        <v>11948</v>
      </c>
      <c r="G1368" s="469"/>
      <c r="H1368" s="528">
        <v>10.8</v>
      </c>
      <c r="I1368" s="884"/>
      <c r="J1368" s="461">
        <v>5227.0365699873928</v>
      </c>
      <c r="K1368" s="486"/>
    </row>
    <row r="1369" spans="1:12" ht="12.75" customHeight="1" x14ac:dyDescent="0.2">
      <c r="A1369" s="384" t="s">
        <v>1820</v>
      </c>
      <c r="B1369" s="382" t="s">
        <v>312</v>
      </c>
      <c r="C1369" s="878"/>
      <c r="D1369" s="881"/>
      <c r="E1369" s="533" t="s">
        <v>131</v>
      </c>
      <c r="F1369" s="520"/>
      <c r="G1369" s="469"/>
      <c r="H1369" s="528">
        <v>10</v>
      </c>
      <c r="I1369" s="884"/>
      <c r="J1369" s="461">
        <v>4839.8486759142525</v>
      </c>
      <c r="K1369" s="486"/>
    </row>
    <row r="1370" spans="1:12" ht="27" customHeight="1" x14ac:dyDescent="0.2">
      <c r="A1370" s="384" t="s">
        <v>1821</v>
      </c>
      <c r="B1370" s="382" t="s">
        <v>312</v>
      </c>
      <c r="C1370" s="878"/>
      <c r="D1370" s="881"/>
      <c r="E1370" s="533" t="s">
        <v>132</v>
      </c>
      <c r="F1370" s="520"/>
      <c r="G1370" s="469"/>
      <c r="H1370" s="528">
        <v>10.3</v>
      </c>
      <c r="I1370" s="884"/>
      <c r="J1370" s="461">
        <v>4985.0441361916801</v>
      </c>
      <c r="K1370" s="486"/>
      <c r="L1370" s="373"/>
    </row>
    <row r="1371" spans="1:12" ht="38.25" customHeight="1" x14ac:dyDescent="0.2">
      <c r="A1371" s="383" t="s">
        <v>1172</v>
      </c>
      <c r="B1371" s="382" t="s">
        <v>308</v>
      </c>
      <c r="C1371" s="617" t="s">
        <v>13114</v>
      </c>
      <c r="D1371" s="619">
        <v>14</v>
      </c>
      <c r="E1371" s="485">
        <v>10</v>
      </c>
      <c r="F1371" s="196"/>
      <c r="G1371" s="382"/>
      <c r="H1371" s="461">
        <f>1021-980.7</f>
        <v>40.299999999999955</v>
      </c>
      <c r="I1371" s="618">
        <v>1959</v>
      </c>
      <c r="J1371" s="461">
        <f>577100/1021*40.3</f>
        <v>22778.775710088146</v>
      </c>
      <c r="K1371" s="486"/>
    </row>
    <row r="1372" spans="1:12" x14ac:dyDescent="0.2">
      <c r="A1372" s="383" t="s">
        <v>1175</v>
      </c>
      <c r="B1372" s="382"/>
      <c r="C1372" s="877" t="s">
        <v>13115</v>
      </c>
      <c r="D1372" s="880">
        <v>17</v>
      </c>
      <c r="E1372" s="472"/>
      <c r="F1372" s="196"/>
      <c r="G1372" s="382"/>
      <c r="H1372" s="461">
        <f>4089-4089</f>
        <v>0</v>
      </c>
      <c r="I1372" s="883">
        <v>1977</v>
      </c>
      <c r="J1372" s="461">
        <f>2463800-2463800</f>
        <v>0</v>
      </c>
      <c r="K1372" s="486"/>
    </row>
    <row r="1373" spans="1:12" x14ac:dyDescent="0.2">
      <c r="A1373" s="384" t="s">
        <v>1176</v>
      </c>
      <c r="B1373" s="382" t="s">
        <v>308</v>
      </c>
      <c r="C1373" s="878"/>
      <c r="D1373" s="881"/>
      <c r="E1373" s="468">
        <v>4</v>
      </c>
      <c r="F1373" s="469"/>
      <c r="G1373" s="469"/>
      <c r="H1373" s="528">
        <v>57.3</v>
      </c>
      <c r="I1373" s="884"/>
      <c r="J1373" s="461">
        <v>34525.737344093912</v>
      </c>
      <c r="K1373" s="486"/>
    </row>
    <row r="1374" spans="1:12" x14ac:dyDescent="0.2">
      <c r="A1374" s="382" t="s">
        <v>12406</v>
      </c>
      <c r="B1374" s="382" t="s">
        <v>308</v>
      </c>
      <c r="C1374" s="879"/>
      <c r="D1374" s="882"/>
      <c r="E1374" s="534">
        <v>42</v>
      </c>
      <c r="F1374" s="196" t="s">
        <v>12408</v>
      </c>
      <c r="G1374" s="514" t="s">
        <v>134</v>
      </c>
      <c r="H1374" s="535">
        <v>46</v>
      </c>
      <c r="I1374" s="885"/>
      <c r="J1374" s="461">
        <v>1060807</v>
      </c>
      <c r="K1374" s="536">
        <v>870338.86</v>
      </c>
    </row>
    <row r="1375" spans="1:12" ht="12.75" customHeight="1" x14ac:dyDescent="0.2">
      <c r="A1375" s="466" t="s">
        <v>11949</v>
      </c>
      <c r="B1375" s="382"/>
      <c r="C1375" s="877" t="s">
        <v>12748</v>
      </c>
      <c r="D1375" s="880">
        <v>19</v>
      </c>
      <c r="E1375" s="468"/>
      <c r="F1375" s="469"/>
      <c r="G1375" s="469"/>
      <c r="H1375" s="470">
        <f>4033-4033</f>
        <v>0</v>
      </c>
      <c r="I1375" s="883">
        <v>1977</v>
      </c>
      <c r="J1375" s="461">
        <f>2405700-2405700</f>
        <v>0</v>
      </c>
      <c r="K1375" s="486"/>
    </row>
    <row r="1376" spans="1:12" x14ac:dyDescent="0.2">
      <c r="A1376" s="384" t="s">
        <v>11950</v>
      </c>
      <c r="B1376" s="382" t="s">
        <v>308</v>
      </c>
      <c r="C1376" s="878"/>
      <c r="D1376" s="881"/>
      <c r="E1376" s="471">
        <v>25</v>
      </c>
      <c r="F1376" s="387" t="s">
        <v>11951</v>
      </c>
      <c r="G1376" s="615" t="s">
        <v>538</v>
      </c>
      <c r="H1376" s="470">
        <v>28.9</v>
      </c>
      <c r="I1376" s="884"/>
      <c r="J1376" s="461">
        <v>785000</v>
      </c>
      <c r="K1376" s="486">
        <v>572799.73</v>
      </c>
    </row>
    <row r="1377" spans="1:11" ht="12.75" customHeight="1" x14ac:dyDescent="0.2">
      <c r="A1377" s="382" t="s">
        <v>12685</v>
      </c>
      <c r="B1377" s="382" t="s">
        <v>308</v>
      </c>
      <c r="C1377" s="878"/>
      <c r="D1377" s="881"/>
      <c r="E1377" s="471">
        <v>55</v>
      </c>
      <c r="F1377" s="387" t="s">
        <v>12686</v>
      </c>
      <c r="G1377" s="615" t="s">
        <v>133</v>
      </c>
      <c r="H1377" s="470">
        <v>55.6</v>
      </c>
      <c r="I1377" s="884"/>
      <c r="J1377" s="461">
        <v>826249.3</v>
      </c>
      <c r="K1377" s="486">
        <v>1014213.22</v>
      </c>
    </row>
    <row r="1378" spans="1:11" ht="12.75" customHeight="1" x14ac:dyDescent="0.2">
      <c r="A1378" s="382" t="s">
        <v>12687</v>
      </c>
      <c r="B1378" s="382" t="s">
        <v>308</v>
      </c>
      <c r="C1378" s="879"/>
      <c r="D1378" s="882"/>
      <c r="E1378" s="471">
        <v>28</v>
      </c>
      <c r="F1378" s="387" t="s">
        <v>12688</v>
      </c>
      <c r="G1378" s="615" t="s">
        <v>133</v>
      </c>
      <c r="H1378" s="470">
        <v>29.4</v>
      </c>
      <c r="I1378" s="885"/>
      <c r="J1378" s="461">
        <v>763173.08</v>
      </c>
      <c r="K1378" s="486">
        <v>561658.48</v>
      </c>
    </row>
    <row r="1379" spans="1:11" x14ac:dyDescent="0.2">
      <c r="A1379" s="383" t="s">
        <v>1177</v>
      </c>
      <c r="B1379" s="382"/>
      <c r="C1379" s="877" t="s">
        <v>13116</v>
      </c>
      <c r="D1379" s="880">
        <v>20</v>
      </c>
      <c r="E1379" s="472"/>
      <c r="F1379" s="196"/>
      <c r="G1379" s="613"/>
      <c r="H1379" s="461">
        <f>2989-2989</f>
        <v>0</v>
      </c>
      <c r="I1379" s="883">
        <v>1982</v>
      </c>
      <c r="J1379" s="461">
        <f>1972800-1972800</f>
        <v>0</v>
      </c>
      <c r="K1379" s="486"/>
    </row>
    <row r="1380" spans="1:11" ht="12.75" customHeight="1" x14ac:dyDescent="0.2">
      <c r="A1380" s="384" t="s">
        <v>1822</v>
      </c>
      <c r="B1380" s="382" t="s">
        <v>308</v>
      </c>
      <c r="C1380" s="878"/>
      <c r="D1380" s="881"/>
      <c r="E1380" s="468">
        <v>33</v>
      </c>
      <c r="F1380" s="520" t="s">
        <v>11952</v>
      </c>
      <c r="G1380" s="520" t="s">
        <v>134</v>
      </c>
      <c r="H1380" s="528">
        <v>26.4</v>
      </c>
      <c r="I1380" s="884"/>
      <c r="J1380" s="461">
        <v>17424.529943124791</v>
      </c>
      <c r="K1380" s="486">
        <v>518655.81</v>
      </c>
    </row>
    <row r="1381" spans="1:11" x14ac:dyDescent="0.2">
      <c r="A1381" s="382" t="s">
        <v>11953</v>
      </c>
      <c r="B1381" s="382" t="s">
        <v>308</v>
      </c>
      <c r="C1381" s="879"/>
      <c r="D1381" s="882"/>
      <c r="E1381" s="534">
        <v>27</v>
      </c>
      <c r="F1381" s="368" t="s">
        <v>11954</v>
      </c>
      <c r="G1381" s="615" t="s">
        <v>143</v>
      </c>
      <c r="H1381" s="470">
        <v>27.4</v>
      </c>
      <c r="I1381" s="885"/>
      <c r="J1381" s="461">
        <v>840000</v>
      </c>
      <c r="K1381" s="513">
        <v>564497.47</v>
      </c>
    </row>
    <row r="1382" spans="1:11" ht="12.75" customHeight="1" x14ac:dyDescent="0.2">
      <c r="A1382" s="383" t="s">
        <v>1178</v>
      </c>
      <c r="B1382" s="382"/>
      <c r="C1382" s="877" t="s">
        <v>13117</v>
      </c>
      <c r="D1382" s="880">
        <v>23</v>
      </c>
      <c r="E1382" s="485"/>
      <c r="F1382" s="196"/>
      <c r="G1382" s="613"/>
      <c r="H1382" s="529">
        <f>2770-2770</f>
        <v>0</v>
      </c>
      <c r="I1382" s="883">
        <v>1990</v>
      </c>
      <c r="J1382" s="461">
        <f>2926300-2926300</f>
        <v>0</v>
      </c>
      <c r="K1382" s="486"/>
    </row>
    <row r="1383" spans="1:11" ht="12.75" customHeight="1" x14ac:dyDescent="0.2">
      <c r="A1383" s="384" t="s">
        <v>1180</v>
      </c>
      <c r="B1383" s="382" t="s">
        <v>308</v>
      </c>
      <c r="C1383" s="878"/>
      <c r="D1383" s="881"/>
      <c r="E1383" s="468">
        <v>12</v>
      </c>
      <c r="F1383" s="469"/>
      <c r="G1383" s="520"/>
      <c r="H1383" s="528">
        <v>63.9</v>
      </c>
      <c r="I1383" s="884"/>
      <c r="J1383" s="461">
        <v>67505.620938628155</v>
      </c>
      <c r="K1383" s="486"/>
    </row>
    <row r="1384" spans="1:11" ht="25.5" x14ac:dyDescent="0.2">
      <c r="A1384" s="384" t="s">
        <v>1181</v>
      </c>
      <c r="B1384" s="382" t="s">
        <v>10781</v>
      </c>
      <c r="C1384" s="878"/>
      <c r="D1384" s="881"/>
      <c r="E1384" s="468">
        <v>46</v>
      </c>
      <c r="F1384" s="520" t="s">
        <v>11955</v>
      </c>
      <c r="G1384" s="520" t="s">
        <v>143</v>
      </c>
      <c r="H1384" s="528">
        <v>56.6</v>
      </c>
      <c r="I1384" s="884"/>
      <c r="J1384" s="461">
        <v>59793.711191335744</v>
      </c>
      <c r="K1384" s="486"/>
    </row>
    <row r="1385" spans="1:11" ht="12.75" customHeight="1" x14ac:dyDescent="0.2">
      <c r="A1385" s="384" t="s">
        <v>6682</v>
      </c>
      <c r="B1385" s="382" t="s">
        <v>308</v>
      </c>
      <c r="C1385" s="878"/>
      <c r="D1385" s="881"/>
      <c r="E1385" s="468">
        <v>44</v>
      </c>
      <c r="F1385" s="520" t="s">
        <v>6686</v>
      </c>
      <c r="G1385" s="520" t="s">
        <v>133</v>
      </c>
      <c r="H1385" s="528">
        <v>34.1</v>
      </c>
      <c r="I1385" s="884"/>
      <c r="J1385" s="461">
        <v>1000000</v>
      </c>
      <c r="K1385" s="486"/>
    </row>
    <row r="1386" spans="1:11" x14ac:dyDescent="0.2">
      <c r="A1386" s="384" t="s">
        <v>7034</v>
      </c>
      <c r="B1386" s="382" t="s">
        <v>308</v>
      </c>
      <c r="C1386" s="879"/>
      <c r="D1386" s="882"/>
      <c r="E1386" s="468">
        <v>18</v>
      </c>
      <c r="F1386" s="520" t="s">
        <v>7035</v>
      </c>
      <c r="G1386" s="520" t="s">
        <v>143</v>
      </c>
      <c r="H1386" s="528">
        <v>34.6</v>
      </c>
      <c r="I1386" s="885"/>
      <c r="J1386" s="461">
        <v>1041348</v>
      </c>
      <c r="K1386" s="486">
        <v>712832.57</v>
      </c>
    </row>
    <row r="1387" spans="1:11" ht="12.75" customHeight="1" x14ac:dyDescent="0.2">
      <c r="A1387" s="383" t="s">
        <v>1179</v>
      </c>
      <c r="B1387" s="382"/>
      <c r="C1387" s="893" t="s">
        <v>13118</v>
      </c>
      <c r="D1387" s="898">
        <v>24</v>
      </c>
      <c r="E1387" s="472"/>
      <c r="F1387" s="196"/>
      <c r="G1387" s="382"/>
      <c r="H1387" s="529">
        <f>1340-1340</f>
        <v>0</v>
      </c>
      <c r="I1387" s="891">
        <v>1963</v>
      </c>
      <c r="J1387" s="461">
        <f>729100-729100</f>
        <v>0</v>
      </c>
      <c r="K1387" s="486"/>
    </row>
    <row r="1388" spans="1:11" ht="25.5" customHeight="1" x14ac:dyDescent="0.2">
      <c r="A1388" s="384" t="s">
        <v>1183</v>
      </c>
      <c r="B1388" s="382" t="s">
        <v>308</v>
      </c>
      <c r="C1388" s="893"/>
      <c r="D1388" s="898"/>
      <c r="E1388" s="468">
        <v>28</v>
      </c>
      <c r="F1388" s="469"/>
      <c r="G1388" s="469"/>
      <c r="H1388" s="528">
        <v>30.5</v>
      </c>
      <c r="I1388" s="891"/>
      <c r="J1388" s="461">
        <v>16595.186567164179</v>
      </c>
      <c r="K1388" s="486"/>
    </row>
    <row r="1389" spans="1:11" ht="27" customHeight="1" x14ac:dyDescent="0.2">
      <c r="A1389" s="383" t="s">
        <v>1182</v>
      </c>
      <c r="B1389" s="382"/>
      <c r="C1389" s="877" t="s">
        <v>13119</v>
      </c>
      <c r="D1389" s="880">
        <v>25</v>
      </c>
      <c r="E1389" s="510"/>
      <c r="F1389" s="45"/>
      <c r="G1389" s="616" t="s">
        <v>5472</v>
      </c>
      <c r="H1389" s="622">
        <f>1332-1332</f>
        <v>0</v>
      </c>
      <c r="I1389" s="883">
        <v>1963</v>
      </c>
      <c r="J1389" s="461">
        <f>744900-744900</f>
        <v>0</v>
      </c>
      <c r="K1389" s="486"/>
    </row>
    <row r="1390" spans="1:11" ht="25.5" x14ac:dyDescent="0.2">
      <c r="A1390" s="384" t="s">
        <v>10780</v>
      </c>
      <c r="B1390" s="382" t="s">
        <v>10781</v>
      </c>
      <c r="C1390" s="879"/>
      <c r="D1390" s="882"/>
      <c r="E1390" s="472">
        <v>14</v>
      </c>
      <c r="F1390" s="196" t="s">
        <v>11634</v>
      </c>
      <c r="G1390" s="616" t="s">
        <v>538</v>
      </c>
      <c r="H1390" s="529">
        <v>40.1</v>
      </c>
      <c r="I1390" s="885"/>
      <c r="J1390" s="461"/>
      <c r="K1390" s="486">
        <v>742625.07</v>
      </c>
    </row>
    <row r="1391" spans="1:11" ht="12.75" customHeight="1" x14ac:dyDescent="0.2">
      <c r="A1391" s="383" t="s">
        <v>1184</v>
      </c>
      <c r="B1391" s="382"/>
      <c r="C1391" s="893" t="s">
        <v>13120</v>
      </c>
      <c r="D1391" s="898">
        <v>29</v>
      </c>
      <c r="E1391" s="472"/>
      <c r="F1391" s="196"/>
      <c r="G1391" s="382"/>
      <c r="H1391" s="529">
        <f>3995-3995</f>
        <v>0</v>
      </c>
      <c r="I1391" s="891">
        <v>1970</v>
      </c>
      <c r="J1391" s="461">
        <f>1501100-1501100</f>
        <v>0</v>
      </c>
      <c r="K1391" s="486"/>
    </row>
    <row r="1392" spans="1:11" x14ac:dyDescent="0.2">
      <c r="A1392" s="384" t="s">
        <v>1185</v>
      </c>
      <c r="B1392" s="382" t="s">
        <v>308</v>
      </c>
      <c r="C1392" s="893"/>
      <c r="D1392" s="898"/>
      <c r="E1392" s="468">
        <v>34</v>
      </c>
      <c r="F1392" s="469"/>
      <c r="G1392" s="469"/>
      <c r="H1392" s="528">
        <v>41.5</v>
      </c>
      <c r="I1392" s="891"/>
      <c r="J1392" s="461">
        <v>15593.404255319148</v>
      </c>
      <c r="K1392" s="486"/>
    </row>
    <row r="1393" spans="1:11" ht="12.75" customHeight="1" x14ac:dyDescent="0.2">
      <c r="A1393" s="384" t="s">
        <v>1186</v>
      </c>
      <c r="B1393" s="382" t="s">
        <v>308</v>
      </c>
      <c r="C1393" s="893"/>
      <c r="D1393" s="898"/>
      <c r="E1393" s="468">
        <v>43</v>
      </c>
      <c r="F1393" s="469"/>
      <c r="G1393" s="469"/>
      <c r="H1393" s="528">
        <v>41.2</v>
      </c>
      <c r="I1393" s="891"/>
      <c r="J1393" s="461">
        <v>15480.680851063831</v>
      </c>
      <c r="K1393" s="486"/>
    </row>
    <row r="1394" spans="1:11" x14ac:dyDescent="0.2">
      <c r="A1394" s="384" t="s">
        <v>3533</v>
      </c>
      <c r="B1394" s="382" t="s">
        <v>308</v>
      </c>
      <c r="C1394" s="893"/>
      <c r="D1394" s="898"/>
      <c r="E1394" s="468">
        <v>4</v>
      </c>
      <c r="F1394" s="520" t="s">
        <v>3534</v>
      </c>
      <c r="G1394" s="520" t="s">
        <v>143</v>
      </c>
      <c r="H1394" s="528">
        <v>44.9</v>
      </c>
      <c r="I1394" s="891"/>
      <c r="J1394" s="461">
        <v>778750</v>
      </c>
      <c r="K1394" s="486">
        <v>831517.84</v>
      </c>
    </row>
    <row r="1395" spans="1:11" ht="12.75" customHeight="1" x14ac:dyDescent="0.2">
      <c r="A1395" s="383" t="s">
        <v>1187</v>
      </c>
      <c r="B1395" s="382"/>
      <c r="C1395" s="877" t="s">
        <v>13121</v>
      </c>
      <c r="D1395" s="880">
        <v>30</v>
      </c>
      <c r="E1395" s="472"/>
      <c r="F1395" s="196"/>
      <c r="G1395" s="382"/>
      <c r="H1395" s="461">
        <f>3732.3-3732.3</f>
        <v>0</v>
      </c>
      <c r="I1395" s="883">
        <v>1971</v>
      </c>
      <c r="J1395" s="461">
        <f>7394177-7394177</f>
        <v>0</v>
      </c>
      <c r="K1395" s="486"/>
    </row>
    <row r="1396" spans="1:11" x14ac:dyDescent="0.2">
      <c r="A1396" s="384" t="s">
        <v>1189</v>
      </c>
      <c r="B1396" s="382" t="s">
        <v>308</v>
      </c>
      <c r="C1396" s="878"/>
      <c r="D1396" s="881"/>
      <c r="E1396" s="468">
        <v>24</v>
      </c>
      <c r="F1396" s="469"/>
      <c r="G1396" s="469"/>
      <c r="H1396" s="528">
        <v>44.3</v>
      </c>
      <c r="I1396" s="884"/>
      <c r="J1396" s="461">
        <v>87764.124293331173</v>
      </c>
      <c r="K1396" s="486"/>
    </row>
    <row r="1397" spans="1:11" x14ac:dyDescent="0.2">
      <c r="A1397" s="384" t="s">
        <v>1823</v>
      </c>
      <c r="B1397" s="382" t="s">
        <v>308</v>
      </c>
      <c r="C1397" s="878"/>
      <c r="D1397" s="881"/>
      <c r="E1397" s="468">
        <v>73</v>
      </c>
      <c r="F1397" s="469"/>
      <c r="G1397" s="469"/>
      <c r="H1397" s="528">
        <v>55.9</v>
      </c>
      <c r="I1397" s="884"/>
      <c r="J1397" s="461">
        <v>110745.24939045627</v>
      </c>
      <c r="K1397" s="486"/>
    </row>
    <row r="1398" spans="1:11" ht="12.75" customHeight="1" x14ac:dyDescent="0.2">
      <c r="A1398" s="384" t="s">
        <v>1824</v>
      </c>
      <c r="B1398" s="382" t="s">
        <v>308</v>
      </c>
      <c r="C1398" s="878"/>
      <c r="D1398" s="881"/>
      <c r="E1398" s="485">
        <v>11</v>
      </c>
      <c r="F1398" s="294"/>
      <c r="G1398" s="499"/>
      <c r="H1398" s="461">
        <v>29.8</v>
      </c>
      <c r="I1398" s="884"/>
      <c r="J1398" s="461">
        <v>660000</v>
      </c>
      <c r="K1398" s="486"/>
    </row>
    <row r="1399" spans="1:11" x14ac:dyDescent="0.2">
      <c r="A1399" s="384" t="s">
        <v>10456</v>
      </c>
      <c r="B1399" s="382" t="s">
        <v>308</v>
      </c>
      <c r="C1399" s="878"/>
      <c r="D1399" s="881"/>
      <c r="E1399" s="509">
        <v>61</v>
      </c>
      <c r="F1399" s="45" t="s">
        <v>10457</v>
      </c>
      <c r="G1399" s="520" t="s">
        <v>134</v>
      </c>
      <c r="H1399" s="537">
        <v>39</v>
      </c>
      <c r="I1399" s="884"/>
      <c r="J1399" s="461">
        <v>1050000</v>
      </c>
      <c r="K1399" s="486">
        <v>320074.56</v>
      </c>
    </row>
    <row r="1400" spans="1:11" ht="25.5" x14ac:dyDescent="0.2">
      <c r="A1400" s="382" t="s">
        <v>12478</v>
      </c>
      <c r="B1400" s="382" t="s">
        <v>12407</v>
      </c>
      <c r="C1400" s="879"/>
      <c r="D1400" s="882"/>
      <c r="E1400" s="509">
        <v>33</v>
      </c>
      <c r="F1400" s="45" t="s">
        <v>12479</v>
      </c>
      <c r="G1400" s="520" t="s">
        <v>133</v>
      </c>
      <c r="H1400" s="537">
        <v>42.9</v>
      </c>
      <c r="I1400" s="885"/>
      <c r="J1400" s="461">
        <v>1153053</v>
      </c>
      <c r="K1400" s="486">
        <v>352082.02</v>
      </c>
    </row>
    <row r="1401" spans="1:11" ht="12.75" customHeight="1" x14ac:dyDescent="0.2">
      <c r="A1401" s="383" t="s">
        <v>1188</v>
      </c>
      <c r="B1401" s="382"/>
      <c r="C1401" s="893" t="s">
        <v>13122</v>
      </c>
      <c r="D1401" s="898">
        <v>7</v>
      </c>
      <c r="E1401" s="485"/>
      <c r="F1401" s="196"/>
      <c r="G1401" s="382"/>
      <c r="H1401" s="461">
        <f>115.8-115.8</f>
        <v>0</v>
      </c>
      <c r="I1401" s="891">
        <v>1951</v>
      </c>
      <c r="J1401" s="461">
        <f>208600-208600</f>
        <v>0</v>
      </c>
      <c r="K1401" s="486"/>
    </row>
    <row r="1402" spans="1:11" x14ac:dyDescent="0.2">
      <c r="A1402" s="384" t="s">
        <v>1190</v>
      </c>
      <c r="B1402" s="382" t="s">
        <v>308</v>
      </c>
      <c r="C1402" s="893"/>
      <c r="D1402" s="898"/>
      <c r="E1402" s="485">
        <v>1</v>
      </c>
      <c r="F1402" s="196" t="s">
        <v>135</v>
      </c>
      <c r="G1402" s="382"/>
      <c r="H1402" s="461">
        <v>55.6</v>
      </c>
      <c r="I1402" s="891"/>
      <c r="J1402" s="461">
        <v>100156.82210708119</v>
      </c>
      <c r="K1402" s="486">
        <v>576193.36</v>
      </c>
    </row>
    <row r="1403" spans="1:11" ht="12.75" customHeight="1" x14ac:dyDescent="0.2">
      <c r="A1403" s="384" t="s">
        <v>1191</v>
      </c>
      <c r="B1403" s="382" t="s">
        <v>308</v>
      </c>
      <c r="C1403" s="893"/>
      <c r="D1403" s="898"/>
      <c r="E1403" s="485">
        <v>2</v>
      </c>
      <c r="F1403" s="196" t="s">
        <v>136</v>
      </c>
      <c r="G1403" s="382"/>
      <c r="H1403" s="461">
        <v>60.2</v>
      </c>
      <c r="I1403" s="891"/>
      <c r="J1403" s="461">
        <v>108443.17789291883</v>
      </c>
      <c r="K1403" s="486">
        <v>623864.04</v>
      </c>
    </row>
    <row r="1404" spans="1:11" x14ac:dyDescent="0.2">
      <c r="A1404" s="466" t="s">
        <v>11956</v>
      </c>
      <c r="B1404" s="382"/>
      <c r="C1404" s="877" t="s">
        <v>13123</v>
      </c>
      <c r="D1404" s="880">
        <v>5</v>
      </c>
      <c r="E1404" s="485"/>
      <c r="F1404" s="196"/>
      <c r="G1404" s="382"/>
      <c r="H1404" s="461">
        <f>1675-1675</f>
        <v>0</v>
      </c>
      <c r="I1404" s="883">
        <v>1992</v>
      </c>
      <c r="J1404" s="461">
        <f>293200-293200</f>
        <v>0</v>
      </c>
      <c r="K1404" s="486"/>
    </row>
    <row r="1405" spans="1:11" ht="39" customHeight="1" x14ac:dyDescent="0.2">
      <c r="A1405" s="384" t="s">
        <v>11957</v>
      </c>
      <c r="B1405" s="382" t="s">
        <v>308</v>
      </c>
      <c r="C1405" s="879"/>
      <c r="D1405" s="882"/>
      <c r="E1405" s="468">
        <v>32</v>
      </c>
      <c r="F1405" s="520" t="s">
        <v>11958</v>
      </c>
      <c r="G1405" s="520" t="s">
        <v>538</v>
      </c>
      <c r="H1405" s="528">
        <v>32.1</v>
      </c>
      <c r="I1405" s="885"/>
      <c r="J1405" s="461">
        <v>779977.11</v>
      </c>
      <c r="K1405" s="486">
        <v>696648.81</v>
      </c>
    </row>
    <row r="1406" spans="1:11" x14ac:dyDescent="0.2">
      <c r="A1406" s="383" t="s">
        <v>1192</v>
      </c>
      <c r="B1406" s="382"/>
      <c r="C1406" s="893" t="s">
        <v>13124</v>
      </c>
      <c r="D1406" s="898">
        <v>24</v>
      </c>
      <c r="E1406" s="472"/>
      <c r="F1406" s="623"/>
      <c r="G1406" s="382"/>
      <c r="H1406" s="529">
        <f>107.2-107.2</f>
        <v>0</v>
      </c>
      <c r="I1406" s="891">
        <v>1934</v>
      </c>
      <c r="J1406" s="461">
        <f>300900-300900</f>
        <v>0</v>
      </c>
      <c r="K1406" s="486"/>
    </row>
    <row r="1407" spans="1:11" ht="12.75" customHeight="1" x14ac:dyDescent="0.2">
      <c r="A1407" s="384" t="s">
        <v>1193</v>
      </c>
      <c r="B1407" s="382" t="s">
        <v>308</v>
      </c>
      <c r="C1407" s="893"/>
      <c r="D1407" s="898"/>
      <c r="E1407" s="468">
        <v>1</v>
      </c>
      <c r="F1407" s="520" t="s">
        <v>137</v>
      </c>
      <c r="G1407" s="469"/>
      <c r="H1407" s="528">
        <v>40.299999999999997</v>
      </c>
      <c r="I1407" s="891"/>
      <c r="J1407" s="461">
        <v>113118.19029850746</v>
      </c>
      <c r="K1407" s="486">
        <v>470308.66</v>
      </c>
    </row>
    <row r="1408" spans="1:11" ht="18.75" customHeight="1" x14ac:dyDescent="0.2">
      <c r="A1408" s="384" t="s">
        <v>1194</v>
      </c>
      <c r="B1408" s="382" t="s">
        <v>308</v>
      </c>
      <c r="C1408" s="893"/>
      <c r="D1408" s="898"/>
      <c r="E1408" s="468">
        <v>2</v>
      </c>
      <c r="F1408" s="520" t="s">
        <v>138</v>
      </c>
      <c r="G1408" s="469"/>
      <c r="H1408" s="528">
        <v>26.8</v>
      </c>
      <c r="I1408" s="891"/>
      <c r="J1408" s="461">
        <v>75225</v>
      </c>
      <c r="K1408" s="486">
        <v>321743.65000000002</v>
      </c>
    </row>
    <row r="1409" spans="1:11" ht="12.75" customHeight="1" x14ac:dyDescent="0.2">
      <c r="A1409" s="384" t="s">
        <v>1195</v>
      </c>
      <c r="B1409" s="382" t="s">
        <v>308</v>
      </c>
      <c r="C1409" s="893"/>
      <c r="D1409" s="898"/>
      <c r="E1409" s="468">
        <v>3</v>
      </c>
      <c r="F1409" s="520" t="s">
        <v>139</v>
      </c>
      <c r="G1409" s="469"/>
      <c r="H1409" s="528">
        <v>40.1</v>
      </c>
      <c r="I1409" s="891"/>
      <c r="J1409" s="461">
        <v>112556.80970149254</v>
      </c>
      <c r="K1409" s="486">
        <v>467974.62</v>
      </c>
    </row>
    <row r="1410" spans="1:11" ht="14.25" customHeight="1" x14ac:dyDescent="0.2">
      <c r="A1410" s="383" t="s">
        <v>1196</v>
      </c>
      <c r="B1410" s="382"/>
      <c r="C1410" s="893" t="s">
        <v>13125</v>
      </c>
      <c r="D1410" s="898" t="s">
        <v>11635</v>
      </c>
      <c r="E1410" s="472"/>
      <c r="F1410" s="196"/>
      <c r="G1410" s="382"/>
      <c r="H1410" s="529">
        <f>1448.1-1448.1</f>
        <v>0</v>
      </c>
      <c r="I1410" s="891">
        <v>1997</v>
      </c>
      <c r="J1410" s="461">
        <f>3177500-3177500</f>
        <v>0</v>
      </c>
      <c r="K1410" s="486"/>
    </row>
    <row r="1411" spans="1:11" ht="25.5" customHeight="1" x14ac:dyDescent="0.2">
      <c r="A1411" s="384" t="s">
        <v>1197</v>
      </c>
      <c r="B1411" s="382" t="s">
        <v>308</v>
      </c>
      <c r="C1411" s="893"/>
      <c r="D1411" s="898"/>
      <c r="E1411" s="472">
        <v>3</v>
      </c>
      <c r="F1411" s="196"/>
      <c r="G1411" s="382"/>
      <c r="H1411" s="528">
        <v>37</v>
      </c>
      <c r="I1411" s="891"/>
      <c r="J1411" s="461">
        <v>81187.417995994765</v>
      </c>
      <c r="K1411" s="486"/>
    </row>
    <row r="1412" spans="1:11" ht="12.75" customHeight="1" x14ac:dyDescent="0.2">
      <c r="A1412" s="383" t="s">
        <v>1198</v>
      </c>
      <c r="B1412" s="382"/>
      <c r="C1412" s="877" t="s">
        <v>13126</v>
      </c>
      <c r="D1412" s="880">
        <v>15</v>
      </c>
      <c r="E1412" s="472"/>
      <c r="F1412" s="196"/>
      <c r="G1412" s="382"/>
      <c r="H1412" s="529">
        <f>595.5-595.5</f>
        <v>0</v>
      </c>
      <c r="I1412" s="883">
        <v>1934</v>
      </c>
      <c r="J1412" s="461">
        <f>813400-813400</f>
        <v>0</v>
      </c>
      <c r="K1412" s="486"/>
    </row>
    <row r="1413" spans="1:11" ht="12.75" customHeight="1" x14ac:dyDescent="0.2">
      <c r="A1413" s="384" t="s">
        <v>1199</v>
      </c>
      <c r="B1413" s="382" t="s">
        <v>308</v>
      </c>
      <c r="C1413" s="878"/>
      <c r="D1413" s="881"/>
      <c r="E1413" s="468">
        <v>1</v>
      </c>
      <c r="F1413" s="520" t="s">
        <v>5006</v>
      </c>
      <c r="G1413" s="469"/>
      <c r="H1413" s="528">
        <v>68.2</v>
      </c>
      <c r="I1413" s="884"/>
      <c r="J1413" s="461">
        <v>93155.130142737195</v>
      </c>
      <c r="K1413" s="486">
        <v>706769.56</v>
      </c>
    </row>
    <row r="1414" spans="1:11" x14ac:dyDescent="0.2">
      <c r="A1414" s="384" t="s">
        <v>1200</v>
      </c>
      <c r="B1414" s="382" t="s">
        <v>308</v>
      </c>
      <c r="C1414" s="878"/>
      <c r="D1414" s="881"/>
      <c r="E1414" s="468" t="s">
        <v>5474</v>
      </c>
      <c r="F1414" s="520"/>
      <c r="G1414" s="469"/>
      <c r="H1414" s="528">
        <v>28.9</v>
      </c>
      <c r="I1414" s="884"/>
      <c r="J1414" s="461">
        <v>39474.827875734671</v>
      </c>
      <c r="K1414" s="486"/>
    </row>
    <row r="1415" spans="1:11" x14ac:dyDescent="0.2">
      <c r="A1415" s="384" t="s">
        <v>1201</v>
      </c>
      <c r="B1415" s="382" t="s">
        <v>308</v>
      </c>
      <c r="C1415" s="878"/>
      <c r="D1415" s="881"/>
      <c r="E1415" s="468" t="s">
        <v>3929</v>
      </c>
      <c r="F1415" s="909" t="s">
        <v>11636</v>
      </c>
      <c r="G1415" s="530"/>
      <c r="H1415" s="528">
        <v>42.25</v>
      </c>
      <c r="I1415" s="884"/>
      <c r="J1415" s="461">
        <v>57709.739714525604</v>
      </c>
      <c r="K1415" s="486">
        <v>738895.45</v>
      </c>
    </row>
    <row r="1416" spans="1:11" ht="12.75" customHeight="1" x14ac:dyDescent="0.2">
      <c r="A1416" s="384" t="s">
        <v>1202</v>
      </c>
      <c r="B1416" s="382" t="s">
        <v>308</v>
      </c>
      <c r="C1416" s="878"/>
      <c r="D1416" s="881"/>
      <c r="E1416" s="538" t="s">
        <v>2730</v>
      </c>
      <c r="F1416" s="910"/>
      <c r="G1416" s="539"/>
      <c r="H1416" s="528">
        <v>29.05</v>
      </c>
      <c r="I1416" s="884"/>
      <c r="J1416" s="461">
        <v>39679.714525608731</v>
      </c>
      <c r="K1416" s="486"/>
    </row>
    <row r="1417" spans="1:11" x14ac:dyDescent="0.2">
      <c r="A1417" s="384" t="s">
        <v>1203</v>
      </c>
      <c r="B1417" s="382" t="s">
        <v>308</v>
      </c>
      <c r="C1417" s="878"/>
      <c r="D1417" s="881"/>
      <c r="E1417" s="538">
        <v>6</v>
      </c>
      <c r="F1417" s="520" t="s">
        <v>5008</v>
      </c>
      <c r="G1417" s="539"/>
      <c r="H1417" s="528">
        <v>66.3</v>
      </c>
      <c r="I1417" s="884"/>
      <c r="J1417" s="461">
        <v>90559.899244332482</v>
      </c>
      <c r="K1417" s="486">
        <v>687079.5</v>
      </c>
    </row>
    <row r="1418" spans="1:11" ht="12.75" customHeight="1" x14ac:dyDescent="0.2">
      <c r="A1418" s="384" t="s">
        <v>1204</v>
      </c>
      <c r="B1418" s="382" t="s">
        <v>308</v>
      </c>
      <c r="C1418" s="878"/>
      <c r="D1418" s="881"/>
      <c r="E1418" s="468">
        <v>8</v>
      </c>
      <c r="F1418" s="520" t="s">
        <v>5007</v>
      </c>
      <c r="G1418" s="469"/>
      <c r="H1418" s="528">
        <v>67.900000000000006</v>
      </c>
      <c r="I1418" s="884"/>
      <c r="J1418" s="461">
        <v>92745.356842989087</v>
      </c>
      <c r="K1418" s="486">
        <v>703660.6</v>
      </c>
    </row>
    <row r="1419" spans="1:11" ht="12.75" customHeight="1" x14ac:dyDescent="0.2">
      <c r="A1419" s="765" t="s">
        <v>14276</v>
      </c>
      <c r="B1419" s="765" t="s">
        <v>308</v>
      </c>
      <c r="C1419" s="878"/>
      <c r="D1419" s="881"/>
      <c r="E1419" s="468">
        <v>4</v>
      </c>
      <c r="F1419" s="520" t="s">
        <v>14279</v>
      </c>
      <c r="G1419" s="774" t="s">
        <v>543</v>
      </c>
      <c r="H1419" s="528">
        <v>66.7</v>
      </c>
      <c r="I1419" s="884"/>
      <c r="J1419" s="528">
        <f>J1418*H1418/H1419</f>
        <v>94413.93897509684</v>
      </c>
      <c r="K1419" s="486">
        <v>691224.77</v>
      </c>
    </row>
    <row r="1420" spans="1:11" ht="38.25" customHeight="1" x14ac:dyDescent="0.2">
      <c r="A1420" s="765" t="s">
        <v>14277</v>
      </c>
      <c r="B1420" s="775" t="s">
        <v>14278</v>
      </c>
      <c r="C1420" s="878"/>
      <c r="D1420" s="881"/>
      <c r="E1420" s="776">
        <v>3</v>
      </c>
      <c r="F1420" s="777" t="s">
        <v>14280</v>
      </c>
      <c r="G1420" s="778" t="s">
        <v>543</v>
      </c>
      <c r="H1420" s="779">
        <v>38.700000000000003</v>
      </c>
      <c r="I1420" s="884"/>
      <c r="J1420" s="772">
        <v>1268000</v>
      </c>
      <c r="K1420" s="772">
        <v>401055.45</v>
      </c>
    </row>
    <row r="1421" spans="1:11" ht="18" customHeight="1" x14ac:dyDescent="0.2">
      <c r="A1421" s="765" t="s">
        <v>14460</v>
      </c>
      <c r="B1421" s="765" t="s">
        <v>308</v>
      </c>
      <c r="C1421" s="878"/>
      <c r="D1421" s="881"/>
      <c r="E1421" s="776">
        <v>7</v>
      </c>
      <c r="F1421" s="777" t="s">
        <v>14462</v>
      </c>
      <c r="G1421" s="778" t="s">
        <v>543</v>
      </c>
      <c r="H1421" s="779">
        <v>71.3</v>
      </c>
      <c r="I1421" s="884"/>
      <c r="J1421" s="772">
        <v>2336000</v>
      </c>
      <c r="K1421" s="772">
        <v>738895.45</v>
      </c>
    </row>
    <row r="1422" spans="1:11" ht="18" customHeight="1" x14ac:dyDescent="0.2">
      <c r="A1422" s="765" t="s">
        <v>14461</v>
      </c>
      <c r="B1422" s="765" t="s">
        <v>308</v>
      </c>
      <c r="C1422" s="879"/>
      <c r="D1422" s="882"/>
      <c r="E1422" s="776">
        <v>2</v>
      </c>
      <c r="F1422" s="777" t="s">
        <v>14463</v>
      </c>
      <c r="G1422" s="778" t="s">
        <v>143</v>
      </c>
      <c r="H1422" s="779">
        <v>68.400000000000006</v>
      </c>
      <c r="I1422" s="885"/>
      <c r="J1422" s="772">
        <v>2346000</v>
      </c>
      <c r="K1422" s="772">
        <v>708842.2</v>
      </c>
    </row>
    <row r="1423" spans="1:11" x14ac:dyDescent="0.2">
      <c r="A1423" s="383" t="s">
        <v>1205</v>
      </c>
      <c r="B1423" s="382"/>
      <c r="C1423" s="893" t="s">
        <v>13127</v>
      </c>
      <c r="D1423" s="898">
        <v>16</v>
      </c>
      <c r="E1423" s="472"/>
      <c r="F1423" s="196"/>
      <c r="G1423" s="382"/>
      <c r="H1423" s="529">
        <f>755.6-755.6</f>
        <v>0</v>
      </c>
      <c r="I1423" s="891">
        <v>1979</v>
      </c>
      <c r="J1423" s="461">
        <f>1884700-1884700</f>
        <v>0</v>
      </c>
      <c r="K1423" s="486"/>
    </row>
    <row r="1424" spans="1:11" ht="24" customHeight="1" x14ac:dyDescent="0.2">
      <c r="A1424" s="384" t="s">
        <v>1206</v>
      </c>
      <c r="B1424" s="382" t="s">
        <v>308</v>
      </c>
      <c r="C1424" s="893"/>
      <c r="D1424" s="898"/>
      <c r="E1424" s="468">
        <v>15</v>
      </c>
      <c r="F1424" s="469"/>
      <c r="G1424" s="469"/>
      <c r="H1424" s="528">
        <v>49</v>
      </c>
      <c r="I1424" s="891"/>
      <c r="J1424" s="461">
        <v>122221.14875595554</v>
      </c>
      <c r="K1424" s="486"/>
    </row>
    <row r="1425" spans="1:11" x14ac:dyDescent="0.2">
      <c r="A1425" s="383" t="s">
        <v>1207</v>
      </c>
      <c r="B1425" s="382"/>
      <c r="C1425" s="893" t="s">
        <v>13128</v>
      </c>
      <c r="D1425" s="898">
        <v>17</v>
      </c>
      <c r="E1425" s="472"/>
      <c r="F1425" s="196"/>
      <c r="G1425" s="382"/>
      <c r="H1425" s="529">
        <f>1125.6-1125.6</f>
        <v>0</v>
      </c>
      <c r="I1425" s="891">
        <v>1980</v>
      </c>
      <c r="J1425" s="461">
        <f>2022800-2022800</f>
        <v>0</v>
      </c>
      <c r="K1425" s="486"/>
    </row>
    <row r="1426" spans="1:11" ht="25.5" customHeight="1" x14ac:dyDescent="0.2">
      <c r="A1426" s="384" t="s">
        <v>1208</v>
      </c>
      <c r="B1426" s="382" t="s">
        <v>308</v>
      </c>
      <c r="C1426" s="893"/>
      <c r="D1426" s="898"/>
      <c r="E1426" s="468">
        <v>1</v>
      </c>
      <c r="F1426" s="469"/>
      <c r="G1426" s="469"/>
      <c r="H1426" s="528">
        <v>57.2</v>
      </c>
      <c r="I1426" s="891"/>
      <c r="J1426" s="461">
        <v>102793.31911869226</v>
      </c>
      <c r="K1426" s="486"/>
    </row>
    <row r="1427" spans="1:11" x14ac:dyDescent="0.2">
      <c r="A1427" s="383" t="s">
        <v>1209</v>
      </c>
      <c r="B1427" s="382"/>
      <c r="C1427" s="893" t="s">
        <v>13129</v>
      </c>
      <c r="D1427" s="898">
        <v>6</v>
      </c>
      <c r="E1427" s="472"/>
      <c r="F1427" s="196"/>
      <c r="G1427" s="382"/>
      <c r="H1427" s="529">
        <f>400.4-400.4</f>
        <v>0</v>
      </c>
      <c r="I1427" s="891">
        <v>1992</v>
      </c>
      <c r="J1427" s="461">
        <f>1193100-1193100</f>
        <v>0</v>
      </c>
      <c r="K1427" s="486"/>
    </row>
    <row r="1428" spans="1:11" ht="24" customHeight="1" x14ac:dyDescent="0.2">
      <c r="A1428" s="384" t="s">
        <v>3281</v>
      </c>
      <c r="B1428" s="382" t="s">
        <v>308</v>
      </c>
      <c r="C1428" s="893"/>
      <c r="D1428" s="898"/>
      <c r="E1428" s="472">
        <v>8</v>
      </c>
      <c r="F1428" s="623"/>
      <c r="G1428" s="382"/>
      <c r="H1428" s="529">
        <f>400.4-356.1</f>
        <v>44.299999999999955</v>
      </c>
      <c r="I1428" s="891"/>
      <c r="J1428" s="461">
        <f>1193100/400.4*44.3</f>
        <v>132003.82117882118</v>
      </c>
      <c r="K1428" s="486"/>
    </row>
    <row r="1429" spans="1:11" x14ac:dyDescent="0.2">
      <c r="A1429" s="383" t="s">
        <v>1210</v>
      </c>
      <c r="B1429" s="382"/>
      <c r="C1429" s="893" t="s">
        <v>13130</v>
      </c>
      <c r="D1429" s="898">
        <v>7</v>
      </c>
      <c r="E1429" s="472"/>
      <c r="F1429" s="623"/>
      <c r="G1429" s="382"/>
      <c r="H1429" s="529">
        <f>417.4-417.4</f>
        <v>0</v>
      </c>
      <c r="I1429" s="891">
        <v>1992</v>
      </c>
      <c r="J1429" s="461">
        <f>2103600-2103600</f>
        <v>0</v>
      </c>
      <c r="K1429" s="486"/>
    </row>
    <row r="1430" spans="1:11" ht="12.75" customHeight="1" x14ac:dyDescent="0.2">
      <c r="A1430" s="384" t="s">
        <v>1825</v>
      </c>
      <c r="B1430" s="382" t="s">
        <v>308</v>
      </c>
      <c r="C1430" s="893"/>
      <c r="D1430" s="898"/>
      <c r="E1430" s="468">
        <v>1</v>
      </c>
      <c r="F1430" s="520"/>
      <c r="G1430" s="469"/>
      <c r="H1430" s="528">
        <v>43.9</v>
      </c>
      <c r="I1430" s="891"/>
      <c r="J1430" s="461">
        <v>221245.90321034979</v>
      </c>
      <c r="K1430" s="486"/>
    </row>
    <row r="1431" spans="1:11" x14ac:dyDescent="0.2">
      <c r="A1431" s="384" t="s">
        <v>1826</v>
      </c>
      <c r="B1431" s="382" t="s">
        <v>308</v>
      </c>
      <c r="C1431" s="893"/>
      <c r="D1431" s="898"/>
      <c r="E1431" s="468">
        <v>2</v>
      </c>
      <c r="F1431" s="520"/>
      <c r="G1431" s="469"/>
      <c r="H1431" s="528">
        <v>46.1</v>
      </c>
      <c r="I1431" s="891"/>
      <c r="J1431" s="461">
        <v>232333.39722089123</v>
      </c>
      <c r="K1431" s="486"/>
    </row>
    <row r="1432" spans="1:11" ht="12.75" customHeight="1" x14ac:dyDescent="0.2">
      <c r="A1432" s="384" t="s">
        <v>1827</v>
      </c>
      <c r="B1432" s="382" t="s">
        <v>308</v>
      </c>
      <c r="C1432" s="893"/>
      <c r="D1432" s="898"/>
      <c r="E1432" s="468">
        <v>8</v>
      </c>
      <c r="F1432" s="520"/>
      <c r="G1432" s="469"/>
      <c r="H1432" s="528">
        <v>43.9</v>
      </c>
      <c r="I1432" s="891"/>
      <c r="J1432" s="461">
        <v>221245.90321034979</v>
      </c>
      <c r="K1432" s="486"/>
    </row>
    <row r="1433" spans="1:11" x14ac:dyDescent="0.2">
      <c r="A1433" s="383" t="s">
        <v>1211</v>
      </c>
      <c r="B1433" s="382"/>
      <c r="C1433" s="893" t="s">
        <v>13131</v>
      </c>
      <c r="D1433" s="898">
        <v>3</v>
      </c>
      <c r="E1433" s="472"/>
      <c r="F1433" s="623"/>
      <c r="G1433" s="382"/>
      <c r="H1433" s="529">
        <f>560.1-560.1</f>
        <v>0</v>
      </c>
      <c r="I1433" s="891">
        <v>1934</v>
      </c>
      <c r="J1433" s="461">
        <f>847600-847600</f>
        <v>0</v>
      </c>
      <c r="K1433" s="486"/>
    </row>
    <row r="1434" spans="1:11" ht="24" customHeight="1" x14ac:dyDescent="0.2">
      <c r="A1434" s="384" t="s">
        <v>1212</v>
      </c>
      <c r="B1434" s="382" t="s">
        <v>308</v>
      </c>
      <c r="C1434" s="893"/>
      <c r="D1434" s="898"/>
      <c r="E1434" s="533" t="s">
        <v>5473</v>
      </c>
      <c r="F1434" s="520"/>
      <c r="G1434" s="469"/>
      <c r="H1434" s="528">
        <v>26.6</v>
      </c>
      <c r="I1434" s="891"/>
      <c r="J1434" s="461">
        <v>40253.811819317976</v>
      </c>
      <c r="K1434" s="486"/>
    </row>
    <row r="1435" spans="1:11" ht="38.25" x14ac:dyDescent="0.2">
      <c r="A1435" s="383" t="s">
        <v>1213</v>
      </c>
      <c r="B1435" s="382" t="s">
        <v>11567</v>
      </c>
      <c r="C1435" s="617" t="s">
        <v>13132</v>
      </c>
      <c r="D1435" s="619">
        <v>1</v>
      </c>
      <c r="E1435" s="472"/>
      <c r="F1435" s="623"/>
      <c r="G1435" s="382"/>
      <c r="H1435" s="461">
        <v>62.6</v>
      </c>
      <c r="I1435" s="618">
        <v>1934</v>
      </c>
      <c r="J1435" s="461">
        <f>196.8*1000</f>
        <v>196800</v>
      </c>
      <c r="K1435" s="486"/>
    </row>
    <row r="1436" spans="1:11" ht="12.75" customHeight="1" x14ac:dyDescent="0.2">
      <c r="A1436" s="383" t="s">
        <v>1214</v>
      </c>
      <c r="B1436" s="382"/>
      <c r="C1436" s="877" t="s">
        <v>13133</v>
      </c>
      <c r="D1436" s="880">
        <v>40</v>
      </c>
      <c r="E1436" s="472"/>
      <c r="F1436" s="623"/>
      <c r="G1436" s="382"/>
      <c r="H1436" s="529">
        <f>781-781</f>
        <v>0</v>
      </c>
      <c r="I1436" s="883">
        <v>1945</v>
      </c>
      <c r="J1436" s="461">
        <f>386900-386900</f>
        <v>0</v>
      </c>
      <c r="K1436" s="486"/>
    </row>
    <row r="1437" spans="1:11" x14ac:dyDescent="0.2">
      <c r="A1437" s="384" t="s">
        <v>1828</v>
      </c>
      <c r="B1437" s="382" t="s">
        <v>308</v>
      </c>
      <c r="C1437" s="878"/>
      <c r="D1437" s="881"/>
      <c r="E1437" s="468">
        <v>6</v>
      </c>
      <c r="F1437" s="520"/>
      <c r="G1437" s="469"/>
      <c r="H1437" s="528">
        <v>58.5</v>
      </c>
      <c r="I1437" s="884"/>
      <c r="J1437" s="461">
        <v>28980.345710627404</v>
      </c>
      <c r="K1437" s="486"/>
    </row>
    <row r="1438" spans="1:11" ht="12.75" customHeight="1" x14ac:dyDescent="0.2">
      <c r="A1438" s="384" t="s">
        <v>1829</v>
      </c>
      <c r="B1438" s="382" t="s">
        <v>308</v>
      </c>
      <c r="C1438" s="879"/>
      <c r="D1438" s="882"/>
      <c r="E1438" s="468">
        <v>12</v>
      </c>
      <c r="F1438" s="520"/>
      <c r="G1438" s="469"/>
      <c r="H1438" s="528">
        <v>45</v>
      </c>
      <c r="I1438" s="885"/>
      <c r="J1438" s="461">
        <v>22292.57362355954</v>
      </c>
      <c r="K1438" s="486"/>
    </row>
    <row r="1439" spans="1:11" ht="22.5" customHeight="1" x14ac:dyDescent="0.2">
      <c r="A1439" s="383" t="s">
        <v>1215</v>
      </c>
      <c r="B1439" s="382"/>
      <c r="C1439" s="877" t="s">
        <v>13134</v>
      </c>
      <c r="D1439" s="880">
        <v>2</v>
      </c>
      <c r="E1439" s="472"/>
      <c r="F1439" s="623"/>
      <c r="G1439" s="382"/>
      <c r="H1439" s="529">
        <f>4359-4359</f>
        <v>0</v>
      </c>
      <c r="I1439" s="883">
        <v>1976</v>
      </c>
      <c r="J1439" s="461">
        <f>1732500-1732500</f>
        <v>0</v>
      </c>
      <c r="K1439" s="486"/>
    </row>
    <row r="1440" spans="1:11" ht="23.25" customHeight="1" x14ac:dyDescent="0.2">
      <c r="A1440" s="384" t="s">
        <v>1830</v>
      </c>
      <c r="B1440" s="382" t="s">
        <v>308</v>
      </c>
      <c r="C1440" s="879"/>
      <c r="D1440" s="882"/>
      <c r="E1440" s="468">
        <v>46</v>
      </c>
      <c r="F1440" s="520" t="s">
        <v>142</v>
      </c>
      <c r="G1440" s="469"/>
      <c r="H1440" s="528">
        <v>42.1</v>
      </c>
      <c r="I1440" s="885"/>
      <c r="J1440" s="461">
        <v>16732.794218857533</v>
      </c>
      <c r="K1440" s="486">
        <v>809808.67</v>
      </c>
    </row>
    <row r="1441" spans="1:11" ht="12.75" customHeight="1" x14ac:dyDescent="0.2">
      <c r="A1441" s="383" t="s">
        <v>1216</v>
      </c>
      <c r="B1441" s="382"/>
      <c r="C1441" s="877" t="s">
        <v>13135</v>
      </c>
      <c r="D1441" s="880">
        <v>7</v>
      </c>
      <c r="E1441" s="472"/>
      <c r="F1441" s="623"/>
      <c r="G1441" s="382" t="s">
        <v>273</v>
      </c>
      <c r="H1441" s="529">
        <f>2303-2303</f>
        <v>0</v>
      </c>
      <c r="I1441" s="883">
        <v>1989</v>
      </c>
      <c r="J1441" s="461">
        <f>1748700-1748700</f>
        <v>0</v>
      </c>
      <c r="K1441" s="486"/>
    </row>
    <row r="1442" spans="1:11" ht="28.5" customHeight="1" x14ac:dyDescent="0.2">
      <c r="A1442" s="382" t="s">
        <v>3209</v>
      </c>
      <c r="B1442" s="382" t="s">
        <v>308</v>
      </c>
      <c r="C1442" s="879"/>
      <c r="D1442" s="882"/>
      <c r="E1442" s="472">
        <v>27</v>
      </c>
      <c r="F1442" s="623" t="s">
        <v>11637</v>
      </c>
      <c r="G1442" s="382" t="s">
        <v>134</v>
      </c>
      <c r="H1442" s="529">
        <f>51</f>
        <v>51</v>
      </c>
      <c r="I1442" s="885"/>
      <c r="J1442" s="461">
        <v>1000000</v>
      </c>
      <c r="K1442" s="486">
        <v>1025983.32</v>
      </c>
    </row>
    <row r="1443" spans="1:11" ht="51" x14ac:dyDescent="0.2">
      <c r="A1443" s="383" t="s">
        <v>1217</v>
      </c>
      <c r="B1443" s="382" t="s">
        <v>323</v>
      </c>
      <c r="C1443" s="617" t="s">
        <v>13136</v>
      </c>
      <c r="D1443" s="619">
        <v>32</v>
      </c>
      <c r="E1443" s="472"/>
      <c r="F1443" s="623"/>
      <c r="G1443" s="382"/>
      <c r="H1443" s="529">
        <v>424.8</v>
      </c>
      <c r="I1443" s="618">
        <v>1989</v>
      </c>
      <c r="J1443" s="461">
        <f>2219.1*1000</f>
        <v>2219100</v>
      </c>
      <c r="K1443" s="486"/>
    </row>
    <row r="1444" spans="1:11" x14ac:dyDescent="0.2">
      <c r="A1444" s="383" t="s">
        <v>1218</v>
      </c>
      <c r="B1444" s="382"/>
      <c r="C1444" s="893" t="s">
        <v>13137</v>
      </c>
      <c r="D1444" s="898">
        <v>7</v>
      </c>
      <c r="E1444" s="472"/>
      <c r="F1444" s="388"/>
      <c r="G1444" s="615"/>
      <c r="H1444" s="621">
        <f>169.5-169.5</f>
        <v>0</v>
      </c>
      <c r="I1444" s="883">
        <v>1949</v>
      </c>
      <c r="J1444" s="461">
        <f>283600-283600</f>
        <v>0</v>
      </c>
      <c r="K1444" s="486"/>
    </row>
    <row r="1445" spans="1:11" ht="12.75" customHeight="1" x14ac:dyDescent="0.2">
      <c r="A1445" s="384" t="s">
        <v>1831</v>
      </c>
      <c r="B1445" s="382" t="s">
        <v>308</v>
      </c>
      <c r="C1445" s="893"/>
      <c r="D1445" s="898"/>
      <c r="E1445" s="468">
        <v>1</v>
      </c>
      <c r="F1445" s="409" t="s">
        <v>13138</v>
      </c>
      <c r="G1445" s="520" t="s">
        <v>143</v>
      </c>
      <c r="H1445" s="528">
        <v>41.7</v>
      </c>
      <c r="I1445" s="907"/>
      <c r="J1445" s="461">
        <v>69770.619469026555</v>
      </c>
      <c r="K1445" s="486">
        <v>486646.92</v>
      </c>
    </row>
    <row r="1446" spans="1:11" x14ac:dyDescent="0.2">
      <c r="A1446" s="384" t="s">
        <v>1832</v>
      </c>
      <c r="B1446" s="382" t="s">
        <v>308</v>
      </c>
      <c r="C1446" s="893"/>
      <c r="D1446" s="898"/>
      <c r="E1446" s="468">
        <v>2</v>
      </c>
      <c r="F1446" s="409" t="s">
        <v>11959</v>
      </c>
      <c r="G1446" s="520" t="s">
        <v>143</v>
      </c>
      <c r="H1446" s="528">
        <v>54.8</v>
      </c>
      <c r="I1446" s="907"/>
      <c r="J1446" s="461">
        <v>91688.967551622423</v>
      </c>
      <c r="K1446" s="486">
        <v>625567.21</v>
      </c>
    </row>
    <row r="1447" spans="1:11" x14ac:dyDescent="0.2">
      <c r="A1447" s="384" t="s">
        <v>1833</v>
      </c>
      <c r="B1447" s="382" t="s">
        <v>308</v>
      </c>
      <c r="C1447" s="893"/>
      <c r="D1447" s="898"/>
      <c r="E1447" s="468">
        <v>3</v>
      </c>
      <c r="F1447" s="409" t="s">
        <v>11960</v>
      </c>
      <c r="G1447" s="520" t="s">
        <v>143</v>
      </c>
      <c r="H1447" s="528">
        <v>31</v>
      </c>
      <c r="I1447" s="908"/>
      <c r="J1447" s="461">
        <v>51867.84660766962</v>
      </c>
      <c r="K1447" s="486">
        <v>372166.16</v>
      </c>
    </row>
    <row r="1448" spans="1:11" x14ac:dyDescent="0.2">
      <c r="A1448" s="383" t="s">
        <v>1219</v>
      </c>
      <c r="B1448" s="382"/>
      <c r="C1448" s="893" t="s">
        <v>13139</v>
      </c>
      <c r="D1448" s="898">
        <v>8</v>
      </c>
      <c r="E1448" s="472"/>
      <c r="F1448" s="520"/>
      <c r="G1448" s="382"/>
      <c r="H1448" s="522">
        <f>173.3-173.3</f>
        <v>0</v>
      </c>
      <c r="I1448" s="891">
        <v>1949</v>
      </c>
      <c r="J1448" s="461">
        <f>283600-283600</f>
        <v>0</v>
      </c>
      <c r="K1448" s="486"/>
    </row>
    <row r="1449" spans="1:11" x14ac:dyDescent="0.2">
      <c r="A1449" s="384" t="s">
        <v>1834</v>
      </c>
      <c r="B1449" s="382" t="s">
        <v>308</v>
      </c>
      <c r="C1449" s="893"/>
      <c r="D1449" s="898"/>
      <c r="E1449" s="468">
        <v>1</v>
      </c>
      <c r="F1449" s="520"/>
      <c r="G1449" s="469"/>
      <c r="H1449" s="521">
        <v>44.1</v>
      </c>
      <c r="I1449" s="891"/>
      <c r="J1449" s="461">
        <v>72168.263127524522</v>
      </c>
      <c r="K1449" s="486"/>
    </row>
    <row r="1450" spans="1:11" ht="12.75" customHeight="1" x14ac:dyDescent="0.2">
      <c r="A1450" s="384" t="s">
        <v>1835</v>
      </c>
      <c r="B1450" s="382" t="s">
        <v>308</v>
      </c>
      <c r="C1450" s="893"/>
      <c r="D1450" s="898"/>
      <c r="E1450" s="468">
        <v>2</v>
      </c>
      <c r="F1450" s="520" t="s">
        <v>11961</v>
      </c>
      <c r="G1450" s="520" t="s">
        <v>143</v>
      </c>
      <c r="H1450" s="521">
        <v>43.9</v>
      </c>
      <c r="I1450" s="891"/>
      <c r="J1450" s="461">
        <v>71840.969417195607</v>
      </c>
      <c r="K1450" s="486">
        <v>512321.34</v>
      </c>
    </row>
    <row r="1451" spans="1:11" x14ac:dyDescent="0.2">
      <c r="A1451" s="384" t="s">
        <v>1836</v>
      </c>
      <c r="B1451" s="382" t="s">
        <v>308</v>
      </c>
      <c r="C1451" s="893"/>
      <c r="D1451" s="898"/>
      <c r="E1451" s="468">
        <v>3</v>
      </c>
      <c r="F1451" s="520" t="s">
        <v>11962</v>
      </c>
      <c r="G1451" s="520" t="s">
        <v>143</v>
      </c>
      <c r="H1451" s="521">
        <v>41.95</v>
      </c>
      <c r="I1451" s="891"/>
      <c r="J1451" s="461">
        <v>68649.855741488747</v>
      </c>
      <c r="K1451" s="486">
        <v>484312.89</v>
      </c>
    </row>
    <row r="1452" spans="1:11" x14ac:dyDescent="0.2">
      <c r="A1452" s="384" t="s">
        <v>1837</v>
      </c>
      <c r="B1452" s="382" t="s">
        <v>308</v>
      </c>
      <c r="C1452" s="893"/>
      <c r="D1452" s="898"/>
      <c r="E1452" s="468">
        <v>4</v>
      </c>
      <c r="F1452" s="520" t="s">
        <v>11963</v>
      </c>
      <c r="G1452" s="520" t="s">
        <v>143</v>
      </c>
      <c r="H1452" s="521">
        <v>43.35</v>
      </c>
      <c r="I1452" s="891"/>
      <c r="J1452" s="461">
        <v>70940.911713791109</v>
      </c>
      <c r="K1452" s="486">
        <v>511154.32</v>
      </c>
    </row>
    <row r="1453" spans="1:11" ht="12.75" customHeight="1" x14ac:dyDescent="0.2">
      <c r="A1453" s="384" t="s">
        <v>13140</v>
      </c>
      <c r="B1453" s="382" t="s">
        <v>308</v>
      </c>
      <c r="C1453" s="893"/>
      <c r="D1453" s="898"/>
      <c r="E1453" s="507">
        <v>3</v>
      </c>
      <c r="F1453" s="520"/>
      <c r="G1453" s="469"/>
      <c r="H1453" s="521">
        <v>31</v>
      </c>
      <c r="I1453" s="891"/>
      <c r="J1453" s="461">
        <v>50730.525100980951</v>
      </c>
      <c r="K1453" s="486"/>
    </row>
    <row r="1454" spans="1:11" x14ac:dyDescent="0.2">
      <c r="A1454" s="384" t="s">
        <v>13141</v>
      </c>
      <c r="B1454" s="382" t="s">
        <v>308</v>
      </c>
      <c r="C1454" s="893"/>
      <c r="D1454" s="898"/>
      <c r="E1454" s="507">
        <v>4</v>
      </c>
      <c r="F1454" s="520"/>
      <c r="G1454" s="469"/>
      <c r="H1454" s="521">
        <v>30.7</v>
      </c>
      <c r="I1454" s="891"/>
      <c r="J1454" s="461">
        <v>50239.584535487586</v>
      </c>
      <c r="K1454" s="486"/>
    </row>
    <row r="1455" spans="1:11" ht="12.75" customHeight="1" x14ac:dyDescent="0.2">
      <c r="A1455" s="384" t="s">
        <v>13142</v>
      </c>
      <c r="B1455" s="382" t="s">
        <v>308</v>
      </c>
      <c r="C1455" s="893"/>
      <c r="D1455" s="898"/>
      <c r="E1455" s="468">
        <v>5</v>
      </c>
      <c r="F1455" s="520"/>
      <c r="G1455" s="469"/>
      <c r="H1455" s="521">
        <v>31.1</v>
      </c>
      <c r="I1455" s="891"/>
      <c r="J1455" s="461">
        <v>50894.171956145408</v>
      </c>
      <c r="K1455" s="486"/>
    </row>
    <row r="1456" spans="1:11" x14ac:dyDescent="0.2">
      <c r="A1456" s="384" t="s">
        <v>13143</v>
      </c>
      <c r="B1456" s="382" t="s">
        <v>308</v>
      </c>
      <c r="C1456" s="893"/>
      <c r="D1456" s="898"/>
      <c r="E1456" s="468">
        <v>6</v>
      </c>
      <c r="F1456" s="223"/>
      <c r="G1456" s="469"/>
      <c r="H1456" s="521">
        <v>30.9</v>
      </c>
      <c r="I1456" s="891"/>
      <c r="J1456" s="461">
        <v>50566.878245816493</v>
      </c>
      <c r="K1456" s="486"/>
    </row>
    <row r="1457" spans="1:11" ht="12.75" customHeight="1" x14ac:dyDescent="0.2">
      <c r="A1457" s="386" t="s">
        <v>1838</v>
      </c>
      <c r="B1457" s="382"/>
      <c r="C1457" s="877" t="s">
        <v>13144</v>
      </c>
      <c r="D1457" s="880">
        <v>4</v>
      </c>
      <c r="E1457" s="472"/>
      <c r="F1457" s="623"/>
      <c r="G1457" s="613"/>
      <c r="H1457" s="529">
        <f>188.7-188.7</f>
        <v>0</v>
      </c>
      <c r="I1457" s="891">
        <v>1950</v>
      </c>
      <c r="J1457" s="461">
        <f>309300-309300</f>
        <v>0</v>
      </c>
      <c r="K1457" s="486">
        <v>1621550.05</v>
      </c>
    </row>
    <row r="1458" spans="1:11" x14ac:dyDescent="0.2">
      <c r="A1458" s="382" t="s">
        <v>3212</v>
      </c>
      <c r="B1458" s="382" t="s">
        <v>308</v>
      </c>
      <c r="C1458" s="878"/>
      <c r="D1458" s="881"/>
      <c r="E1458" s="472">
        <v>1</v>
      </c>
      <c r="F1458" s="623" t="s">
        <v>3216</v>
      </c>
      <c r="G1458" s="613" t="s">
        <v>143</v>
      </c>
      <c r="H1458" s="529">
        <v>56.3</v>
      </c>
      <c r="I1458" s="891"/>
      <c r="J1458" s="461">
        <f>309300/188.7*H1458</f>
        <v>92281.8759936407</v>
      </c>
      <c r="K1458" s="486">
        <v>592120.61</v>
      </c>
    </row>
    <row r="1459" spans="1:11" ht="12.75" customHeight="1" x14ac:dyDescent="0.2">
      <c r="A1459" s="382" t="s">
        <v>3213</v>
      </c>
      <c r="B1459" s="382" t="s">
        <v>308</v>
      </c>
      <c r="C1459" s="878"/>
      <c r="D1459" s="881"/>
      <c r="E1459" s="472">
        <v>2</v>
      </c>
      <c r="F1459" s="623" t="s">
        <v>3217</v>
      </c>
      <c r="G1459" s="613" t="s">
        <v>143</v>
      </c>
      <c r="H1459" s="529">
        <v>34.799999999999997</v>
      </c>
      <c r="I1459" s="891"/>
      <c r="J1459" s="461">
        <f>309300/188.7*H1459</f>
        <v>57041.017488076308</v>
      </c>
      <c r="K1459" s="486">
        <v>384913.4</v>
      </c>
    </row>
    <row r="1460" spans="1:11" x14ac:dyDescent="0.2">
      <c r="A1460" s="382" t="s">
        <v>3214</v>
      </c>
      <c r="B1460" s="382" t="s">
        <v>308</v>
      </c>
      <c r="C1460" s="878"/>
      <c r="D1460" s="881"/>
      <c r="E1460" s="472">
        <v>3</v>
      </c>
      <c r="F1460" s="623" t="s">
        <v>3218</v>
      </c>
      <c r="G1460" s="613" t="s">
        <v>143</v>
      </c>
      <c r="H1460" s="529">
        <v>33.9</v>
      </c>
      <c r="I1460" s="891"/>
      <c r="J1460" s="461">
        <f>309300/188.7*H1460</f>
        <v>55565.818759936403</v>
      </c>
      <c r="K1460" s="486">
        <v>374958.75</v>
      </c>
    </row>
    <row r="1461" spans="1:11" ht="12.75" customHeight="1" x14ac:dyDescent="0.2">
      <c r="A1461" s="382" t="s">
        <v>3215</v>
      </c>
      <c r="B1461" s="382" t="s">
        <v>308</v>
      </c>
      <c r="C1461" s="879"/>
      <c r="D1461" s="882"/>
      <c r="E1461" s="472">
        <v>4</v>
      </c>
      <c r="F1461" s="623" t="s">
        <v>11638</v>
      </c>
      <c r="G1461" s="613" t="s">
        <v>143</v>
      </c>
      <c r="H1461" s="529">
        <v>55.8</v>
      </c>
      <c r="I1461" s="891"/>
      <c r="J1461" s="461">
        <f>309300/188.7*H1461</f>
        <v>91462.32114467409</v>
      </c>
      <c r="K1461" s="486">
        <v>586861.99</v>
      </c>
    </row>
    <row r="1462" spans="1:11" x14ac:dyDescent="0.2">
      <c r="A1462" s="386" t="s">
        <v>1839</v>
      </c>
      <c r="B1462" s="382"/>
      <c r="C1462" s="877" t="s">
        <v>13145</v>
      </c>
      <c r="D1462" s="880" t="s">
        <v>3211</v>
      </c>
      <c r="E1462" s="472"/>
      <c r="F1462" s="623"/>
      <c r="G1462" s="613"/>
      <c r="H1462" s="529">
        <f>385.3-385.3</f>
        <v>0</v>
      </c>
      <c r="I1462" s="891">
        <v>1983</v>
      </c>
      <c r="J1462" s="461">
        <f>1426300-1426300</f>
        <v>0</v>
      </c>
      <c r="K1462" s="486">
        <v>4047757.59</v>
      </c>
    </row>
    <row r="1463" spans="1:11" ht="12.75" customHeight="1" x14ac:dyDescent="0.2">
      <c r="A1463" s="382" t="s">
        <v>3219</v>
      </c>
      <c r="B1463" s="382" t="s">
        <v>308</v>
      </c>
      <c r="C1463" s="878"/>
      <c r="D1463" s="881"/>
      <c r="E1463" s="472">
        <v>1</v>
      </c>
      <c r="F1463" s="623" t="s">
        <v>3227</v>
      </c>
      <c r="G1463" s="613"/>
      <c r="H1463" s="529">
        <v>46.8</v>
      </c>
      <c r="I1463" s="891"/>
      <c r="J1463" s="461">
        <f t="shared" ref="J1463:J1470" si="8">1426300/385.3*H1463</f>
        <v>173243.81001816763</v>
      </c>
      <c r="K1463" s="486">
        <v>600371.46</v>
      </c>
    </row>
    <row r="1464" spans="1:11" x14ac:dyDescent="0.2">
      <c r="A1464" s="382" t="s">
        <v>3220</v>
      </c>
      <c r="B1464" s="382" t="s">
        <v>308</v>
      </c>
      <c r="C1464" s="878"/>
      <c r="D1464" s="881"/>
      <c r="E1464" s="472">
        <v>2</v>
      </c>
      <c r="F1464" s="623" t="s">
        <v>3228</v>
      </c>
      <c r="G1464" s="613"/>
      <c r="H1464" s="529">
        <v>56.1</v>
      </c>
      <c r="I1464" s="891"/>
      <c r="J1464" s="461">
        <f t="shared" si="8"/>
        <v>207670.46457305996</v>
      </c>
      <c r="K1464" s="486">
        <v>703966.92</v>
      </c>
    </row>
    <row r="1465" spans="1:11" ht="38.25" customHeight="1" x14ac:dyDescent="0.2">
      <c r="A1465" s="382" t="s">
        <v>3221</v>
      </c>
      <c r="B1465" s="382" t="s">
        <v>308</v>
      </c>
      <c r="C1465" s="878"/>
      <c r="D1465" s="881"/>
      <c r="E1465" s="472">
        <v>3</v>
      </c>
      <c r="F1465" s="623" t="s">
        <v>3229</v>
      </c>
      <c r="G1465" s="613"/>
      <c r="H1465" s="529">
        <v>48.7</v>
      </c>
      <c r="I1465" s="891"/>
      <c r="J1465" s="461">
        <f t="shared" si="8"/>
        <v>180277.21256164028</v>
      </c>
      <c r="K1465" s="486">
        <v>624745.52</v>
      </c>
    </row>
    <row r="1466" spans="1:11" x14ac:dyDescent="0.2">
      <c r="A1466" s="382" t="s">
        <v>3222</v>
      </c>
      <c r="B1466" s="382" t="s">
        <v>308</v>
      </c>
      <c r="C1466" s="878"/>
      <c r="D1466" s="881"/>
      <c r="E1466" s="472">
        <v>4</v>
      </c>
      <c r="F1466" s="623" t="s">
        <v>3230</v>
      </c>
      <c r="G1466" s="613"/>
      <c r="H1466" s="529">
        <v>40.299999999999997</v>
      </c>
      <c r="I1466" s="891"/>
      <c r="J1466" s="461">
        <f t="shared" si="8"/>
        <v>149182.16973786658</v>
      </c>
      <c r="K1466" s="486">
        <v>516986.53</v>
      </c>
    </row>
    <row r="1467" spans="1:11" ht="12.75" customHeight="1" x14ac:dyDescent="0.2">
      <c r="A1467" s="382" t="s">
        <v>3223</v>
      </c>
      <c r="B1467" s="382" t="s">
        <v>308</v>
      </c>
      <c r="C1467" s="878"/>
      <c r="D1467" s="881"/>
      <c r="E1467" s="472">
        <v>5</v>
      </c>
      <c r="F1467" s="623" t="s">
        <v>3231</v>
      </c>
      <c r="G1467" s="613"/>
      <c r="H1467" s="529">
        <v>47.4</v>
      </c>
      <c r="I1467" s="891"/>
      <c r="J1467" s="461">
        <f t="shared" si="8"/>
        <v>175464.88450558006</v>
      </c>
      <c r="K1467" s="486">
        <v>608068.53</v>
      </c>
    </row>
    <row r="1468" spans="1:11" x14ac:dyDescent="0.2">
      <c r="A1468" s="382" t="s">
        <v>3224</v>
      </c>
      <c r="B1468" s="382" t="s">
        <v>308</v>
      </c>
      <c r="C1468" s="878"/>
      <c r="D1468" s="881"/>
      <c r="E1468" s="472">
        <v>6</v>
      </c>
      <c r="F1468" s="623" t="s">
        <v>3232</v>
      </c>
      <c r="G1468" s="613"/>
      <c r="H1468" s="529">
        <v>56.1</v>
      </c>
      <c r="I1468" s="891"/>
      <c r="J1468" s="461">
        <f t="shared" si="8"/>
        <v>207670.46457305996</v>
      </c>
      <c r="K1468" s="486">
        <v>703966.92</v>
      </c>
    </row>
    <row r="1469" spans="1:11" ht="12.75" customHeight="1" x14ac:dyDescent="0.2">
      <c r="A1469" s="382" t="s">
        <v>3225</v>
      </c>
      <c r="B1469" s="382" t="s">
        <v>308</v>
      </c>
      <c r="C1469" s="878"/>
      <c r="D1469" s="881"/>
      <c r="E1469" s="472">
        <v>7</v>
      </c>
      <c r="F1469" s="623" t="s">
        <v>3233</v>
      </c>
      <c r="G1469" s="613"/>
      <c r="H1469" s="529">
        <v>48.7</v>
      </c>
      <c r="I1469" s="891"/>
      <c r="J1469" s="461">
        <f t="shared" si="8"/>
        <v>180277.21256164028</v>
      </c>
      <c r="K1469" s="486">
        <v>624745.52</v>
      </c>
    </row>
    <row r="1470" spans="1:11" x14ac:dyDescent="0.2">
      <c r="A1470" s="382" t="s">
        <v>3226</v>
      </c>
      <c r="B1470" s="382" t="s">
        <v>308</v>
      </c>
      <c r="C1470" s="879"/>
      <c r="D1470" s="882"/>
      <c r="E1470" s="472">
        <v>8</v>
      </c>
      <c r="F1470" s="623" t="s">
        <v>3234</v>
      </c>
      <c r="G1470" s="613"/>
      <c r="H1470" s="529">
        <v>41.2</v>
      </c>
      <c r="I1470" s="891"/>
      <c r="J1470" s="461">
        <f t="shared" si="8"/>
        <v>152513.78146898519</v>
      </c>
      <c r="K1470" s="486">
        <v>528532.14</v>
      </c>
    </row>
    <row r="1471" spans="1:11" ht="38.25" x14ac:dyDescent="0.2">
      <c r="A1471" s="386" t="s">
        <v>5890</v>
      </c>
      <c r="B1471" s="382" t="s">
        <v>308</v>
      </c>
      <c r="C1471" s="607" t="s">
        <v>13146</v>
      </c>
      <c r="D1471" s="609">
        <v>18</v>
      </c>
      <c r="E1471" s="472">
        <v>2</v>
      </c>
      <c r="F1471" s="623"/>
      <c r="G1471" s="382" t="s">
        <v>4993</v>
      </c>
      <c r="H1471" s="529">
        <f>153.6-77</f>
        <v>76.599999999999994</v>
      </c>
      <c r="I1471" s="611">
        <v>1987</v>
      </c>
      <c r="J1471" s="461">
        <f>98400-49328.13</f>
        <v>49071.87</v>
      </c>
      <c r="K1471" s="486"/>
    </row>
    <row r="1472" spans="1:11" ht="35.25" customHeight="1" x14ac:dyDescent="0.2">
      <c r="A1472" s="386" t="s">
        <v>1840</v>
      </c>
      <c r="B1472" s="540"/>
      <c r="C1472" s="893" t="s">
        <v>13147</v>
      </c>
      <c r="D1472" s="898">
        <v>20</v>
      </c>
      <c r="E1472" s="472"/>
      <c r="F1472" s="623"/>
      <c r="G1472" s="382" t="s">
        <v>4993</v>
      </c>
      <c r="H1472" s="298"/>
      <c r="I1472" s="891">
        <v>1987</v>
      </c>
      <c r="J1472" s="486"/>
      <c r="K1472" s="486"/>
    </row>
    <row r="1473" spans="1:11" ht="12.75" customHeight="1" x14ac:dyDescent="0.2">
      <c r="A1473" s="384" t="s">
        <v>1841</v>
      </c>
      <c r="B1473" s="540" t="s">
        <v>308</v>
      </c>
      <c r="C1473" s="893"/>
      <c r="D1473" s="898"/>
      <c r="E1473" s="472">
        <v>1</v>
      </c>
      <c r="F1473" s="623"/>
      <c r="G1473" s="382" t="s">
        <v>196</v>
      </c>
      <c r="H1473" s="529">
        <v>72.5</v>
      </c>
      <c r="I1473" s="891"/>
      <c r="J1473" s="461">
        <v>48830</v>
      </c>
      <c r="K1473" s="486"/>
    </row>
    <row r="1474" spans="1:11" x14ac:dyDescent="0.2">
      <c r="A1474" s="384" t="s">
        <v>1844</v>
      </c>
      <c r="B1474" s="540" t="s">
        <v>308</v>
      </c>
      <c r="C1474" s="893"/>
      <c r="D1474" s="898"/>
      <c r="E1474" s="472">
        <v>2</v>
      </c>
      <c r="F1474" s="623"/>
      <c r="G1474" s="382" t="s">
        <v>196</v>
      </c>
      <c r="H1474" s="529">
        <v>73.599999999999994</v>
      </c>
      <c r="I1474" s="891"/>
      <c r="J1474" s="461">
        <v>49570</v>
      </c>
      <c r="K1474" s="486"/>
    </row>
    <row r="1475" spans="1:11" ht="38.25" x14ac:dyDescent="0.2">
      <c r="A1475" s="383" t="s">
        <v>1220</v>
      </c>
      <c r="B1475" s="540" t="s">
        <v>323</v>
      </c>
      <c r="C1475" s="617" t="s">
        <v>13148</v>
      </c>
      <c r="D1475" s="619">
        <v>21</v>
      </c>
      <c r="E1475" s="472"/>
      <c r="F1475" s="623"/>
      <c r="G1475" s="382" t="s">
        <v>4993</v>
      </c>
      <c r="H1475" s="529">
        <f>151.5-36.7</f>
        <v>114.8</v>
      </c>
      <c r="I1475" s="618">
        <v>1987</v>
      </c>
      <c r="J1475" s="461">
        <f>98400-23836.83</f>
        <v>74563.17</v>
      </c>
      <c r="K1475" s="486"/>
    </row>
    <row r="1476" spans="1:11" ht="12.75" customHeight="1" x14ac:dyDescent="0.2">
      <c r="A1476" s="383" t="s">
        <v>1221</v>
      </c>
      <c r="B1476" s="540"/>
      <c r="C1476" s="893" t="s">
        <v>13149</v>
      </c>
      <c r="D1476" s="898">
        <v>23</v>
      </c>
      <c r="E1476" s="472"/>
      <c r="F1476" s="623"/>
      <c r="G1476" s="382" t="s">
        <v>4993</v>
      </c>
      <c r="H1476" s="529">
        <f>151.5-151.5</f>
        <v>0</v>
      </c>
      <c r="I1476" s="618">
        <v>1987</v>
      </c>
      <c r="J1476" s="461">
        <f>98400-98400</f>
        <v>0</v>
      </c>
      <c r="K1476" s="486"/>
    </row>
    <row r="1477" spans="1:11" ht="38.25" customHeight="1" x14ac:dyDescent="0.2">
      <c r="A1477" s="384" t="s">
        <v>1222</v>
      </c>
      <c r="B1477" s="540" t="s">
        <v>308</v>
      </c>
      <c r="C1477" s="893"/>
      <c r="D1477" s="898"/>
      <c r="E1477" s="472">
        <v>1</v>
      </c>
      <c r="F1477" s="623"/>
      <c r="G1477" s="382" t="s">
        <v>143</v>
      </c>
      <c r="H1477" s="529">
        <v>76.8</v>
      </c>
      <c r="I1477" s="618"/>
      <c r="J1477" s="461">
        <v>49881.980198019795</v>
      </c>
      <c r="K1477" s="486"/>
    </row>
    <row r="1478" spans="1:11" ht="25.5" customHeight="1" x14ac:dyDescent="0.2">
      <c r="A1478" s="466" t="s">
        <v>1223</v>
      </c>
      <c r="B1478" s="382"/>
      <c r="C1478" s="877" t="s">
        <v>13150</v>
      </c>
      <c r="D1478" s="880">
        <v>24</v>
      </c>
      <c r="E1478" s="472"/>
      <c r="F1478" s="44"/>
      <c r="G1478" s="613" t="s">
        <v>4993</v>
      </c>
      <c r="H1478" s="529">
        <f>174-174</f>
        <v>0</v>
      </c>
      <c r="I1478" s="883">
        <v>1987</v>
      </c>
      <c r="J1478" s="461">
        <f>98400-98400</f>
        <v>0</v>
      </c>
      <c r="K1478" s="486"/>
    </row>
    <row r="1479" spans="1:11" x14ac:dyDescent="0.2">
      <c r="A1479" s="384" t="s">
        <v>10539</v>
      </c>
      <c r="B1479" s="382" t="s">
        <v>308</v>
      </c>
      <c r="C1479" s="878"/>
      <c r="D1479" s="881"/>
      <c r="E1479" s="472">
        <v>1</v>
      </c>
      <c r="F1479" s="44"/>
      <c r="G1479" s="613" t="s">
        <v>143</v>
      </c>
      <c r="H1479" s="529">
        <v>39</v>
      </c>
      <c r="I1479" s="884"/>
      <c r="J1479" s="461">
        <f>98400/174*H1479</f>
        <v>22055.172413793105</v>
      </c>
      <c r="K1479" s="486"/>
    </row>
    <row r="1480" spans="1:11" x14ac:dyDescent="0.2">
      <c r="A1480" s="384" t="s">
        <v>13151</v>
      </c>
      <c r="B1480" s="382" t="s">
        <v>308</v>
      </c>
      <c r="C1480" s="878"/>
      <c r="D1480" s="881"/>
      <c r="E1480" s="472">
        <v>2</v>
      </c>
      <c r="F1480" s="44"/>
      <c r="G1480" s="613" t="s">
        <v>143</v>
      </c>
      <c r="H1480" s="529">
        <v>38.1</v>
      </c>
      <c r="I1480" s="884"/>
      <c r="J1480" s="461">
        <f>98400/174*H1480</f>
        <v>21546.206896551725</v>
      </c>
      <c r="K1480" s="486"/>
    </row>
    <row r="1481" spans="1:11" ht="18.75" customHeight="1" x14ac:dyDescent="0.2">
      <c r="A1481" s="384" t="s">
        <v>10540</v>
      </c>
      <c r="B1481" s="382" t="s">
        <v>308</v>
      </c>
      <c r="C1481" s="878"/>
      <c r="D1481" s="881"/>
      <c r="E1481" s="472">
        <v>3</v>
      </c>
      <c r="F1481" s="44"/>
      <c r="G1481" s="613" t="s">
        <v>143</v>
      </c>
      <c r="H1481" s="529">
        <v>48.4</v>
      </c>
      <c r="I1481" s="884"/>
      <c r="J1481" s="461">
        <f>98400/174*H1481</f>
        <v>27371.03448275862</v>
      </c>
      <c r="K1481" s="486"/>
    </row>
    <row r="1482" spans="1:11" ht="12.75" customHeight="1" x14ac:dyDescent="0.2">
      <c r="A1482" s="384" t="s">
        <v>10541</v>
      </c>
      <c r="B1482" s="382" t="s">
        <v>308</v>
      </c>
      <c r="C1482" s="879"/>
      <c r="D1482" s="882"/>
      <c r="E1482" s="472">
        <v>4</v>
      </c>
      <c r="F1482" s="44"/>
      <c r="G1482" s="613" t="s">
        <v>143</v>
      </c>
      <c r="H1482" s="529">
        <v>48.5</v>
      </c>
      <c r="I1482" s="885"/>
      <c r="J1482" s="461">
        <f>98400/174*H1482</f>
        <v>27427.586206896551</v>
      </c>
      <c r="K1482" s="486"/>
    </row>
    <row r="1483" spans="1:11" ht="39" customHeight="1" x14ac:dyDescent="0.2">
      <c r="A1483" s="383" t="s">
        <v>1224</v>
      </c>
      <c r="B1483" s="540"/>
      <c r="C1483" s="893" t="s">
        <v>13152</v>
      </c>
      <c r="D1483" s="898">
        <v>25</v>
      </c>
      <c r="E1483" s="472"/>
      <c r="F1483" s="623"/>
      <c r="G1483" s="382" t="s">
        <v>4993</v>
      </c>
      <c r="H1483" s="529">
        <f>151.5-151.5</f>
        <v>0</v>
      </c>
      <c r="I1483" s="891">
        <v>1987</v>
      </c>
      <c r="J1483" s="461">
        <v>0</v>
      </c>
      <c r="K1483" s="486"/>
    </row>
    <row r="1484" spans="1:11" x14ac:dyDescent="0.2">
      <c r="A1484" s="384" t="s">
        <v>1842</v>
      </c>
      <c r="B1484" s="540" t="s">
        <v>308</v>
      </c>
      <c r="C1484" s="893"/>
      <c r="D1484" s="898"/>
      <c r="E1484" s="472">
        <v>2</v>
      </c>
      <c r="F1484" s="623"/>
      <c r="G1484" s="382" t="s">
        <v>143</v>
      </c>
      <c r="H1484" s="529">
        <v>76.5</v>
      </c>
      <c r="I1484" s="891"/>
      <c r="J1484" s="461">
        <v>48518</v>
      </c>
      <c r="K1484" s="486"/>
    </row>
    <row r="1485" spans="1:11" ht="38.25" x14ac:dyDescent="0.2">
      <c r="A1485" s="383" t="s">
        <v>1225</v>
      </c>
      <c r="B1485" s="382"/>
      <c r="C1485" s="877" t="s">
        <v>13153</v>
      </c>
      <c r="D1485" s="905">
        <v>26</v>
      </c>
      <c r="E1485" s="472"/>
      <c r="F1485" s="613"/>
      <c r="G1485" s="613" t="s">
        <v>4993</v>
      </c>
      <c r="H1485" s="529">
        <f>153.6-153.6</f>
        <v>0</v>
      </c>
      <c r="I1485" s="883">
        <v>1987</v>
      </c>
      <c r="J1485" s="461">
        <f>98400-98400</f>
        <v>0</v>
      </c>
      <c r="K1485" s="541"/>
    </row>
    <row r="1486" spans="1:11" ht="12.75" customHeight="1" x14ac:dyDescent="0.2">
      <c r="A1486" s="382" t="s">
        <v>12690</v>
      </c>
      <c r="B1486" s="382" t="s">
        <v>308</v>
      </c>
      <c r="C1486" s="879"/>
      <c r="D1486" s="906"/>
      <c r="E1486" s="472">
        <v>2</v>
      </c>
      <c r="F1486" s="613" t="s">
        <v>12689</v>
      </c>
      <c r="G1486" s="613" t="s">
        <v>143</v>
      </c>
      <c r="H1486" s="529">
        <v>76.8</v>
      </c>
      <c r="I1486" s="885"/>
      <c r="J1486" s="461">
        <v>49904.69</v>
      </c>
      <c r="K1486" s="541"/>
    </row>
    <row r="1487" spans="1:11" ht="41.25" customHeight="1" x14ac:dyDescent="0.2">
      <c r="A1487" s="466" t="s">
        <v>1226</v>
      </c>
      <c r="B1487" s="382" t="s">
        <v>323</v>
      </c>
      <c r="C1487" s="877" t="s">
        <v>13154</v>
      </c>
      <c r="D1487" s="880">
        <v>27</v>
      </c>
      <c r="E1487" s="472"/>
      <c r="F1487" s="44"/>
      <c r="G1487" s="613" t="s">
        <v>4993</v>
      </c>
      <c r="H1487" s="529">
        <f>174-174</f>
        <v>0</v>
      </c>
      <c r="I1487" s="883">
        <v>1987</v>
      </c>
      <c r="J1487" s="461">
        <f>98400-98400</f>
        <v>0</v>
      </c>
      <c r="K1487" s="486"/>
    </row>
    <row r="1488" spans="1:11" x14ac:dyDescent="0.2">
      <c r="A1488" s="384" t="s">
        <v>9335</v>
      </c>
      <c r="B1488" s="382" t="s">
        <v>308</v>
      </c>
      <c r="C1488" s="878"/>
      <c r="D1488" s="881"/>
      <c r="E1488" s="472">
        <v>2</v>
      </c>
      <c r="F1488" s="44"/>
      <c r="G1488" s="613" t="s">
        <v>143</v>
      </c>
      <c r="H1488" s="529">
        <v>38.1</v>
      </c>
      <c r="I1488" s="884"/>
      <c r="J1488" s="461">
        <f>98400/174*H1488</f>
        <v>21546.206896551725</v>
      </c>
      <c r="K1488" s="486"/>
    </row>
    <row r="1489" spans="1:11" ht="38.25" x14ac:dyDescent="0.2">
      <c r="A1489" s="383" t="s">
        <v>1227</v>
      </c>
      <c r="B1489" s="382"/>
      <c r="C1489" s="877" t="s">
        <v>13155</v>
      </c>
      <c r="D1489" s="880">
        <v>28</v>
      </c>
      <c r="E1489" s="472"/>
      <c r="F1489" s="623"/>
      <c r="G1489" s="613" t="s">
        <v>4993</v>
      </c>
      <c r="H1489" s="529">
        <f>201.4-201.4</f>
        <v>0</v>
      </c>
      <c r="I1489" s="883">
        <v>1987</v>
      </c>
      <c r="J1489" s="461">
        <f>98400-98400</f>
        <v>0</v>
      </c>
      <c r="K1489" s="486"/>
    </row>
    <row r="1490" spans="1:11" x14ac:dyDescent="0.2">
      <c r="A1490" s="384" t="s">
        <v>5717</v>
      </c>
      <c r="B1490" s="382" t="s">
        <v>308</v>
      </c>
      <c r="C1490" s="878"/>
      <c r="D1490" s="881"/>
      <c r="E1490" s="472">
        <v>1</v>
      </c>
      <c r="F1490" s="623"/>
      <c r="G1490" s="613" t="s">
        <v>3072</v>
      </c>
      <c r="H1490" s="529">
        <v>50</v>
      </c>
      <c r="I1490" s="884"/>
      <c r="J1490" s="461">
        <f>98400/201.4*H1490</f>
        <v>24428.997020854022</v>
      </c>
      <c r="K1490" s="486"/>
    </row>
    <row r="1491" spans="1:11" x14ac:dyDescent="0.2">
      <c r="A1491" s="384" t="s">
        <v>5718</v>
      </c>
      <c r="B1491" s="382" t="s">
        <v>308</v>
      </c>
      <c r="C1491" s="878"/>
      <c r="D1491" s="881"/>
      <c r="E1491" s="472">
        <v>2</v>
      </c>
      <c r="F1491" s="623"/>
      <c r="G1491" s="613" t="s">
        <v>3072</v>
      </c>
      <c r="H1491" s="529">
        <v>50.7</v>
      </c>
      <c r="I1491" s="884"/>
      <c r="J1491" s="461">
        <f>98400/201.4*H1491</f>
        <v>24771.002979145978</v>
      </c>
      <c r="K1491" s="486"/>
    </row>
    <row r="1492" spans="1:11" x14ac:dyDescent="0.2">
      <c r="A1492" s="384" t="s">
        <v>5719</v>
      </c>
      <c r="B1492" s="382" t="s">
        <v>308</v>
      </c>
      <c r="C1492" s="878"/>
      <c r="D1492" s="881"/>
      <c r="E1492" s="472">
        <v>3</v>
      </c>
      <c r="F1492" s="623"/>
      <c r="G1492" s="613" t="s">
        <v>3072</v>
      </c>
      <c r="H1492" s="529">
        <v>50.7</v>
      </c>
      <c r="I1492" s="884"/>
      <c r="J1492" s="461">
        <f>98400/201.4*H1492</f>
        <v>24771.002979145978</v>
      </c>
      <c r="K1492" s="486"/>
    </row>
    <row r="1493" spans="1:11" ht="38.25" x14ac:dyDescent="0.2">
      <c r="A1493" s="383" t="s">
        <v>1228</v>
      </c>
      <c r="B1493" s="382"/>
      <c r="C1493" s="877" t="s">
        <v>13156</v>
      </c>
      <c r="D1493" s="880">
        <v>12</v>
      </c>
      <c r="E1493" s="472"/>
      <c r="F1493" s="623"/>
      <c r="G1493" s="382" t="s">
        <v>4993</v>
      </c>
      <c r="H1493" s="529">
        <f>78-78</f>
        <v>0</v>
      </c>
      <c r="I1493" s="883">
        <v>1972</v>
      </c>
      <c r="J1493" s="461">
        <f>671900-671900</f>
        <v>0</v>
      </c>
      <c r="K1493" s="486"/>
    </row>
    <row r="1494" spans="1:11" x14ac:dyDescent="0.2">
      <c r="A1494" s="384" t="s">
        <v>10537</v>
      </c>
      <c r="B1494" s="382" t="s">
        <v>308</v>
      </c>
      <c r="C1494" s="878"/>
      <c r="D1494" s="881"/>
      <c r="E1494" s="472">
        <v>1</v>
      </c>
      <c r="F1494" s="623"/>
      <c r="G1494" s="382" t="s">
        <v>143</v>
      </c>
      <c r="H1494" s="529">
        <v>39</v>
      </c>
      <c r="I1494" s="884"/>
      <c r="J1494" s="461">
        <f>671900/78*H1494</f>
        <v>335950</v>
      </c>
      <c r="K1494" s="486"/>
    </row>
    <row r="1495" spans="1:11" ht="12.75" customHeight="1" x14ac:dyDescent="0.2">
      <c r="A1495" s="384" t="s">
        <v>10538</v>
      </c>
      <c r="B1495" s="382" t="s">
        <v>308</v>
      </c>
      <c r="C1495" s="879"/>
      <c r="D1495" s="882"/>
      <c r="E1495" s="472">
        <v>2</v>
      </c>
      <c r="F1495" s="623"/>
      <c r="G1495" s="382" t="s">
        <v>143</v>
      </c>
      <c r="H1495" s="529">
        <v>39</v>
      </c>
      <c r="I1495" s="885"/>
      <c r="J1495" s="461">
        <f>671900/78*H1495</f>
        <v>335950</v>
      </c>
      <c r="K1495" s="486"/>
    </row>
    <row r="1496" spans="1:11" ht="51" x14ac:dyDescent="0.2">
      <c r="A1496" s="386" t="s">
        <v>1229</v>
      </c>
      <c r="B1496" s="382" t="s">
        <v>323</v>
      </c>
      <c r="C1496" s="617" t="s">
        <v>13157</v>
      </c>
      <c r="D1496" s="619">
        <v>4</v>
      </c>
      <c r="E1496" s="472"/>
      <c r="F1496" s="623"/>
      <c r="G1496" s="382"/>
      <c r="H1496" s="529">
        <v>73.400000000000006</v>
      </c>
      <c r="I1496" s="618">
        <v>1972</v>
      </c>
      <c r="J1496" s="461">
        <v>671900</v>
      </c>
      <c r="K1496" s="486"/>
    </row>
    <row r="1497" spans="1:11" ht="38.25" x14ac:dyDescent="0.2">
      <c r="A1497" s="386" t="s">
        <v>1230</v>
      </c>
      <c r="B1497" s="382" t="s">
        <v>11567</v>
      </c>
      <c r="C1497" s="617" t="s">
        <v>13158</v>
      </c>
      <c r="D1497" s="619">
        <v>1</v>
      </c>
      <c r="E1497" s="472"/>
      <c r="F1497" s="623"/>
      <c r="G1497" s="382"/>
      <c r="H1497" s="529">
        <v>76.2</v>
      </c>
      <c r="I1497" s="618">
        <v>1974</v>
      </c>
      <c r="J1497" s="461">
        <v>8500</v>
      </c>
      <c r="K1497" s="486"/>
    </row>
    <row r="1498" spans="1:11" ht="38.25" customHeight="1" x14ac:dyDescent="0.2">
      <c r="A1498" s="386" t="s">
        <v>1843</v>
      </c>
      <c r="B1498" s="382" t="s">
        <v>11567</v>
      </c>
      <c r="C1498" s="617" t="s">
        <v>13159</v>
      </c>
      <c r="D1498" s="619">
        <v>20</v>
      </c>
      <c r="E1498" s="472"/>
      <c r="F1498" s="196" t="s">
        <v>44</v>
      </c>
      <c r="G1498" s="382"/>
      <c r="H1498" s="522">
        <v>51.8</v>
      </c>
      <c r="I1498" s="618">
        <v>1950</v>
      </c>
      <c r="J1498" s="461">
        <v>22000</v>
      </c>
      <c r="K1498" s="486">
        <v>412696.3</v>
      </c>
    </row>
    <row r="1499" spans="1:11" ht="38.25" x14ac:dyDescent="0.2">
      <c r="A1499" s="383" t="s">
        <v>1231</v>
      </c>
      <c r="B1499" s="382" t="s">
        <v>11567</v>
      </c>
      <c r="C1499" s="617" t="s">
        <v>13160</v>
      </c>
      <c r="D1499" s="619">
        <v>4</v>
      </c>
      <c r="E1499" s="472"/>
      <c r="F1499" s="196" t="s">
        <v>193</v>
      </c>
      <c r="G1499" s="382"/>
      <c r="H1499" s="492">
        <v>31.4</v>
      </c>
      <c r="I1499" s="618">
        <v>1950</v>
      </c>
      <c r="J1499" s="461">
        <v>11300</v>
      </c>
      <c r="K1499" s="486">
        <v>250167.25</v>
      </c>
    </row>
    <row r="1500" spans="1:11" ht="39.75" customHeight="1" x14ac:dyDescent="0.2">
      <c r="A1500" s="383" t="s">
        <v>1232</v>
      </c>
      <c r="B1500" s="382" t="s">
        <v>308</v>
      </c>
      <c r="C1500" s="617" t="s">
        <v>13161</v>
      </c>
      <c r="D1500" s="619">
        <v>17</v>
      </c>
      <c r="E1500" s="472">
        <v>2</v>
      </c>
      <c r="F1500" s="196" t="s">
        <v>194</v>
      </c>
      <c r="G1500" s="382"/>
      <c r="H1500" s="492">
        <v>29</v>
      </c>
      <c r="I1500" s="618">
        <v>1936</v>
      </c>
      <c r="J1500" s="461">
        <f>19000/60.3*29</f>
        <v>9137.645107794362</v>
      </c>
      <c r="K1500" s="486">
        <v>320761.17</v>
      </c>
    </row>
    <row r="1501" spans="1:11" x14ac:dyDescent="0.2">
      <c r="A1501" s="466" t="s">
        <v>1233</v>
      </c>
      <c r="B1501" s="382"/>
      <c r="C1501" s="877" t="s">
        <v>13162</v>
      </c>
      <c r="D1501" s="880" t="s">
        <v>353</v>
      </c>
      <c r="E1501" s="485"/>
      <c r="F1501" s="40"/>
      <c r="G1501" s="613"/>
      <c r="H1501" s="461">
        <f>80.9-80.9</f>
        <v>0</v>
      </c>
      <c r="I1501" s="883">
        <v>1976</v>
      </c>
      <c r="J1501" s="461">
        <f>36700-36700</f>
        <v>0</v>
      </c>
      <c r="K1501" s="486"/>
    </row>
    <row r="1502" spans="1:11" x14ac:dyDescent="0.2">
      <c r="A1502" s="384" t="s">
        <v>10495</v>
      </c>
      <c r="B1502" s="382" t="s">
        <v>308</v>
      </c>
      <c r="C1502" s="878"/>
      <c r="D1502" s="881"/>
      <c r="E1502" s="485">
        <v>1</v>
      </c>
      <c r="F1502" s="40"/>
      <c r="G1502" s="613"/>
      <c r="H1502" s="461">
        <v>40.5</v>
      </c>
      <c r="I1502" s="884"/>
      <c r="J1502" s="461">
        <f>36700/80.9*H1502</f>
        <v>18372.68232385661</v>
      </c>
      <c r="K1502" s="486"/>
    </row>
    <row r="1503" spans="1:11" ht="12.75" customHeight="1" x14ac:dyDescent="0.2">
      <c r="A1503" s="384" t="s">
        <v>10496</v>
      </c>
      <c r="B1503" s="382" t="s">
        <v>308</v>
      </c>
      <c r="C1503" s="879"/>
      <c r="D1503" s="882"/>
      <c r="E1503" s="485">
        <v>2</v>
      </c>
      <c r="F1503" s="40"/>
      <c r="G1503" s="613"/>
      <c r="H1503" s="461">
        <v>40.4</v>
      </c>
      <c r="I1503" s="885"/>
      <c r="J1503" s="461">
        <f>36700/80.9*H1503</f>
        <v>18327.317676143386</v>
      </c>
      <c r="K1503" s="486"/>
    </row>
    <row r="1504" spans="1:11" x14ac:dyDescent="0.2">
      <c r="A1504" s="383" t="s">
        <v>1234</v>
      </c>
      <c r="B1504" s="382"/>
      <c r="C1504" s="893" t="s">
        <v>13163</v>
      </c>
      <c r="D1504" s="898">
        <v>84</v>
      </c>
      <c r="E1504" s="485"/>
      <c r="F1504" s="196"/>
      <c r="G1504" s="382"/>
      <c r="H1504" s="492">
        <f>94.5-94.5</f>
        <v>0</v>
      </c>
      <c r="I1504" s="891">
        <v>1962</v>
      </c>
      <c r="J1504" s="461">
        <f>40200-40200</f>
        <v>0</v>
      </c>
      <c r="K1504" s="486"/>
    </row>
    <row r="1505" spans="1:11" ht="25.5" customHeight="1" x14ac:dyDescent="0.2">
      <c r="A1505" s="384" t="s">
        <v>1845</v>
      </c>
      <c r="B1505" s="382" t="s">
        <v>308</v>
      </c>
      <c r="C1505" s="893"/>
      <c r="D1505" s="898"/>
      <c r="E1505" s="485">
        <v>2</v>
      </c>
      <c r="F1505" s="196" t="s">
        <v>45</v>
      </c>
      <c r="G1505" s="486"/>
      <c r="H1505" s="492">
        <v>23.1</v>
      </c>
      <c r="I1505" s="891"/>
      <c r="J1505" s="461">
        <v>9826.6666666666679</v>
      </c>
      <c r="K1505" s="486">
        <v>255502.86</v>
      </c>
    </row>
    <row r="1506" spans="1:11" ht="38.25" x14ac:dyDescent="0.2">
      <c r="A1506" s="383" t="s">
        <v>1235</v>
      </c>
      <c r="B1506" s="382"/>
      <c r="C1506" s="893" t="s">
        <v>13164</v>
      </c>
      <c r="D1506" s="898">
        <v>23</v>
      </c>
      <c r="E1506" s="485"/>
      <c r="F1506" s="196" t="s">
        <v>46</v>
      </c>
      <c r="G1506" s="382" t="s">
        <v>4993</v>
      </c>
      <c r="H1506" s="492">
        <f>79.7-79.7</f>
        <v>0</v>
      </c>
      <c r="I1506" s="891">
        <v>1975</v>
      </c>
      <c r="J1506" s="461">
        <f>30300-30300</f>
        <v>0</v>
      </c>
      <c r="K1506" s="486">
        <v>660603.81000000006</v>
      </c>
    </row>
    <row r="1507" spans="1:11" x14ac:dyDescent="0.2">
      <c r="A1507" s="384" t="s">
        <v>5013</v>
      </c>
      <c r="B1507" s="382" t="s">
        <v>308</v>
      </c>
      <c r="C1507" s="893"/>
      <c r="D1507" s="898"/>
      <c r="E1507" s="485">
        <v>2</v>
      </c>
      <c r="F1507" s="196" t="s">
        <v>5014</v>
      </c>
      <c r="G1507" s="382" t="s">
        <v>143</v>
      </c>
      <c r="H1507" s="492">
        <v>39.700000000000003</v>
      </c>
      <c r="I1507" s="891"/>
      <c r="J1507" s="461">
        <f>30300/79.9*H1507</f>
        <v>15055.193992490615</v>
      </c>
      <c r="K1507" s="486">
        <v>426851.62</v>
      </c>
    </row>
    <row r="1508" spans="1:11" ht="38.25" x14ac:dyDescent="0.2">
      <c r="A1508" s="383" t="s">
        <v>1236</v>
      </c>
      <c r="B1508" s="382" t="s">
        <v>323</v>
      </c>
      <c r="C1508" s="617" t="s">
        <v>13165</v>
      </c>
      <c r="D1508" s="619">
        <v>3</v>
      </c>
      <c r="E1508" s="472"/>
      <c r="F1508" s="196"/>
      <c r="G1508" s="382"/>
      <c r="H1508" s="492">
        <v>92</v>
      </c>
      <c r="I1508" s="618">
        <v>1968</v>
      </c>
      <c r="J1508" s="461">
        <f>41.3*1000</f>
        <v>41300</v>
      </c>
      <c r="K1508" s="486"/>
    </row>
    <row r="1509" spans="1:11" ht="26.25" customHeight="1" x14ac:dyDescent="0.2">
      <c r="A1509" s="383" t="s">
        <v>1237</v>
      </c>
      <c r="B1509" s="382"/>
      <c r="C1509" s="893" t="s">
        <v>13166</v>
      </c>
      <c r="D1509" s="898">
        <v>4</v>
      </c>
      <c r="E1509" s="472"/>
      <c r="F1509" s="196" t="s">
        <v>11639</v>
      </c>
      <c r="G1509" s="382"/>
      <c r="H1509" s="492">
        <f>95.4-95.4</f>
        <v>0</v>
      </c>
      <c r="I1509" s="891">
        <v>1959</v>
      </c>
      <c r="J1509" s="461">
        <f>46200-46200</f>
        <v>0</v>
      </c>
      <c r="K1509" s="486"/>
    </row>
    <row r="1510" spans="1:11" x14ac:dyDescent="0.2">
      <c r="A1510" s="384" t="s">
        <v>5015</v>
      </c>
      <c r="B1510" s="382" t="s">
        <v>308</v>
      </c>
      <c r="C1510" s="893"/>
      <c r="D1510" s="898"/>
      <c r="E1510" s="472">
        <v>2</v>
      </c>
      <c r="F1510" s="196" t="s">
        <v>5016</v>
      </c>
      <c r="G1510" s="382" t="s">
        <v>143</v>
      </c>
      <c r="H1510" s="492">
        <v>46.6</v>
      </c>
      <c r="I1510" s="891"/>
      <c r="J1510" s="461">
        <f>46200/95.4*H1510</f>
        <v>22567.295597484277</v>
      </c>
      <c r="K1510" s="486">
        <v>482924.65</v>
      </c>
    </row>
    <row r="1511" spans="1:11" x14ac:dyDescent="0.2">
      <c r="A1511" s="383" t="s">
        <v>1238</v>
      </c>
      <c r="B1511" s="382"/>
      <c r="C1511" s="877" t="s">
        <v>13167</v>
      </c>
      <c r="D1511" s="880">
        <v>8</v>
      </c>
      <c r="E1511" s="472"/>
      <c r="F1511" s="196"/>
      <c r="G1511" s="613"/>
      <c r="H1511" s="461">
        <f>92.4-92.4</f>
        <v>0</v>
      </c>
      <c r="I1511" s="883">
        <v>1976</v>
      </c>
      <c r="J1511" s="461">
        <f>36736-36736</f>
        <v>0</v>
      </c>
      <c r="K1511" s="486"/>
    </row>
    <row r="1512" spans="1:11" x14ac:dyDescent="0.2">
      <c r="A1512" s="384" t="s">
        <v>1846</v>
      </c>
      <c r="B1512" s="382" t="s">
        <v>308</v>
      </c>
      <c r="C1512" s="878"/>
      <c r="D1512" s="881"/>
      <c r="E1512" s="472">
        <v>1</v>
      </c>
      <c r="F1512" s="196" t="s">
        <v>47</v>
      </c>
      <c r="G1512" s="613"/>
      <c r="H1512" s="461">
        <v>21.6</v>
      </c>
      <c r="I1512" s="884"/>
      <c r="J1512" s="461">
        <v>8579.2207792207791</v>
      </c>
      <c r="K1512" s="486">
        <v>223844.9</v>
      </c>
    </row>
    <row r="1513" spans="1:11" x14ac:dyDescent="0.2">
      <c r="A1513" s="384" t="s">
        <v>1847</v>
      </c>
      <c r="B1513" s="382" t="s">
        <v>308</v>
      </c>
      <c r="C1513" s="878"/>
      <c r="D1513" s="881"/>
      <c r="E1513" s="472">
        <v>2</v>
      </c>
      <c r="F1513" s="196"/>
      <c r="G1513" s="613"/>
      <c r="H1513" s="461">
        <v>22</v>
      </c>
      <c r="I1513" s="884"/>
      <c r="J1513" s="461">
        <v>8738.0952380952367</v>
      </c>
      <c r="K1513" s="486"/>
    </row>
    <row r="1514" spans="1:11" x14ac:dyDescent="0.2">
      <c r="A1514" s="384" t="s">
        <v>6157</v>
      </c>
      <c r="B1514" s="382" t="s">
        <v>308</v>
      </c>
      <c r="C1514" s="879"/>
      <c r="D1514" s="882"/>
      <c r="E1514" s="472">
        <v>3</v>
      </c>
      <c r="F1514" s="196" t="s">
        <v>6158</v>
      </c>
      <c r="G1514" s="613"/>
      <c r="H1514" s="461">
        <v>48.3</v>
      </c>
      <c r="I1514" s="885"/>
      <c r="J1514" s="461">
        <f>36700-8579.22-8738.1</f>
        <v>19382.68</v>
      </c>
      <c r="K1514" s="486"/>
    </row>
    <row r="1515" spans="1:11" ht="12.75" customHeight="1" x14ac:dyDescent="0.2">
      <c r="A1515" s="383" t="s">
        <v>1239</v>
      </c>
      <c r="B1515" s="382"/>
      <c r="C1515" s="877" t="s">
        <v>13168</v>
      </c>
      <c r="D1515" s="880">
        <v>3</v>
      </c>
      <c r="E1515" s="472"/>
      <c r="F1515" s="196" t="s">
        <v>48</v>
      </c>
      <c r="G1515" s="382" t="s">
        <v>4993</v>
      </c>
      <c r="H1515" s="492">
        <f>74.3-74.3</f>
        <v>0</v>
      </c>
      <c r="I1515" s="883">
        <v>1935</v>
      </c>
      <c r="J1515" s="461">
        <f>34600-34600</f>
        <v>0</v>
      </c>
      <c r="K1515" s="486">
        <v>318684.40000000002</v>
      </c>
    </row>
    <row r="1516" spans="1:11" ht="26.25" customHeight="1" x14ac:dyDescent="0.2">
      <c r="A1516" s="384" t="s">
        <v>4992</v>
      </c>
      <c r="B1516" s="382" t="s">
        <v>308</v>
      </c>
      <c r="C1516" s="879"/>
      <c r="D1516" s="882"/>
      <c r="E1516" s="472">
        <v>1</v>
      </c>
      <c r="F1516" s="196"/>
      <c r="G1516" s="382" t="s">
        <v>3072</v>
      </c>
      <c r="H1516" s="492">
        <v>40</v>
      </c>
      <c r="I1516" s="885"/>
      <c r="J1516" s="461">
        <f>34600/74.3*H1516</f>
        <v>18627.187079407806</v>
      </c>
      <c r="K1516" s="486">
        <v>414527.6</v>
      </c>
    </row>
    <row r="1517" spans="1:11" ht="38.25" x14ac:dyDescent="0.2">
      <c r="A1517" s="383" t="s">
        <v>1240</v>
      </c>
      <c r="B1517" s="382" t="s">
        <v>308</v>
      </c>
      <c r="C1517" s="617" t="s">
        <v>13169</v>
      </c>
      <c r="D1517" s="619">
        <v>10</v>
      </c>
      <c r="E1517" s="472">
        <v>1</v>
      </c>
      <c r="F1517" s="196" t="s">
        <v>49</v>
      </c>
      <c r="G1517" s="382" t="s">
        <v>4993</v>
      </c>
      <c r="H1517" s="492">
        <f>96-28.5</f>
        <v>67.5</v>
      </c>
      <c r="I1517" s="618">
        <v>1968</v>
      </c>
      <c r="J1517" s="461">
        <f>30200/96*67.5</f>
        <v>21234.375</v>
      </c>
      <c r="K1517" s="486">
        <v>709913.7</v>
      </c>
    </row>
    <row r="1518" spans="1:11" ht="38.25" x14ac:dyDescent="0.2">
      <c r="A1518" s="383" t="s">
        <v>1241</v>
      </c>
      <c r="B1518" s="382" t="s">
        <v>11567</v>
      </c>
      <c r="C1518" s="617" t="s">
        <v>13170</v>
      </c>
      <c r="D1518" s="619">
        <v>13</v>
      </c>
      <c r="E1518" s="472"/>
      <c r="F1518" s="196"/>
      <c r="G1518" s="382" t="s">
        <v>4993</v>
      </c>
      <c r="H1518" s="492">
        <v>24</v>
      </c>
      <c r="I1518" s="618">
        <v>1946</v>
      </c>
      <c r="J1518" s="461">
        <v>10500</v>
      </c>
      <c r="K1518" s="486"/>
    </row>
    <row r="1519" spans="1:11" ht="38.25" x14ac:dyDescent="0.2">
      <c r="A1519" s="383" t="s">
        <v>1242</v>
      </c>
      <c r="B1519" s="382" t="s">
        <v>11567</v>
      </c>
      <c r="C1519" s="617" t="s">
        <v>13171</v>
      </c>
      <c r="D1519" s="619">
        <v>16</v>
      </c>
      <c r="E1519" s="472"/>
      <c r="F1519" s="196" t="s">
        <v>50</v>
      </c>
      <c r="G1519" s="382"/>
      <c r="H1519" s="492">
        <v>34.4</v>
      </c>
      <c r="I1519" s="618">
        <v>1981</v>
      </c>
      <c r="J1519" s="461">
        <v>7900</v>
      </c>
      <c r="K1519" s="486">
        <v>274068.58</v>
      </c>
    </row>
    <row r="1520" spans="1:11" x14ac:dyDescent="0.2">
      <c r="A1520" s="383" t="s">
        <v>1243</v>
      </c>
      <c r="B1520" s="382"/>
      <c r="C1520" s="877" t="s">
        <v>13172</v>
      </c>
      <c r="D1520" s="880">
        <v>9</v>
      </c>
      <c r="E1520" s="472"/>
      <c r="F1520" s="196" t="s">
        <v>51</v>
      </c>
      <c r="G1520" s="382"/>
      <c r="H1520" s="492">
        <f>91.7-91.7</f>
        <v>0</v>
      </c>
      <c r="I1520" s="883">
        <v>1986</v>
      </c>
      <c r="J1520" s="461">
        <f>75400-75400</f>
        <v>0</v>
      </c>
      <c r="K1520" s="486">
        <v>730583.99</v>
      </c>
    </row>
    <row r="1521" spans="1:11" ht="36" customHeight="1" x14ac:dyDescent="0.2">
      <c r="A1521" s="384" t="s">
        <v>5017</v>
      </c>
      <c r="B1521" s="382" t="s">
        <v>308</v>
      </c>
      <c r="C1521" s="878"/>
      <c r="D1521" s="881"/>
      <c r="E1521" s="472">
        <v>1</v>
      </c>
      <c r="F1521" s="196" t="s">
        <v>5020</v>
      </c>
      <c r="G1521" s="382"/>
      <c r="H1521" s="492">
        <v>35.4</v>
      </c>
      <c r="I1521" s="884"/>
      <c r="J1521" s="461">
        <f>75400/91.7*H1521</f>
        <v>29107.524536532168</v>
      </c>
      <c r="K1521" s="486">
        <v>366856.93</v>
      </c>
    </row>
    <row r="1522" spans="1:11" ht="26.25" customHeight="1" x14ac:dyDescent="0.2">
      <c r="A1522" s="384" t="s">
        <v>5018</v>
      </c>
      <c r="B1522" s="382" t="s">
        <v>308</v>
      </c>
      <c r="C1522" s="879"/>
      <c r="D1522" s="882"/>
      <c r="E1522" s="472">
        <v>2</v>
      </c>
      <c r="F1522" s="196" t="s">
        <v>5019</v>
      </c>
      <c r="G1522" s="382"/>
      <c r="H1522" s="492">
        <v>56.3</v>
      </c>
      <c r="I1522" s="885"/>
      <c r="J1522" s="461">
        <f>75400/91.7*H1522</f>
        <v>46292.475463467825</v>
      </c>
      <c r="K1522" s="486">
        <v>583447.6</v>
      </c>
    </row>
    <row r="1523" spans="1:11" ht="38.25" x14ac:dyDescent="0.2">
      <c r="A1523" s="383" t="s">
        <v>1244</v>
      </c>
      <c r="B1523" s="382" t="s">
        <v>11567</v>
      </c>
      <c r="C1523" s="617" t="s">
        <v>13173</v>
      </c>
      <c r="D1523" s="619">
        <v>25</v>
      </c>
      <c r="E1523" s="472"/>
      <c r="F1523" s="196"/>
      <c r="G1523" s="382"/>
      <c r="H1523" s="492">
        <v>42</v>
      </c>
      <c r="I1523" s="618">
        <v>1988</v>
      </c>
      <c r="J1523" s="461">
        <v>36100</v>
      </c>
      <c r="K1523" s="486"/>
    </row>
    <row r="1524" spans="1:11" ht="38.25" x14ac:dyDescent="0.2">
      <c r="A1524" s="383" t="s">
        <v>1245</v>
      </c>
      <c r="B1524" s="382" t="s">
        <v>11567</v>
      </c>
      <c r="C1524" s="617" t="s">
        <v>13174</v>
      </c>
      <c r="D1524" s="619">
        <v>6</v>
      </c>
      <c r="E1524" s="472"/>
      <c r="F1524" s="196" t="s">
        <v>147</v>
      </c>
      <c r="G1524" s="382" t="s">
        <v>4993</v>
      </c>
      <c r="H1524" s="461">
        <v>27.8</v>
      </c>
      <c r="I1524" s="618">
        <v>1958</v>
      </c>
      <c r="J1524" s="461">
        <v>82300</v>
      </c>
      <c r="K1524" s="486">
        <v>221485.66</v>
      </c>
    </row>
    <row r="1525" spans="1:11" ht="38.25" x14ac:dyDescent="0.2">
      <c r="A1525" s="383" t="s">
        <v>1246</v>
      </c>
      <c r="B1525" s="382" t="s">
        <v>11567</v>
      </c>
      <c r="C1525" s="617" t="s">
        <v>13175</v>
      </c>
      <c r="D1525" s="619">
        <v>67</v>
      </c>
      <c r="E1525" s="472"/>
      <c r="F1525" s="196"/>
      <c r="G1525" s="382" t="s">
        <v>4993</v>
      </c>
      <c r="H1525" s="461">
        <v>27.4</v>
      </c>
      <c r="I1525" s="618">
        <v>1966</v>
      </c>
      <c r="J1525" s="461">
        <v>27100</v>
      </c>
      <c r="K1525" s="486"/>
    </row>
    <row r="1526" spans="1:11" ht="36.75" customHeight="1" x14ac:dyDescent="0.2">
      <c r="A1526" s="383" t="s">
        <v>1247</v>
      </c>
      <c r="B1526" s="382" t="s">
        <v>11567</v>
      </c>
      <c r="C1526" s="617" t="s">
        <v>13176</v>
      </c>
      <c r="D1526" s="619">
        <v>19</v>
      </c>
      <c r="E1526" s="472"/>
      <c r="F1526" s="196"/>
      <c r="G1526" s="382" t="s">
        <v>4993</v>
      </c>
      <c r="H1526" s="461">
        <v>16.5</v>
      </c>
      <c r="I1526" s="618">
        <v>1979</v>
      </c>
      <c r="J1526" s="461">
        <v>9500</v>
      </c>
      <c r="K1526" s="486"/>
    </row>
    <row r="1527" spans="1:11" ht="39.75" customHeight="1" x14ac:dyDescent="0.2">
      <c r="A1527" s="383" t="s">
        <v>1248</v>
      </c>
      <c r="B1527" s="382" t="s">
        <v>11567</v>
      </c>
      <c r="C1527" s="617" t="s">
        <v>13177</v>
      </c>
      <c r="D1527" s="619">
        <v>45</v>
      </c>
      <c r="E1527" s="472"/>
      <c r="F1527" s="196"/>
      <c r="G1527" s="382" t="s">
        <v>4993</v>
      </c>
      <c r="H1527" s="461">
        <v>34.700000000000003</v>
      </c>
      <c r="I1527" s="618">
        <v>1977</v>
      </c>
      <c r="J1527" s="461">
        <v>70800</v>
      </c>
      <c r="K1527" s="486"/>
    </row>
    <row r="1528" spans="1:11" ht="38.25" x14ac:dyDescent="0.2">
      <c r="A1528" s="466" t="s">
        <v>1249</v>
      </c>
      <c r="B1528" s="382"/>
      <c r="C1528" s="877" t="s">
        <v>13178</v>
      </c>
      <c r="D1528" s="880">
        <v>24</v>
      </c>
      <c r="E1528" s="472"/>
      <c r="F1528" s="542"/>
      <c r="G1528" s="382" t="s">
        <v>4993</v>
      </c>
      <c r="H1528" s="461">
        <f>149.7-149.7</f>
        <v>0</v>
      </c>
      <c r="I1528" s="883">
        <v>1971</v>
      </c>
      <c r="J1528" s="461">
        <f>423940-423940</f>
        <v>0</v>
      </c>
      <c r="K1528" s="486"/>
    </row>
    <row r="1529" spans="1:11" x14ac:dyDescent="0.2">
      <c r="A1529" s="384" t="s">
        <v>10513</v>
      </c>
      <c r="B1529" s="382" t="s">
        <v>308</v>
      </c>
      <c r="C1529" s="878"/>
      <c r="D1529" s="881"/>
      <c r="E1529" s="472">
        <v>1</v>
      </c>
      <c r="F1529" s="542"/>
      <c r="G1529" s="382" t="s">
        <v>143</v>
      </c>
      <c r="H1529" s="461">
        <v>38.200000000000003</v>
      </c>
      <c r="I1529" s="884"/>
      <c r="J1529" s="461">
        <f>423940/149.7*H1529</f>
        <v>108179.74615898465</v>
      </c>
      <c r="K1529" s="486"/>
    </row>
    <row r="1530" spans="1:11" ht="14.25" customHeight="1" x14ac:dyDescent="0.2">
      <c r="A1530" s="384" t="s">
        <v>10514</v>
      </c>
      <c r="B1530" s="382" t="s">
        <v>308</v>
      </c>
      <c r="C1530" s="878"/>
      <c r="D1530" s="881"/>
      <c r="E1530" s="472">
        <v>2</v>
      </c>
      <c r="F1530" s="542"/>
      <c r="G1530" s="382" t="s">
        <v>143</v>
      </c>
      <c r="H1530" s="461">
        <v>36.5</v>
      </c>
      <c r="I1530" s="884"/>
      <c r="J1530" s="461">
        <f>423940/149.7*H1530</f>
        <v>103365.46426185705</v>
      </c>
      <c r="K1530" s="486"/>
    </row>
    <row r="1531" spans="1:11" x14ac:dyDescent="0.2">
      <c r="A1531" s="384" t="s">
        <v>10515</v>
      </c>
      <c r="B1531" s="382" t="s">
        <v>308</v>
      </c>
      <c r="C1531" s="878"/>
      <c r="D1531" s="881"/>
      <c r="E1531" s="472">
        <v>3</v>
      </c>
      <c r="F1531" s="542"/>
      <c r="G1531" s="382" t="s">
        <v>143</v>
      </c>
      <c r="H1531" s="461">
        <v>36.6</v>
      </c>
      <c r="I1531" s="884"/>
      <c r="J1531" s="461">
        <f>423940/149.7*H1531</f>
        <v>103648.65731462926</v>
      </c>
      <c r="K1531" s="486"/>
    </row>
    <row r="1532" spans="1:11" ht="25.5" customHeight="1" x14ac:dyDescent="0.2">
      <c r="A1532" s="384" t="s">
        <v>10516</v>
      </c>
      <c r="B1532" s="382" t="s">
        <v>308</v>
      </c>
      <c r="C1532" s="879"/>
      <c r="D1532" s="882"/>
      <c r="E1532" s="472">
        <v>4</v>
      </c>
      <c r="F1532" s="542"/>
      <c r="G1532" s="382" t="s">
        <v>143</v>
      </c>
      <c r="H1532" s="461">
        <v>38.4</v>
      </c>
      <c r="I1532" s="885"/>
      <c r="J1532" s="461">
        <f>423940/149.7*H1532</f>
        <v>108746.13226452906</v>
      </c>
      <c r="K1532" s="486"/>
    </row>
    <row r="1533" spans="1:11" ht="14.25" customHeight="1" x14ac:dyDescent="0.2">
      <c r="A1533" s="466" t="s">
        <v>1250</v>
      </c>
      <c r="B1533" s="382"/>
      <c r="C1533" s="877" t="s">
        <v>13179</v>
      </c>
      <c r="D1533" s="880">
        <v>13</v>
      </c>
      <c r="E1533" s="472"/>
      <c r="F1533" s="542"/>
      <c r="G1533" s="382" t="s">
        <v>4993</v>
      </c>
      <c r="H1533" s="461">
        <f>140.9-140.9</f>
        <v>0</v>
      </c>
      <c r="I1533" s="883">
        <v>1971</v>
      </c>
      <c r="J1533" s="461">
        <f>132348-132348</f>
        <v>0</v>
      </c>
      <c r="K1533" s="486"/>
    </row>
    <row r="1534" spans="1:11" x14ac:dyDescent="0.2">
      <c r="A1534" s="384" t="s">
        <v>10517</v>
      </c>
      <c r="B1534" s="382" t="s">
        <v>308</v>
      </c>
      <c r="C1534" s="878"/>
      <c r="D1534" s="881"/>
      <c r="E1534" s="472">
        <v>1</v>
      </c>
      <c r="F1534" s="542"/>
      <c r="G1534" s="382" t="s">
        <v>143</v>
      </c>
      <c r="H1534" s="461">
        <v>33.799999999999997</v>
      </c>
      <c r="I1534" s="884"/>
      <c r="J1534" s="461">
        <f>132348/140*H1534</f>
        <v>31952.588571428569</v>
      </c>
      <c r="K1534" s="486"/>
    </row>
    <row r="1535" spans="1:11" x14ac:dyDescent="0.2">
      <c r="A1535" s="384" t="s">
        <v>10518</v>
      </c>
      <c r="B1535" s="382" t="s">
        <v>308</v>
      </c>
      <c r="C1535" s="878"/>
      <c r="D1535" s="881"/>
      <c r="E1535" s="472">
        <v>2</v>
      </c>
      <c r="F1535" s="542"/>
      <c r="G1535" s="382" t="s">
        <v>143</v>
      </c>
      <c r="H1535" s="461">
        <v>38.6</v>
      </c>
      <c r="I1535" s="884"/>
      <c r="J1535" s="461">
        <f>132348/140*H1535</f>
        <v>36490.234285714287</v>
      </c>
      <c r="K1535" s="486"/>
    </row>
    <row r="1536" spans="1:11" ht="12.75" customHeight="1" x14ac:dyDescent="0.2">
      <c r="A1536" s="384" t="s">
        <v>10519</v>
      </c>
      <c r="B1536" s="382" t="s">
        <v>308</v>
      </c>
      <c r="C1536" s="878"/>
      <c r="D1536" s="881"/>
      <c r="E1536" s="472">
        <v>3</v>
      </c>
      <c r="F1536" s="542"/>
      <c r="G1536" s="382" t="s">
        <v>143</v>
      </c>
      <c r="H1536" s="461">
        <v>37.799999999999997</v>
      </c>
      <c r="I1536" s="884"/>
      <c r="J1536" s="461">
        <f>132348/140*H1536</f>
        <v>35733.96</v>
      </c>
      <c r="K1536" s="486"/>
    </row>
    <row r="1537" spans="1:11" ht="15" customHeight="1" x14ac:dyDescent="0.2">
      <c r="A1537" s="384" t="s">
        <v>10520</v>
      </c>
      <c r="B1537" s="382" t="s">
        <v>308</v>
      </c>
      <c r="C1537" s="879"/>
      <c r="D1537" s="882"/>
      <c r="E1537" s="472">
        <v>4</v>
      </c>
      <c r="F1537" s="542"/>
      <c r="G1537" s="382" t="s">
        <v>143</v>
      </c>
      <c r="H1537" s="461">
        <v>30.7</v>
      </c>
      <c r="I1537" s="885"/>
      <c r="J1537" s="461">
        <f>132348/140*H1537</f>
        <v>29022.025714285715</v>
      </c>
      <c r="K1537" s="486"/>
    </row>
    <row r="1538" spans="1:11" ht="25.5" x14ac:dyDescent="0.2">
      <c r="A1538" s="383" t="s">
        <v>1251</v>
      </c>
      <c r="B1538" s="382"/>
      <c r="C1538" s="877" t="s">
        <v>13180</v>
      </c>
      <c r="D1538" s="880">
        <v>3</v>
      </c>
      <c r="E1538" s="472"/>
      <c r="F1538" s="196" t="s">
        <v>149</v>
      </c>
      <c r="G1538" s="382" t="s">
        <v>151</v>
      </c>
      <c r="H1538" s="461">
        <f>391.5-391.5</f>
        <v>0</v>
      </c>
      <c r="I1538" s="883">
        <v>1990</v>
      </c>
      <c r="J1538" s="461">
        <f>58400-58400</f>
        <v>0</v>
      </c>
      <c r="K1538" s="486">
        <v>3119123.57</v>
      </c>
    </row>
    <row r="1539" spans="1:11" x14ac:dyDescent="0.2">
      <c r="A1539" s="384" t="s">
        <v>5021</v>
      </c>
      <c r="B1539" s="382" t="s">
        <v>308</v>
      </c>
      <c r="C1539" s="878"/>
      <c r="D1539" s="881"/>
      <c r="E1539" s="472">
        <v>1</v>
      </c>
      <c r="F1539" s="196" t="s">
        <v>5033</v>
      </c>
      <c r="G1539" s="382" t="s">
        <v>143</v>
      </c>
      <c r="H1539" s="461">
        <v>34.299999999999997</v>
      </c>
      <c r="I1539" s="884"/>
      <c r="J1539" s="461">
        <f>58400/391.5*H1539</f>
        <v>5116.5261813537663</v>
      </c>
      <c r="K1539" s="486">
        <v>355457.42</v>
      </c>
    </row>
    <row r="1540" spans="1:11" x14ac:dyDescent="0.2">
      <c r="A1540" s="384" t="s">
        <v>5022</v>
      </c>
      <c r="B1540" s="382" t="s">
        <v>308</v>
      </c>
      <c r="C1540" s="878"/>
      <c r="D1540" s="881"/>
      <c r="E1540" s="472">
        <v>2</v>
      </c>
      <c r="F1540" s="196" t="s">
        <v>5034</v>
      </c>
      <c r="G1540" s="382" t="s">
        <v>143</v>
      </c>
      <c r="H1540" s="461">
        <v>49.1</v>
      </c>
      <c r="I1540" s="884"/>
      <c r="J1540" s="461">
        <f t="shared" ref="J1540:J1546" si="9">58400/391.5*H1540</f>
        <v>7324.2401021711366</v>
      </c>
      <c r="K1540" s="486">
        <v>508832.63</v>
      </c>
    </row>
    <row r="1541" spans="1:11" ht="12.75" customHeight="1" x14ac:dyDescent="0.2">
      <c r="A1541" s="384" t="s">
        <v>5023</v>
      </c>
      <c r="B1541" s="382" t="s">
        <v>308</v>
      </c>
      <c r="C1541" s="878"/>
      <c r="D1541" s="881"/>
      <c r="E1541" s="472">
        <v>3</v>
      </c>
      <c r="F1541" s="196" t="s">
        <v>5035</v>
      </c>
      <c r="G1541" s="382" t="s">
        <v>143</v>
      </c>
      <c r="H1541" s="461">
        <v>50.7</v>
      </c>
      <c r="I1541" s="884"/>
      <c r="J1541" s="461">
        <f t="shared" si="9"/>
        <v>7562.9118773946357</v>
      </c>
      <c r="K1541" s="486">
        <v>525413.73</v>
      </c>
    </row>
    <row r="1542" spans="1:11" x14ac:dyDescent="0.2">
      <c r="A1542" s="384" t="s">
        <v>5024</v>
      </c>
      <c r="B1542" s="382" t="s">
        <v>308</v>
      </c>
      <c r="C1542" s="878"/>
      <c r="D1542" s="881"/>
      <c r="E1542" s="472">
        <v>4</v>
      </c>
      <c r="F1542" s="196" t="s">
        <v>5036</v>
      </c>
      <c r="G1542" s="382" t="s">
        <v>143</v>
      </c>
      <c r="H1542" s="461">
        <v>56.8</v>
      </c>
      <c r="I1542" s="884"/>
      <c r="J1542" s="461">
        <f t="shared" si="9"/>
        <v>8472.8480204342268</v>
      </c>
      <c r="K1542" s="486">
        <v>588629.18999999994</v>
      </c>
    </row>
    <row r="1543" spans="1:11" x14ac:dyDescent="0.2">
      <c r="A1543" s="384" t="s">
        <v>5025</v>
      </c>
      <c r="B1543" s="382" t="s">
        <v>308</v>
      </c>
      <c r="C1543" s="878"/>
      <c r="D1543" s="881"/>
      <c r="E1543" s="472">
        <v>5</v>
      </c>
      <c r="F1543" s="196" t="s">
        <v>5029</v>
      </c>
      <c r="G1543" s="382" t="s">
        <v>143</v>
      </c>
      <c r="H1543" s="461">
        <v>44.9</v>
      </c>
      <c r="I1543" s="884"/>
      <c r="J1543" s="461">
        <f t="shared" si="9"/>
        <v>6697.7266922094504</v>
      </c>
      <c r="K1543" s="486">
        <v>465307.23</v>
      </c>
    </row>
    <row r="1544" spans="1:11" x14ac:dyDescent="0.2">
      <c r="A1544" s="384" t="s">
        <v>5026</v>
      </c>
      <c r="B1544" s="382" t="s">
        <v>308</v>
      </c>
      <c r="C1544" s="878"/>
      <c r="D1544" s="881"/>
      <c r="E1544" s="472">
        <v>6</v>
      </c>
      <c r="F1544" s="196" t="s">
        <v>5030</v>
      </c>
      <c r="G1544" s="382" t="s">
        <v>143</v>
      </c>
      <c r="H1544" s="461">
        <v>51.7</v>
      </c>
      <c r="I1544" s="884"/>
      <c r="J1544" s="461">
        <f t="shared" si="9"/>
        <v>7712.0817369093229</v>
      </c>
      <c r="K1544" s="486">
        <v>535776.92000000004</v>
      </c>
    </row>
    <row r="1545" spans="1:11" x14ac:dyDescent="0.2">
      <c r="A1545" s="384" t="s">
        <v>5027</v>
      </c>
      <c r="B1545" s="382" t="s">
        <v>308</v>
      </c>
      <c r="C1545" s="878"/>
      <c r="D1545" s="881"/>
      <c r="E1545" s="472">
        <v>7</v>
      </c>
      <c r="F1545" s="196" t="s">
        <v>5031</v>
      </c>
      <c r="G1545" s="382" t="s">
        <v>143</v>
      </c>
      <c r="H1545" s="461">
        <v>54.3</v>
      </c>
      <c r="I1545" s="884"/>
      <c r="J1545" s="461">
        <f t="shared" si="9"/>
        <v>8099.9233716475082</v>
      </c>
      <c r="K1545" s="486">
        <v>562721.22</v>
      </c>
    </row>
    <row r="1546" spans="1:11" ht="12.75" customHeight="1" x14ac:dyDescent="0.2">
      <c r="A1546" s="384" t="s">
        <v>5028</v>
      </c>
      <c r="B1546" s="382" t="s">
        <v>308</v>
      </c>
      <c r="C1546" s="879"/>
      <c r="D1546" s="882"/>
      <c r="E1546" s="472">
        <v>8</v>
      </c>
      <c r="F1546" s="196" t="s">
        <v>5032</v>
      </c>
      <c r="G1546" s="382" t="s">
        <v>143</v>
      </c>
      <c r="H1546" s="461">
        <v>49.7</v>
      </c>
      <c r="I1546" s="885"/>
      <c r="J1546" s="461">
        <f t="shared" si="9"/>
        <v>7413.7420178799484</v>
      </c>
      <c r="K1546" s="486">
        <v>515050.54</v>
      </c>
    </row>
    <row r="1547" spans="1:11" x14ac:dyDescent="0.2">
      <c r="A1547" s="466" t="s">
        <v>1252</v>
      </c>
      <c r="B1547" s="382"/>
      <c r="C1547" s="877" t="s">
        <v>13181</v>
      </c>
      <c r="D1547" s="880">
        <v>6</v>
      </c>
      <c r="E1547" s="472"/>
      <c r="F1547" s="40"/>
      <c r="G1547" s="382" t="s">
        <v>2752</v>
      </c>
      <c r="H1547" s="461">
        <f>125.3-125.3</f>
        <v>0</v>
      </c>
      <c r="I1547" s="883">
        <v>1961</v>
      </c>
      <c r="J1547" s="461">
        <f>177120-177120</f>
        <v>0</v>
      </c>
      <c r="K1547" s="486"/>
    </row>
    <row r="1548" spans="1:11" x14ac:dyDescent="0.2">
      <c r="A1548" s="384" t="s">
        <v>10521</v>
      </c>
      <c r="B1548" s="382" t="s">
        <v>308</v>
      </c>
      <c r="C1548" s="878"/>
      <c r="D1548" s="881"/>
      <c r="E1548" s="472">
        <v>1</v>
      </c>
      <c r="F1548" s="40" t="s">
        <v>11964</v>
      </c>
      <c r="G1548" s="382" t="s">
        <v>143</v>
      </c>
      <c r="H1548" s="461">
        <v>49.2</v>
      </c>
      <c r="I1548" s="884"/>
      <c r="J1548" s="461">
        <f>177120/125.3*H1548</f>
        <v>69547.517956903437</v>
      </c>
      <c r="K1548" s="486">
        <v>441383.04</v>
      </c>
    </row>
    <row r="1549" spans="1:11" ht="12.75" customHeight="1" x14ac:dyDescent="0.2">
      <c r="A1549" s="384" t="s">
        <v>10522</v>
      </c>
      <c r="B1549" s="382" t="s">
        <v>308</v>
      </c>
      <c r="C1549" s="878"/>
      <c r="D1549" s="881"/>
      <c r="E1549" s="472">
        <v>2</v>
      </c>
      <c r="F1549" s="40"/>
      <c r="G1549" s="382" t="s">
        <v>143</v>
      </c>
      <c r="H1549" s="461">
        <v>45.1</v>
      </c>
      <c r="I1549" s="884"/>
      <c r="J1549" s="461">
        <f>177120/125.3*H1549</f>
        <v>63751.891460494815</v>
      </c>
      <c r="K1549" s="486"/>
    </row>
    <row r="1550" spans="1:11" x14ac:dyDescent="0.2">
      <c r="A1550" s="384" t="s">
        <v>10523</v>
      </c>
      <c r="B1550" s="382" t="s">
        <v>308</v>
      </c>
      <c r="C1550" s="879"/>
      <c r="D1550" s="882"/>
      <c r="E1550" s="472">
        <v>3</v>
      </c>
      <c r="F1550" s="40"/>
      <c r="G1550" s="382" t="s">
        <v>143</v>
      </c>
      <c r="H1550" s="461">
        <v>31</v>
      </c>
      <c r="I1550" s="885"/>
      <c r="J1550" s="461">
        <f>177120/125.3*H1550</f>
        <v>43820.590582601755</v>
      </c>
      <c r="K1550" s="486"/>
    </row>
    <row r="1551" spans="1:11" ht="51" x14ac:dyDescent="0.2">
      <c r="A1551" s="383" t="s">
        <v>1253</v>
      </c>
      <c r="B1551" s="382" t="s">
        <v>323</v>
      </c>
      <c r="C1551" s="617" t="s">
        <v>13182</v>
      </c>
      <c r="D1551" s="619">
        <v>4</v>
      </c>
      <c r="E1551" s="472"/>
      <c r="F1551" s="196"/>
      <c r="G1551" s="382" t="s">
        <v>196</v>
      </c>
      <c r="H1551" s="461">
        <v>246</v>
      </c>
      <c r="I1551" s="618">
        <v>1990</v>
      </c>
      <c r="J1551" s="461">
        <v>277800</v>
      </c>
      <c r="K1551" s="486"/>
    </row>
    <row r="1552" spans="1:11" ht="12.75" customHeight="1" x14ac:dyDescent="0.2">
      <c r="A1552" s="383" t="s">
        <v>1254</v>
      </c>
      <c r="B1552" s="382"/>
      <c r="C1552" s="877" t="s">
        <v>13183</v>
      </c>
      <c r="D1552" s="880">
        <v>2</v>
      </c>
      <c r="E1552" s="472"/>
      <c r="F1552" s="196" t="s">
        <v>150</v>
      </c>
      <c r="G1552" s="382" t="s">
        <v>196</v>
      </c>
      <c r="H1552" s="461">
        <f>107.8-107.8</f>
        <v>0</v>
      </c>
      <c r="I1552" s="883">
        <v>1990</v>
      </c>
      <c r="J1552" s="461">
        <f>176136-176136</f>
        <v>0</v>
      </c>
      <c r="K1552" s="486">
        <v>858854.46</v>
      </c>
    </row>
    <row r="1553" spans="1:11" x14ac:dyDescent="0.2">
      <c r="A1553" s="384" t="s">
        <v>6159</v>
      </c>
      <c r="B1553" s="382" t="s">
        <v>308</v>
      </c>
      <c r="C1553" s="878"/>
      <c r="D1553" s="881"/>
      <c r="E1553" s="472">
        <v>1</v>
      </c>
      <c r="F1553" s="196" t="s">
        <v>6161</v>
      </c>
      <c r="G1553" s="382" t="s">
        <v>143</v>
      </c>
      <c r="H1553" s="461">
        <v>49.5</v>
      </c>
      <c r="I1553" s="884"/>
      <c r="J1553" s="461">
        <f>176100/107.8*H1553</f>
        <v>80862.244897959186</v>
      </c>
      <c r="K1553" s="486">
        <v>512977.91</v>
      </c>
    </row>
    <row r="1554" spans="1:11" ht="12.75" customHeight="1" x14ac:dyDescent="0.2">
      <c r="A1554" s="384" t="s">
        <v>6160</v>
      </c>
      <c r="B1554" s="382" t="s">
        <v>308</v>
      </c>
      <c r="C1554" s="879"/>
      <c r="D1554" s="882"/>
      <c r="E1554" s="472">
        <v>2</v>
      </c>
      <c r="F1554" s="196" t="s">
        <v>6162</v>
      </c>
      <c r="G1554" s="382" t="s">
        <v>143</v>
      </c>
      <c r="H1554" s="461">
        <v>58.3</v>
      </c>
      <c r="I1554" s="885"/>
      <c r="J1554" s="461">
        <f>176100/107.8*H1554</f>
        <v>95237.755102040814</v>
      </c>
      <c r="K1554" s="486">
        <v>604173.98</v>
      </c>
    </row>
    <row r="1555" spans="1:11" x14ac:dyDescent="0.2">
      <c r="A1555" s="383" t="s">
        <v>1255</v>
      </c>
      <c r="B1555" s="382"/>
      <c r="C1555" s="877" t="s">
        <v>13184</v>
      </c>
      <c r="D1555" s="880">
        <v>15</v>
      </c>
      <c r="E1555" s="472"/>
      <c r="F1555" s="196"/>
      <c r="G1555" s="382" t="s">
        <v>2752</v>
      </c>
      <c r="H1555" s="461">
        <f>168.9-168.9</f>
        <v>0</v>
      </c>
      <c r="I1555" s="883">
        <v>1985</v>
      </c>
      <c r="J1555" s="461">
        <f>130872-130872</f>
        <v>0</v>
      </c>
      <c r="K1555" s="486"/>
    </row>
    <row r="1556" spans="1:11" x14ac:dyDescent="0.2">
      <c r="A1556" s="384" t="s">
        <v>10524</v>
      </c>
      <c r="B1556" s="382" t="s">
        <v>308</v>
      </c>
      <c r="C1556" s="878"/>
      <c r="D1556" s="881"/>
      <c r="E1556" s="472">
        <v>1</v>
      </c>
      <c r="F1556" s="196"/>
      <c r="G1556" s="382" t="s">
        <v>143</v>
      </c>
      <c r="H1556" s="461">
        <v>40.1</v>
      </c>
      <c r="I1556" s="884"/>
      <c r="J1556" s="461">
        <f>130872/168.9*H1556</f>
        <v>31071.445825932504</v>
      </c>
      <c r="K1556" s="486"/>
    </row>
    <row r="1557" spans="1:11" ht="12.75" customHeight="1" x14ac:dyDescent="0.2">
      <c r="A1557" s="384" t="s">
        <v>10525</v>
      </c>
      <c r="B1557" s="382" t="s">
        <v>308</v>
      </c>
      <c r="C1557" s="878"/>
      <c r="D1557" s="881"/>
      <c r="E1557" s="472">
        <v>2</v>
      </c>
      <c r="F1557" s="196"/>
      <c r="G1557" s="382" t="s">
        <v>143</v>
      </c>
      <c r="H1557" s="461">
        <v>39.6</v>
      </c>
      <c r="I1557" s="884"/>
      <c r="J1557" s="461">
        <f>130872/168.9*H1557</f>
        <v>30684.02131438721</v>
      </c>
      <c r="K1557" s="486"/>
    </row>
    <row r="1558" spans="1:11" x14ac:dyDescent="0.2">
      <c r="A1558" s="384" t="s">
        <v>10526</v>
      </c>
      <c r="B1558" s="382" t="s">
        <v>308</v>
      </c>
      <c r="C1558" s="878"/>
      <c r="D1558" s="881"/>
      <c r="E1558" s="472">
        <v>3</v>
      </c>
      <c r="F1558" s="196"/>
      <c r="G1558" s="382" t="s">
        <v>143</v>
      </c>
      <c r="H1558" s="461">
        <v>39.6</v>
      </c>
      <c r="I1558" s="884"/>
      <c r="J1558" s="461">
        <f>130872/168.9*H1558</f>
        <v>30684.02131438721</v>
      </c>
      <c r="K1558" s="486"/>
    </row>
    <row r="1559" spans="1:11" x14ac:dyDescent="0.2">
      <c r="A1559" s="384" t="s">
        <v>10527</v>
      </c>
      <c r="B1559" s="382" t="s">
        <v>308</v>
      </c>
      <c r="C1559" s="879"/>
      <c r="D1559" s="882"/>
      <c r="E1559" s="472">
        <v>4</v>
      </c>
      <c r="F1559" s="196"/>
      <c r="G1559" s="382" t="s">
        <v>143</v>
      </c>
      <c r="H1559" s="461">
        <v>49.6</v>
      </c>
      <c r="I1559" s="885"/>
      <c r="J1559" s="461">
        <f>130872/168.9*H1559</f>
        <v>38432.51154529307</v>
      </c>
      <c r="K1559" s="486"/>
    </row>
    <row r="1560" spans="1:11" ht="12.75" customHeight="1" x14ac:dyDescent="0.2">
      <c r="A1560" s="466" t="s">
        <v>1256</v>
      </c>
      <c r="B1560" s="382"/>
      <c r="C1560" s="877" t="s">
        <v>13185</v>
      </c>
      <c r="D1560" s="880">
        <v>9</v>
      </c>
      <c r="E1560" s="472"/>
      <c r="F1560" s="40"/>
      <c r="G1560" s="382" t="s">
        <v>2752</v>
      </c>
      <c r="H1560" s="461">
        <f>136-136</f>
        <v>0</v>
      </c>
      <c r="I1560" s="883">
        <v>1971</v>
      </c>
      <c r="J1560" s="461">
        <f>184336-184336</f>
        <v>0</v>
      </c>
      <c r="K1560" s="486"/>
    </row>
    <row r="1561" spans="1:11" ht="12.75" customHeight="1" x14ac:dyDescent="0.2">
      <c r="A1561" s="384" t="s">
        <v>10528</v>
      </c>
      <c r="B1561" s="382" t="s">
        <v>308</v>
      </c>
      <c r="C1561" s="878"/>
      <c r="D1561" s="881"/>
      <c r="E1561" s="472">
        <v>1</v>
      </c>
      <c r="F1561" s="40" t="s">
        <v>11965</v>
      </c>
      <c r="G1561" s="382" t="s">
        <v>143</v>
      </c>
      <c r="H1561" s="461">
        <v>34</v>
      </c>
      <c r="I1561" s="884"/>
      <c r="J1561" s="461">
        <f>184336/136*H1561</f>
        <v>46084</v>
      </c>
      <c r="K1561" s="486">
        <v>305020.79999999999</v>
      </c>
    </row>
    <row r="1562" spans="1:11" x14ac:dyDescent="0.2">
      <c r="A1562" s="384" t="s">
        <v>10529</v>
      </c>
      <c r="B1562" s="382" t="s">
        <v>308</v>
      </c>
      <c r="C1562" s="878"/>
      <c r="D1562" s="881"/>
      <c r="E1562" s="472">
        <v>2</v>
      </c>
      <c r="F1562" s="40"/>
      <c r="G1562" s="382" t="s">
        <v>143</v>
      </c>
      <c r="H1562" s="461">
        <v>34</v>
      </c>
      <c r="I1562" s="884"/>
      <c r="J1562" s="461">
        <f>184336/136*H1562</f>
        <v>46084</v>
      </c>
      <c r="K1562" s="486"/>
    </row>
    <row r="1563" spans="1:11" ht="12.75" customHeight="1" x14ac:dyDescent="0.2">
      <c r="A1563" s="384" t="s">
        <v>10530</v>
      </c>
      <c r="B1563" s="382" t="s">
        <v>308</v>
      </c>
      <c r="C1563" s="878"/>
      <c r="D1563" s="881"/>
      <c r="E1563" s="472">
        <v>3</v>
      </c>
      <c r="F1563" s="40"/>
      <c r="G1563" s="382" t="s">
        <v>143</v>
      </c>
      <c r="H1563" s="461">
        <v>34</v>
      </c>
      <c r="I1563" s="884"/>
      <c r="J1563" s="461">
        <f>184336/136*H1563</f>
        <v>46084</v>
      </c>
      <c r="K1563" s="486"/>
    </row>
    <row r="1564" spans="1:11" ht="12.75" customHeight="1" x14ac:dyDescent="0.2">
      <c r="A1564" s="384" t="s">
        <v>10531</v>
      </c>
      <c r="B1564" s="382" t="s">
        <v>308</v>
      </c>
      <c r="C1564" s="879"/>
      <c r="D1564" s="882"/>
      <c r="E1564" s="472">
        <v>4</v>
      </c>
      <c r="F1564" s="40"/>
      <c r="G1564" s="382" t="s">
        <v>143</v>
      </c>
      <c r="H1564" s="461">
        <v>34</v>
      </c>
      <c r="I1564" s="885"/>
      <c r="J1564" s="461">
        <f>184336/136*H1564</f>
        <v>46084</v>
      </c>
      <c r="K1564" s="486"/>
    </row>
    <row r="1565" spans="1:11" ht="25.5" x14ac:dyDescent="0.2">
      <c r="A1565" s="383" t="s">
        <v>1257</v>
      </c>
      <c r="B1565" s="382" t="s">
        <v>323</v>
      </c>
      <c r="C1565" s="617" t="s">
        <v>13186</v>
      </c>
      <c r="D1565" s="619" t="s">
        <v>415</v>
      </c>
      <c r="E1565" s="472"/>
      <c r="F1565" s="196" t="s">
        <v>195</v>
      </c>
      <c r="G1565" s="382"/>
      <c r="H1565" s="461">
        <v>49.5</v>
      </c>
      <c r="I1565" s="618">
        <v>1969</v>
      </c>
      <c r="J1565" s="461">
        <v>88700</v>
      </c>
      <c r="K1565" s="486">
        <v>394371.95</v>
      </c>
    </row>
    <row r="1566" spans="1:11" x14ac:dyDescent="0.2">
      <c r="A1566" s="383" t="s">
        <v>1258</v>
      </c>
      <c r="B1566" s="481"/>
      <c r="C1566" s="893" t="s">
        <v>13187</v>
      </c>
      <c r="D1566" s="898">
        <v>137</v>
      </c>
      <c r="E1566" s="472"/>
      <c r="F1566" s="196"/>
      <c r="G1566" s="382" t="s">
        <v>405</v>
      </c>
      <c r="H1566" s="461">
        <f>975-975</f>
        <v>0</v>
      </c>
      <c r="I1566" s="891">
        <v>1999</v>
      </c>
      <c r="J1566" s="461">
        <f>8208200-8208200</f>
        <v>0</v>
      </c>
      <c r="K1566" s="486"/>
    </row>
    <row r="1567" spans="1:11" x14ac:dyDescent="0.2">
      <c r="A1567" s="384" t="s">
        <v>2708</v>
      </c>
      <c r="B1567" s="481" t="s">
        <v>308</v>
      </c>
      <c r="C1567" s="893"/>
      <c r="D1567" s="898"/>
      <c r="E1567" s="472">
        <v>10</v>
      </c>
      <c r="F1567" s="196"/>
      <c r="G1567" s="382"/>
      <c r="H1567" s="461">
        <v>57</v>
      </c>
      <c r="I1567" s="891"/>
      <c r="J1567" s="461">
        <v>479864</v>
      </c>
      <c r="K1567" s="486"/>
    </row>
    <row r="1568" spans="1:11" x14ac:dyDescent="0.2">
      <c r="A1568" s="383" t="s">
        <v>1848</v>
      </c>
      <c r="B1568" s="481"/>
      <c r="C1568" s="877" t="s">
        <v>13188</v>
      </c>
      <c r="D1568" s="619">
        <v>5</v>
      </c>
      <c r="E1568" s="472"/>
      <c r="F1568" s="196" t="s">
        <v>2717</v>
      </c>
      <c r="G1568" s="382"/>
      <c r="H1568" s="461">
        <f>179.4-179.4</f>
        <v>0</v>
      </c>
      <c r="I1568" s="618">
        <v>1985</v>
      </c>
      <c r="J1568" s="461">
        <f>117424-117424</f>
        <v>0</v>
      </c>
      <c r="K1568" s="486">
        <v>1429299.53</v>
      </c>
    </row>
    <row r="1569" spans="1:11" ht="15.75" customHeight="1" x14ac:dyDescent="0.2">
      <c r="A1569" s="384" t="s">
        <v>2722</v>
      </c>
      <c r="B1569" s="481" t="s">
        <v>308</v>
      </c>
      <c r="C1569" s="878"/>
      <c r="D1569" s="609"/>
      <c r="E1569" s="472">
        <v>1</v>
      </c>
      <c r="F1569" s="196" t="s">
        <v>2718</v>
      </c>
      <c r="G1569" s="382"/>
      <c r="H1569" s="461">
        <v>42.9</v>
      </c>
      <c r="I1569" s="618"/>
      <c r="J1569" s="461">
        <f>117400/179.4*H1569</f>
        <v>28073.91304347826</v>
      </c>
      <c r="K1569" s="486">
        <v>444580.85</v>
      </c>
    </row>
    <row r="1570" spans="1:11" x14ac:dyDescent="0.2">
      <c r="A1570" s="384" t="s">
        <v>2723</v>
      </c>
      <c r="B1570" s="481" t="s">
        <v>308</v>
      </c>
      <c r="C1570" s="878"/>
      <c r="D1570" s="609"/>
      <c r="E1570" s="472">
        <v>2</v>
      </c>
      <c r="F1570" s="196" t="s">
        <v>2719</v>
      </c>
      <c r="G1570" s="382"/>
      <c r="H1570" s="461">
        <v>44.1</v>
      </c>
      <c r="I1570" s="618"/>
      <c r="J1570" s="461">
        <f>117400/179.4*H1570</f>
        <v>28859.197324414716</v>
      </c>
      <c r="K1570" s="486">
        <v>457016.68</v>
      </c>
    </row>
    <row r="1571" spans="1:11" ht="12.75" customHeight="1" x14ac:dyDescent="0.2">
      <c r="A1571" s="384" t="s">
        <v>2724</v>
      </c>
      <c r="B1571" s="481" t="s">
        <v>308</v>
      </c>
      <c r="C1571" s="878"/>
      <c r="D1571" s="609"/>
      <c r="E1571" s="472">
        <v>3</v>
      </c>
      <c r="F1571" s="196" t="s">
        <v>2720</v>
      </c>
      <c r="G1571" s="382"/>
      <c r="H1571" s="461">
        <v>44.2</v>
      </c>
      <c r="I1571" s="618"/>
      <c r="J1571" s="461">
        <f>117400/179.4*H1571</f>
        <v>28924.637681159424</v>
      </c>
      <c r="K1571" s="486">
        <v>458053</v>
      </c>
    </row>
    <row r="1572" spans="1:11" x14ac:dyDescent="0.2">
      <c r="A1572" s="384" t="s">
        <v>2725</v>
      </c>
      <c r="B1572" s="481" t="s">
        <v>308</v>
      </c>
      <c r="C1572" s="879"/>
      <c r="D1572" s="609"/>
      <c r="E1572" s="472">
        <v>4</v>
      </c>
      <c r="F1572" s="196" t="s">
        <v>2721</v>
      </c>
      <c r="G1572" s="382"/>
      <c r="H1572" s="461">
        <v>41.5</v>
      </c>
      <c r="I1572" s="618"/>
      <c r="J1572" s="461">
        <f>J1571/H1571*H1572</f>
        <v>27157.748049052396</v>
      </c>
      <c r="K1572" s="486">
        <v>430072.39</v>
      </c>
    </row>
    <row r="1573" spans="1:11" ht="45" x14ac:dyDescent="0.2">
      <c r="A1573" s="452" t="s">
        <v>1259</v>
      </c>
      <c r="B1573" s="382"/>
      <c r="C1573" s="893" t="s">
        <v>13189</v>
      </c>
      <c r="D1573" s="898">
        <v>11</v>
      </c>
      <c r="E1573" s="472"/>
      <c r="F1573" s="617" t="s">
        <v>2712</v>
      </c>
      <c r="G1573" s="389" t="s">
        <v>2714</v>
      </c>
      <c r="H1573" s="529">
        <f>4102.2-4102.2</f>
        <v>0</v>
      </c>
      <c r="I1573" s="883" t="s">
        <v>2713</v>
      </c>
      <c r="J1573" s="529">
        <f>2741400+1813300+2663200+2663200+6803400-(2741400+1813300+2663200+2663200+6803400)</f>
        <v>0</v>
      </c>
      <c r="K1573" s="486">
        <v>75814879.090000004</v>
      </c>
    </row>
    <row r="1574" spans="1:11" x14ac:dyDescent="0.2">
      <c r="A1574" s="384" t="s">
        <v>2709</v>
      </c>
      <c r="B1574" s="382" t="s">
        <v>308</v>
      </c>
      <c r="C1574" s="893"/>
      <c r="D1574" s="898"/>
      <c r="E1574" s="472">
        <v>14</v>
      </c>
      <c r="F1574" s="196"/>
      <c r="G1574" s="382"/>
      <c r="H1574" s="461">
        <v>62.84</v>
      </c>
      <c r="I1574" s="884"/>
      <c r="J1574" s="461">
        <v>507043</v>
      </c>
      <c r="K1574" s="486"/>
    </row>
    <row r="1575" spans="1:11" ht="12.75" customHeight="1" x14ac:dyDescent="0.2">
      <c r="A1575" s="384" t="s">
        <v>2710</v>
      </c>
      <c r="B1575" s="382" t="s">
        <v>308</v>
      </c>
      <c r="C1575" s="893"/>
      <c r="D1575" s="898"/>
      <c r="E1575" s="472">
        <v>33</v>
      </c>
      <c r="F1575" s="196"/>
      <c r="G1575" s="382"/>
      <c r="H1575" s="461">
        <v>59.36</v>
      </c>
      <c r="I1575" s="884"/>
      <c r="J1575" s="461">
        <v>478963.59</v>
      </c>
      <c r="K1575" s="486"/>
    </row>
    <row r="1576" spans="1:11" x14ac:dyDescent="0.2">
      <c r="A1576" s="384" t="s">
        <v>2711</v>
      </c>
      <c r="B1576" s="382" t="s">
        <v>308</v>
      </c>
      <c r="C1576" s="893"/>
      <c r="D1576" s="898"/>
      <c r="E1576" s="472">
        <v>35</v>
      </c>
      <c r="F1576" s="196"/>
      <c r="G1576" s="382"/>
      <c r="H1576" s="461">
        <v>59.36</v>
      </c>
      <c r="I1576" s="885"/>
      <c r="J1576" s="461">
        <v>478963.59</v>
      </c>
      <c r="K1576" s="486"/>
    </row>
    <row r="1577" spans="1:11" ht="42" customHeight="1" x14ac:dyDescent="0.2">
      <c r="A1577" s="386" t="s">
        <v>14157</v>
      </c>
      <c r="B1577" s="382" t="s">
        <v>308</v>
      </c>
      <c r="C1577" s="749" t="s">
        <v>14158</v>
      </c>
      <c r="D1577" s="748">
        <v>1</v>
      </c>
      <c r="E1577" s="472"/>
      <c r="F1577" s="750" t="s">
        <v>14159</v>
      </c>
      <c r="G1577" s="481"/>
      <c r="H1577" s="484">
        <f>27.8</f>
        <v>27.8</v>
      </c>
      <c r="I1577" s="751">
        <v>1963</v>
      </c>
      <c r="J1577" s="484">
        <f>14104</f>
        <v>14104</v>
      </c>
      <c r="K1577" s="486">
        <v>221485.66</v>
      </c>
    </row>
    <row r="1578" spans="1:11" x14ac:dyDescent="0.2">
      <c r="A1578" s="383" t="s">
        <v>1260</v>
      </c>
      <c r="B1578" s="382"/>
      <c r="C1578" s="877" t="s">
        <v>13190</v>
      </c>
      <c r="D1578" s="880" t="s">
        <v>355</v>
      </c>
      <c r="E1578" s="472"/>
      <c r="F1578" s="196"/>
      <c r="G1578" s="382"/>
      <c r="H1578" s="529">
        <f>1336.8-1336.8</f>
        <v>0</v>
      </c>
      <c r="I1578" s="883">
        <v>1995</v>
      </c>
      <c r="J1578" s="461">
        <f>2081800-2081800</f>
        <v>0</v>
      </c>
      <c r="K1578" s="486"/>
    </row>
    <row r="1579" spans="1:11" ht="15.75" customHeight="1" x14ac:dyDescent="0.2">
      <c r="A1579" s="384" t="s">
        <v>1849</v>
      </c>
      <c r="B1579" s="382" t="s">
        <v>308</v>
      </c>
      <c r="C1579" s="878"/>
      <c r="D1579" s="881"/>
      <c r="E1579" s="468">
        <v>4</v>
      </c>
      <c r="F1579" s="530"/>
      <c r="G1579" s="469"/>
      <c r="H1579" s="528">
        <v>32.5</v>
      </c>
      <c r="I1579" s="884"/>
      <c r="J1579" s="461">
        <v>50612.283064033516</v>
      </c>
      <c r="K1579" s="486"/>
    </row>
    <row r="1580" spans="1:11" x14ac:dyDescent="0.2">
      <c r="A1580" s="384" t="s">
        <v>1850</v>
      </c>
      <c r="B1580" s="382" t="s">
        <v>308</v>
      </c>
      <c r="C1580" s="878"/>
      <c r="D1580" s="881"/>
      <c r="E1580" s="468">
        <v>15</v>
      </c>
      <c r="F1580" s="530" t="s">
        <v>11640</v>
      </c>
      <c r="G1580" s="469"/>
      <c r="H1580" s="528">
        <v>66.900000000000006</v>
      </c>
      <c r="I1580" s="884"/>
      <c r="J1580" s="461">
        <v>104183.43806104131</v>
      </c>
      <c r="K1580" s="486">
        <v>918508.23</v>
      </c>
    </row>
    <row r="1581" spans="1:11" ht="12.75" customHeight="1" x14ac:dyDescent="0.2">
      <c r="A1581" s="384" t="s">
        <v>1851</v>
      </c>
      <c r="B1581" s="382" t="s">
        <v>308</v>
      </c>
      <c r="C1581" s="878"/>
      <c r="D1581" s="881"/>
      <c r="E1581" s="468">
        <v>21</v>
      </c>
      <c r="F1581" s="530"/>
      <c r="G1581" s="469"/>
      <c r="H1581" s="528">
        <v>32.700000000000003</v>
      </c>
      <c r="I1581" s="884"/>
      <c r="J1581" s="461">
        <v>50923.743267504491</v>
      </c>
      <c r="K1581" s="486"/>
    </row>
    <row r="1582" spans="1:11" x14ac:dyDescent="0.2">
      <c r="A1582" s="384" t="s">
        <v>11966</v>
      </c>
      <c r="B1582" s="382" t="s">
        <v>308</v>
      </c>
      <c r="C1582" s="879"/>
      <c r="D1582" s="882"/>
      <c r="E1582" s="468">
        <v>17</v>
      </c>
      <c r="F1582" s="530" t="s">
        <v>11967</v>
      </c>
      <c r="G1582" s="469" t="s">
        <v>143</v>
      </c>
      <c r="H1582" s="528">
        <v>49.3</v>
      </c>
      <c r="I1582" s="885"/>
      <c r="J1582" s="461">
        <v>1090881</v>
      </c>
      <c r="K1582" s="486">
        <v>676867.8</v>
      </c>
    </row>
    <row r="1583" spans="1:11" x14ac:dyDescent="0.2">
      <c r="A1583" s="383" t="s">
        <v>1261</v>
      </c>
      <c r="B1583" s="382"/>
      <c r="C1583" s="893" t="s">
        <v>13191</v>
      </c>
      <c r="D1583" s="898">
        <v>21</v>
      </c>
      <c r="E1583" s="472"/>
      <c r="F1583" s="196"/>
      <c r="G1583" s="382"/>
      <c r="H1583" s="529">
        <f>824-824</f>
        <v>0</v>
      </c>
      <c r="I1583" s="891">
        <v>1995</v>
      </c>
      <c r="J1583" s="461">
        <f>977900-977900</f>
        <v>0</v>
      </c>
      <c r="K1583" s="486"/>
    </row>
    <row r="1584" spans="1:11" x14ac:dyDescent="0.2">
      <c r="A1584" s="384" t="s">
        <v>1262</v>
      </c>
      <c r="B1584" s="382" t="s">
        <v>308</v>
      </c>
      <c r="C1584" s="893"/>
      <c r="D1584" s="898"/>
      <c r="E1584" s="468">
        <v>3</v>
      </c>
      <c r="F1584" s="530" t="s">
        <v>28</v>
      </c>
      <c r="G1584" s="469"/>
      <c r="H1584" s="528">
        <v>60.7</v>
      </c>
      <c r="I1584" s="891"/>
      <c r="J1584" s="461">
        <v>72037.050970873781</v>
      </c>
      <c r="K1584" s="486">
        <v>833384.9</v>
      </c>
    </row>
    <row r="1585" spans="1:11" x14ac:dyDescent="0.2">
      <c r="A1585" s="384" t="s">
        <v>1263</v>
      </c>
      <c r="B1585" s="382" t="s">
        <v>308</v>
      </c>
      <c r="C1585" s="893"/>
      <c r="D1585" s="898"/>
      <c r="E1585" s="468">
        <v>10</v>
      </c>
      <c r="F1585" s="530"/>
      <c r="G1585" s="469"/>
      <c r="H1585" s="528">
        <v>62.1</v>
      </c>
      <c r="I1585" s="891"/>
      <c r="J1585" s="461">
        <v>73698.531553398061</v>
      </c>
      <c r="K1585" s="486"/>
    </row>
    <row r="1586" spans="1:11" x14ac:dyDescent="0.2">
      <c r="A1586" s="384" t="s">
        <v>1264</v>
      </c>
      <c r="B1586" s="382" t="s">
        <v>308</v>
      </c>
      <c r="C1586" s="893"/>
      <c r="D1586" s="898"/>
      <c r="E1586" s="468">
        <v>13</v>
      </c>
      <c r="F1586" s="530"/>
      <c r="G1586" s="469"/>
      <c r="H1586" s="528">
        <v>61.1</v>
      </c>
      <c r="I1586" s="891"/>
      <c r="J1586" s="461">
        <v>72511.759708737867</v>
      </c>
      <c r="K1586" s="486"/>
    </row>
    <row r="1587" spans="1:11" x14ac:dyDescent="0.2">
      <c r="A1587" s="466" t="s">
        <v>1265</v>
      </c>
      <c r="B1587" s="382"/>
      <c r="C1587" s="877" t="s">
        <v>13802</v>
      </c>
      <c r="D1587" s="880">
        <v>28</v>
      </c>
      <c r="E1587" s="510"/>
      <c r="F1587" s="45"/>
      <c r="G1587" s="516"/>
      <c r="H1587" s="622">
        <f>1299.2-1299.2</f>
        <v>0</v>
      </c>
      <c r="I1587" s="883">
        <v>1985</v>
      </c>
      <c r="J1587" s="461">
        <f>3559128-3559128</f>
        <v>0</v>
      </c>
      <c r="K1587" s="486"/>
    </row>
    <row r="1588" spans="1:11" ht="12.75" customHeight="1" x14ac:dyDescent="0.2">
      <c r="A1588" s="384" t="s">
        <v>1266</v>
      </c>
      <c r="B1588" s="382" t="s">
        <v>308</v>
      </c>
      <c r="C1588" s="878"/>
      <c r="D1588" s="881"/>
      <c r="E1588" s="468">
        <v>1</v>
      </c>
      <c r="F1588" s="530"/>
      <c r="G1588" s="469"/>
      <c r="H1588" s="492">
        <v>18</v>
      </c>
      <c r="I1588" s="884"/>
      <c r="J1588" s="461">
        <v>49584.136391625623</v>
      </c>
      <c r="K1588" s="486"/>
    </row>
    <row r="1589" spans="1:11" x14ac:dyDescent="0.2">
      <c r="A1589" s="384" t="s">
        <v>1267</v>
      </c>
      <c r="B1589" s="382" t="s">
        <v>308</v>
      </c>
      <c r="C1589" s="878"/>
      <c r="D1589" s="881"/>
      <c r="E1589" s="468">
        <v>2</v>
      </c>
      <c r="F1589" s="530"/>
      <c r="G1589" s="469"/>
      <c r="H1589" s="492">
        <v>18</v>
      </c>
      <c r="I1589" s="884"/>
      <c r="J1589" s="461">
        <v>49584.136391625623</v>
      </c>
      <c r="K1589" s="486"/>
    </row>
    <row r="1590" spans="1:11" x14ac:dyDescent="0.2">
      <c r="A1590" s="384" t="s">
        <v>1268</v>
      </c>
      <c r="B1590" s="382" t="s">
        <v>308</v>
      </c>
      <c r="C1590" s="878"/>
      <c r="D1590" s="881"/>
      <c r="E1590" s="468">
        <v>3</v>
      </c>
      <c r="F1590" s="530"/>
      <c r="G1590" s="469"/>
      <c r="H1590" s="492">
        <v>18</v>
      </c>
      <c r="I1590" s="884"/>
      <c r="J1590" s="461">
        <v>47118.626847290638</v>
      </c>
      <c r="K1590" s="486"/>
    </row>
    <row r="1591" spans="1:11" x14ac:dyDescent="0.2">
      <c r="A1591" s="384" t="s">
        <v>1269</v>
      </c>
      <c r="B1591" s="382" t="s">
        <v>308</v>
      </c>
      <c r="C1591" s="878"/>
      <c r="D1591" s="881"/>
      <c r="E1591" s="468">
        <v>4</v>
      </c>
      <c r="F1591" s="530"/>
      <c r="G1591" s="469"/>
      <c r="H1591" s="492">
        <v>18</v>
      </c>
      <c r="I1591" s="884"/>
      <c r="J1591" s="461">
        <v>47666.517857142855</v>
      </c>
      <c r="K1591" s="486"/>
    </row>
    <row r="1592" spans="1:11" x14ac:dyDescent="0.2">
      <c r="A1592" s="384" t="s">
        <v>1852</v>
      </c>
      <c r="B1592" s="382" t="s">
        <v>308</v>
      </c>
      <c r="C1592" s="878"/>
      <c r="D1592" s="881"/>
      <c r="E1592" s="468">
        <v>5</v>
      </c>
      <c r="F1592" s="530"/>
      <c r="G1592" s="469"/>
      <c r="H1592" s="492">
        <v>18</v>
      </c>
      <c r="I1592" s="884"/>
      <c r="J1592" s="461">
        <v>41639.716748768471</v>
      </c>
      <c r="K1592" s="486"/>
    </row>
    <row r="1593" spans="1:11" ht="12.75" customHeight="1" x14ac:dyDescent="0.2">
      <c r="A1593" s="384" t="s">
        <v>1853</v>
      </c>
      <c r="B1593" s="382" t="s">
        <v>308</v>
      </c>
      <c r="C1593" s="878"/>
      <c r="D1593" s="881"/>
      <c r="E1593" s="468">
        <v>6</v>
      </c>
      <c r="F1593" s="530"/>
      <c r="G1593" s="543"/>
      <c r="H1593" s="492">
        <v>18</v>
      </c>
      <c r="I1593" s="884"/>
      <c r="J1593" s="461">
        <v>52049.645935960594</v>
      </c>
      <c r="K1593" s="486"/>
    </row>
    <row r="1594" spans="1:11" x14ac:dyDescent="0.2">
      <c r="A1594" s="384" t="s">
        <v>11417</v>
      </c>
      <c r="B1594" s="382" t="s">
        <v>312</v>
      </c>
      <c r="C1594" s="878"/>
      <c r="D1594" s="881"/>
      <c r="E1594" s="468">
        <v>7</v>
      </c>
      <c r="F1594" s="532"/>
      <c r="G1594" s="544"/>
      <c r="H1594" s="492">
        <v>18</v>
      </c>
      <c r="I1594" s="884"/>
      <c r="J1594" s="461">
        <f>3559128/1299.2*H1594</f>
        <v>49310.578817733985</v>
      </c>
      <c r="K1594" s="486"/>
    </row>
    <row r="1595" spans="1:11" x14ac:dyDescent="0.2">
      <c r="A1595" s="384" t="s">
        <v>11418</v>
      </c>
      <c r="B1595" s="382" t="s">
        <v>312</v>
      </c>
      <c r="C1595" s="878"/>
      <c r="D1595" s="881"/>
      <c r="E1595" s="468">
        <v>8</v>
      </c>
      <c r="F1595" s="532"/>
      <c r="G1595" s="544"/>
      <c r="H1595" s="492">
        <v>18</v>
      </c>
      <c r="I1595" s="884"/>
      <c r="J1595" s="461">
        <f t="shared" ref="J1595:J1607" si="10">3559128/1299.2*H1595</f>
        <v>49310.578817733985</v>
      </c>
      <c r="K1595" s="486"/>
    </row>
    <row r="1596" spans="1:11" ht="12.75" customHeight="1" x14ac:dyDescent="0.2">
      <c r="A1596" s="384" t="s">
        <v>11419</v>
      </c>
      <c r="B1596" s="382" t="s">
        <v>312</v>
      </c>
      <c r="C1596" s="878"/>
      <c r="D1596" s="881"/>
      <c r="E1596" s="468">
        <v>9</v>
      </c>
      <c r="F1596" s="532"/>
      <c r="G1596" s="544"/>
      <c r="H1596" s="492">
        <v>18.399999999999999</v>
      </c>
      <c r="I1596" s="884"/>
      <c r="J1596" s="461">
        <f t="shared" si="10"/>
        <v>50406.369458128072</v>
      </c>
      <c r="K1596" s="486"/>
    </row>
    <row r="1597" spans="1:11" x14ac:dyDescent="0.2">
      <c r="A1597" s="384" t="s">
        <v>11420</v>
      </c>
      <c r="B1597" s="382" t="s">
        <v>312</v>
      </c>
      <c r="C1597" s="878"/>
      <c r="D1597" s="881"/>
      <c r="E1597" s="468">
        <v>10</v>
      </c>
      <c r="F1597" s="532"/>
      <c r="G1597" s="544"/>
      <c r="H1597" s="492">
        <v>19.600000000000001</v>
      </c>
      <c r="I1597" s="884"/>
      <c r="J1597" s="461">
        <f t="shared" si="10"/>
        <v>53693.741379310348</v>
      </c>
      <c r="K1597" s="486"/>
    </row>
    <row r="1598" spans="1:11" x14ac:dyDescent="0.2">
      <c r="A1598" s="384" t="s">
        <v>11421</v>
      </c>
      <c r="B1598" s="382" t="s">
        <v>312</v>
      </c>
      <c r="C1598" s="878"/>
      <c r="D1598" s="881"/>
      <c r="E1598" s="468">
        <v>11</v>
      </c>
      <c r="F1598" s="532"/>
      <c r="G1598" s="544"/>
      <c r="H1598" s="492">
        <v>18</v>
      </c>
      <c r="I1598" s="884"/>
      <c r="J1598" s="461">
        <f t="shared" si="10"/>
        <v>49310.578817733985</v>
      </c>
      <c r="K1598" s="486"/>
    </row>
    <row r="1599" spans="1:11" x14ac:dyDescent="0.2">
      <c r="A1599" s="384" t="s">
        <v>11422</v>
      </c>
      <c r="B1599" s="382" t="s">
        <v>312</v>
      </c>
      <c r="C1599" s="878"/>
      <c r="D1599" s="881"/>
      <c r="E1599" s="468">
        <v>12</v>
      </c>
      <c r="F1599" s="532"/>
      <c r="G1599" s="544"/>
      <c r="H1599" s="492">
        <v>17.600000000000001</v>
      </c>
      <c r="I1599" s="884"/>
      <c r="J1599" s="461">
        <f t="shared" si="10"/>
        <v>48214.788177339899</v>
      </c>
      <c r="K1599" s="486"/>
    </row>
    <row r="1600" spans="1:11" x14ac:dyDescent="0.2">
      <c r="A1600" s="384" t="s">
        <v>11423</v>
      </c>
      <c r="B1600" s="382" t="s">
        <v>312</v>
      </c>
      <c r="C1600" s="878"/>
      <c r="D1600" s="881"/>
      <c r="E1600" s="468">
        <v>13</v>
      </c>
      <c r="F1600" s="532"/>
      <c r="G1600" s="544"/>
      <c r="H1600" s="492">
        <v>18.399999999999999</v>
      </c>
      <c r="I1600" s="884"/>
      <c r="J1600" s="461">
        <f t="shared" si="10"/>
        <v>50406.369458128072</v>
      </c>
      <c r="K1600" s="486"/>
    </row>
    <row r="1601" spans="1:11" ht="12.75" customHeight="1" x14ac:dyDescent="0.2">
      <c r="A1601" s="384" t="s">
        <v>11424</v>
      </c>
      <c r="B1601" s="382" t="s">
        <v>312</v>
      </c>
      <c r="C1601" s="878"/>
      <c r="D1601" s="881"/>
      <c r="E1601" s="468">
        <v>14</v>
      </c>
      <c r="F1601" s="532"/>
      <c r="G1601" s="544"/>
      <c r="H1601" s="492">
        <v>18</v>
      </c>
      <c r="I1601" s="884"/>
      <c r="J1601" s="461">
        <f t="shared" si="10"/>
        <v>49310.578817733985</v>
      </c>
      <c r="K1601" s="486"/>
    </row>
    <row r="1602" spans="1:11" x14ac:dyDescent="0.2">
      <c r="A1602" s="384" t="s">
        <v>11425</v>
      </c>
      <c r="B1602" s="382" t="s">
        <v>312</v>
      </c>
      <c r="C1602" s="878"/>
      <c r="D1602" s="881"/>
      <c r="E1602" s="468">
        <v>15</v>
      </c>
      <c r="F1602" s="532"/>
      <c r="G1602" s="544"/>
      <c r="H1602" s="492">
        <v>18</v>
      </c>
      <c r="I1602" s="884"/>
      <c r="J1602" s="461">
        <f t="shared" si="10"/>
        <v>49310.578817733985</v>
      </c>
      <c r="K1602" s="486"/>
    </row>
    <row r="1603" spans="1:11" x14ac:dyDescent="0.2">
      <c r="A1603" s="384" t="s">
        <v>11426</v>
      </c>
      <c r="B1603" s="382" t="s">
        <v>312</v>
      </c>
      <c r="C1603" s="878"/>
      <c r="D1603" s="881"/>
      <c r="E1603" s="468">
        <v>16</v>
      </c>
      <c r="F1603" s="532"/>
      <c r="G1603" s="544"/>
      <c r="H1603" s="492">
        <v>18.100000000000001</v>
      </c>
      <c r="I1603" s="884"/>
      <c r="J1603" s="461">
        <f t="shared" si="10"/>
        <v>49584.526477832515</v>
      </c>
      <c r="K1603" s="486"/>
    </row>
    <row r="1604" spans="1:11" x14ac:dyDescent="0.2">
      <c r="A1604" s="384" t="s">
        <v>11427</v>
      </c>
      <c r="B1604" s="382" t="s">
        <v>312</v>
      </c>
      <c r="C1604" s="878"/>
      <c r="D1604" s="881"/>
      <c r="E1604" s="468">
        <v>17</v>
      </c>
      <c r="F1604" s="532"/>
      <c r="G1604" s="544"/>
      <c r="H1604" s="492">
        <v>18.5</v>
      </c>
      <c r="I1604" s="884"/>
      <c r="J1604" s="461">
        <f t="shared" si="10"/>
        <v>50680.317118226594</v>
      </c>
      <c r="K1604" s="486"/>
    </row>
    <row r="1605" spans="1:11" x14ac:dyDescent="0.2">
      <c r="A1605" s="384" t="s">
        <v>11428</v>
      </c>
      <c r="B1605" s="382" t="s">
        <v>312</v>
      </c>
      <c r="C1605" s="878"/>
      <c r="D1605" s="881"/>
      <c r="E1605" s="468">
        <v>18</v>
      </c>
      <c r="F1605" s="532"/>
      <c r="G1605" s="544"/>
      <c r="H1605" s="492">
        <v>18</v>
      </c>
      <c r="I1605" s="884"/>
      <c r="J1605" s="461">
        <f t="shared" si="10"/>
        <v>49310.578817733985</v>
      </c>
      <c r="K1605" s="486"/>
    </row>
    <row r="1606" spans="1:11" ht="12.75" customHeight="1" x14ac:dyDescent="0.2">
      <c r="A1606" s="384" t="s">
        <v>11429</v>
      </c>
      <c r="B1606" s="382" t="s">
        <v>312</v>
      </c>
      <c r="C1606" s="878"/>
      <c r="D1606" s="881"/>
      <c r="E1606" s="468">
        <v>19</v>
      </c>
      <c r="F1606" s="532"/>
      <c r="G1606" s="544"/>
      <c r="H1606" s="492">
        <v>18</v>
      </c>
      <c r="I1606" s="884"/>
      <c r="J1606" s="461">
        <f t="shared" si="10"/>
        <v>49310.578817733985</v>
      </c>
      <c r="K1606" s="486"/>
    </row>
    <row r="1607" spans="1:11" x14ac:dyDescent="0.2">
      <c r="A1607" s="384" t="s">
        <v>11430</v>
      </c>
      <c r="B1607" s="382" t="s">
        <v>312</v>
      </c>
      <c r="C1607" s="878"/>
      <c r="D1607" s="881"/>
      <c r="E1607" s="468">
        <v>20</v>
      </c>
      <c r="F1607" s="532"/>
      <c r="G1607" s="544"/>
      <c r="H1607" s="492">
        <v>18</v>
      </c>
      <c r="I1607" s="884"/>
      <c r="J1607" s="461">
        <f t="shared" si="10"/>
        <v>49310.578817733985</v>
      </c>
      <c r="K1607" s="486"/>
    </row>
    <row r="1608" spans="1:11" x14ac:dyDescent="0.2">
      <c r="A1608" s="384" t="s">
        <v>11431</v>
      </c>
      <c r="B1608" s="382" t="s">
        <v>312</v>
      </c>
      <c r="C1608" s="878"/>
      <c r="D1608" s="881"/>
      <c r="E1608" s="468">
        <v>21</v>
      </c>
      <c r="F1608" s="532"/>
      <c r="G1608" s="544"/>
      <c r="H1608" s="492">
        <v>18</v>
      </c>
      <c r="I1608" s="884"/>
      <c r="J1608" s="461">
        <f>3559128/1299.2*H1608</f>
        <v>49310.578817733985</v>
      </c>
      <c r="K1608" s="486"/>
    </row>
    <row r="1609" spans="1:11" ht="12.75" customHeight="1" x14ac:dyDescent="0.2">
      <c r="A1609" s="384" t="s">
        <v>11432</v>
      </c>
      <c r="B1609" s="382" t="s">
        <v>312</v>
      </c>
      <c r="C1609" s="878"/>
      <c r="D1609" s="881"/>
      <c r="E1609" s="468">
        <v>26</v>
      </c>
      <c r="F1609" s="532"/>
      <c r="G1609" s="544"/>
      <c r="H1609" s="492">
        <v>18</v>
      </c>
      <c r="I1609" s="884"/>
      <c r="J1609" s="461">
        <f t="shared" ref="J1609:J1631" si="11">3559128/1299.2*H1609</f>
        <v>49310.578817733985</v>
      </c>
      <c r="K1609" s="486"/>
    </row>
    <row r="1610" spans="1:11" x14ac:dyDescent="0.2">
      <c r="A1610" s="384" t="s">
        <v>11433</v>
      </c>
      <c r="B1610" s="382" t="s">
        <v>312</v>
      </c>
      <c r="C1610" s="878"/>
      <c r="D1610" s="881"/>
      <c r="E1610" s="468">
        <v>27</v>
      </c>
      <c r="F1610" s="532"/>
      <c r="G1610" s="544"/>
      <c r="H1610" s="492">
        <v>15</v>
      </c>
      <c r="I1610" s="884"/>
      <c r="J1610" s="461">
        <f t="shared" si="11"/>
        <v>41092.149014778319</v>
      </c>
      <c r="K1610" s="486"/>
    </row>
    <row r="1611" spans="1:11" x14ac:dyDescent="0.2">
      <c r="A1611" s="384" t="s">
        <v>11434</v>
      </c>
      <c r="B1611" s="382" t="s">
        <v>312</v>
      </c>
      <c r="C1611" s="878"/>
      <c r="D1611" s="881"/>
      <c r="E1611" s="468">
        <v>28</v>
      </c>
      <c r="F1611" s="532"/>
      <c r="G1611" s="544"/>
      <c r="H1611" s="492">
        <v>18.600000000000001</v>
      </c>
      <c r="I1611" s="884"/>
      <c r="J1611" s="461">
        <f t="shared" si="11"/>
        <v>50954.264778325123</v>
      </c>
      <c r="K1611" s="486"/>
    </row>
    <row r="1612" spans="1:11" x14ac:dyDescent="0.2">
      <c r="A1612" s="384" t="s">
        <v>11435</v>
      </c>
      <c r="B1612" s="382" t="s">
        <v>312</v>
      </c>
      <c r="C1612" s="878"/>
      <c r="D1612" s="881"/>
      <c r="E1612" s="468">
        <v>29</v>
      </c>
      <c r="F1612" s="532"/>
      <c r="G1612" s="544"/>
      <c r="H1612" s="492">
        <v>18</v>
      </c>
      <c r="I1612" s="884"/>
      <c r="J1612" s="461">
        <f t="shared" si="11"/>
        <v>49310.578817733985</v>
      </c>
      <c r="K1612" s="486"/>
    </row>
    <row r="1613" spans="1:11" ht="12.75" customHeight="1" x14ac:dyDescent="0.2">
      <c r="A1613" s="384" t="s">
        <v>11436</v>
      </c>
      <c r="B1613" s="382" t="s">
        <v>312</v>
      </c>
      <c r="C1613" s="878"/>
      <c r="D1613" s="881"/>
      <c r="E1613" s="468">
        <v>30</v>
      </c>
      <c r="F1613" s="532"/>
      <c r="G1613" s="544"/>
      <c r="H1613" s="492">
        <v>18</v>
      </c>
      <c r="I1613" s="884"/>
      <c r="J1613" s="461">
        <f t="shared" si="11"/>
        <v>49310.578817733985</v>
      </c>
      <c r="K1613" s="486"/>
    </row>
    <row r="1614" spans="1:11" x14ac:dyDescent="0.2">
      <c r="A1614" s="384" t="s">
        <v>11437</v>
      </c>
      <c r="B1614" s="382" t="s">
        <v>312</v>
      </c>
      <c r="C1614" s="878"/>
      <c r="D1614" s="881"/>
      <c r="E1614" s="468">
        <v>31</v>
      </c>
      <c r="F1614" s="532"/>
      <c r="G1614" s="544"/>
      <c r="H1614" s="492">
        <v>18</v>
      </c>
      <c r="I1614" s="884"/>
      <c r="J1614" s="461">
        <f t="shared" si="11"/>
        <v>49310.578817733985</v>
      </c>
      <c r="K1614" s="486"/>
    </row>
    <row r="1615" spans="1:11" x14ac:dyDescent="0.2">
      <c r="A1615" s="384" t="s">
        <v>11438</v>
      </c>
      <c r="B1615" s="382" t="s">
        <v>312</v>
      </c>
      <c r="C1615" s="878"/>
      <c r="D1615" s="881"/>
      <c r="E1615" s="468">
        <v>32</v>
      </c>
      <c r="F1615" s="532"/>
      <c r="G1615" s="544"/>
      <c r="H1615" s="492">
        <v>18</v>
      </c>
      <c r="I1615" s="884"/>
      <c r="J1615" s="461">
        <f t="shared" si="11"/>
        <v>49310.578817733985</v>
      </c>
      <c r="K1615" s="486"/>
    </row>
    <row r="1616" spans="1:11" x14ac:dyDescent="0.2">
      <c r="A1616" s="384" t="s">
        <v>11439</v>
      </c>
      <c r="B1616" s="382" t="s">
        <v>312</v>
      </c>
      <c r="C1616" s="878"/>
      <c r="D1616" s="881"/>
      <c r="E1616" s="468">
        <v>33</v>
      </c>
      <c r="F1616" s="532"/>
      <c r="G1616" s="544"/>
      <c r="H1616" s="492">
        <v>18</v>
      </c>
      <c r="I1616" s="884"/>
      <c r="J1616" s="461">
        <f t="shared" si="11"/>
        <v>49310.578817733985</v>
      </c>
      <c r="K1616" s="486"/>
    </row>
    <row r="1617" spans="1:11" x14ac:dyDescent="0.2">
      <c r="A1617" s="384" t="s">
        <v>11440</v>
      </c>
      <c r="B1617" s="382" t="s">
        <v>312</v>
      </c>
      <c r="C1617" s="878"/>
      <c r="D1617" s="881"/>
      <c r="E1617" s="468">
        <v>34</v>
      </c>
      <c r="F1617" s="532"/>
      <c r="G1617" s="544"/>
      <c r="H1617" s="492">
        <v>18.7</v>
      </c>
      <c r="I1617" s="884"/>
      <c r="J1617" s="461">
        <f t="shared" si="11"/>
        <v>51228.212438423638</v>
      </c>
      <c r="K1617" s="486"/>
    </row>
    <row r="1618" spans="1:11" ht="12.75" customHeight="1" x14ac:dyDescent="0.2">
      <c r="A1618" s="384" t="s">
        <v>11441</v>
      </c>
      <c r="B1618" s="382" t="s">
        <v>312</v>
      </c>
      <c r="C1618" s="878"/>
      <c r="D1618" s="881"/>
      <c r="E1618" s="468">
        <v>35</v>
      </c>
      <c r="F1618" s="532"/>
      <c r="G1618" s="544"/>
      <c r="H1618" s="492">
        <v>18</v>
      </c>
      <c r="I1618" s="884"/>
      <c r="J1618" s="461">
        <f t="shared" si="11"/>
        <v>49310.578817733985</v>
      </c>
      <c r="K1618" s="486"/>
    </row>
    <row r="1619" spans="1:11" x14ac:dyDescent="0.2">
      <c r="A1619" s="384" t="s">
        <v>11442</v>
      </c>
      <c r="B1619" s="382" t="s">
        <v>312</v>
      </c>
      <c r="C1619" s="878"/>
      <c r="D1619" s="881"/>
      <c r="E1619" s="468">
        <v>36</v>
      </c>
      <c r="F1619" s="532"/>
      <c r="G1619" s="544"/>
      <c r="H1619" s="492">
        <v>18</v>
      </c>
      <c r="I1619" s="884"/>
      <c r="J1619" s="461">
        <f t="shared" si="11"/>
        <v>49310.578817733985</v>
      </c>
      <c r="K1619" s="486"/>
    </row>
    <row r="1620" spans="1:11" x14ac:dyDescent="0.2">
      <c r="A1620" s="384" t="s">
        <v>11443</v>
      </c>
      <c r="B1620" s="382" t="s">
        <v>312</v>
      </c>
      <c r="C1620" s="878"/>
      <c r="D1620" s="881"/>
      <c r="E1620" s="468">
        <v>37</v>
      </c>
      <c r="F1620" s="532"/>
      <c r="G1620" s="544"/>
      <c r="H1620" s="492">
        <v>18</v>
      </c>
      <c r="I1620" s="884"/>
      <c r="J1620" s="461">
        <f t="shared" si="11"/>
        <v>49310.578817733985</v>
      </c>
      <c r="K1620" s="486"/>
    </row>
    <row r="1621" spans="1:11" x14ac:dyDescent="0.2">
      <c r="A1621" s="384" t="s">
        <v>11444</v>
      </c>
      <c r="B1621" s="382" t="s">
        <v>312</v>
      </c>
      <c r="C1621" s="878"/>
      <c r="D1621" s="881"/>
      <c r="E1621" s="468">
        <v>38</v>
      </c>
      <c r="F1621" s="532"/>
      <c r="G1621" s="544"/>
      <c r="H1621" s="492">
        <v>18</v>
      </c>
      <c r="I1621" s="884"/>
      <c r="J1621" s="461">
        <f t="shared" si="11"/>
        <v>49310.578817733985</v>
      </c>
      <c r="K1621" s="486"/>
    </row>
    <row r="1622" spans="1:11" ht="12" customHeight="1" x14ac:dyDescent="0.2">
      <c r="A1622" s="384" t="s">
        <v>11445</v>
      </c>
      <c r="B1622" s="382" t="s">
        <v>312</v>
      </c>
      <c r="C1622" s="878"/>
      <c r="D1622" s="881"/>
      <c r="E1622" s="468">
        <v>39</v>
      </c>
      <c r="F1622" s="532"/>
      <c r="G1622" s="544"/>
      <c r="H1622" s="492">
        <v>18.7</v>
      </c>
      <c r="I1622" s="884"/>
      <c r="J1622" s="461">
        <f t="shared" si="11"/>
        <v>51228.212438423638</v>
      </c>
      <c r="K1622" s="486"/>
    </row>
    <row r="1623" spans="1:11" ht="12.75" customHeight="1" x14ac:dyDescent="0.2">
      <c r="A1623" s="384" t="s">
        <v>11446</v>
      </c>
      <c r="B1623" s="382" t="s">
        <v>312</v>
      </c>
      <c r="C1623" s="878"/>
      <c r="D1623" s="881"/>
      <c r="E1623" s="468">
        <v>40</v>
      </c>
      <c r="F1623" s="532"/>
      <c r="G1623" s="544"/>
      <c r="H1623" s="492">
        <v>18</v>
      </c>
      <c r="I1623" s="884"/>
      <c r="J1623" s="461">
        <f t="shared" si="11"/>
        <v>49310.578817733985</v>
      </c>
      <c r="K1623" s="486"/>
    </row>
    <row r="1624" spans="1:11" x14ac:dyDescent="0.2">
      <c r="A1624" s="384" t="s">
        <v>11447</v>
      </c>
      <c r="B1624" s="382" t="s">
        <v>312</v>
      </c>
      <c r="C1624" s="878"/>
      <c r="D1624" s="881"/>
      <c r="E1624" s="468">
        <v>41</v>
      </c>
      <c r="F1624" s="532"/>
      <c r="G1624" s="544"/>
      <c r="H1624" s="492">
        <v>18</v>
      </c>
      <c r="I1624" s="884"/>
      <c r="J1624" s="461">
        <f t="shared" si="11"/>
        <v>49310.578817733985</v>
      </c>
      <c r="K1624" s="486"/>
    </row>
    <row r="1625" spans="1:11" x14ac:dyDescent="0.2">
      <c r="A1625" s="384" t="s">
        <v>11448</v>
      </c>
      <c r="B1625" s="382" t="s">
        <v>312</v>
      </c>
      <c r="C1625" s="878"/>
      <c r="D1625" s="881"/>
      <c r="E1625" s="468">
        <v>42</v>
      </c>
      <c r="F1625" s="532"/>
      <c r="G1625" s="544"/>
      <c r="H1625" s="492">
        <v>19</v>
      </c>
      <c r="I1625" s="884"/>
      <c r="J1625" s="461">
        <f t="shared" si="11"/>
        <v>52050.05541871921</v>
      </c>
      <c r="K1625" s="486"/>
    </row>
    <row r="1626" spans="1:11" ht="12.75" customHeight="1" x14ac:dyDescent="0.2">
      <c r="A1626" s="384" t="s">
        <v>11449</v>
      </c>
      <c r="B1626" s="382" t="s">
        <v>312</v>
      </c>
      <c r="C1626" s="878"/>
      <c r="D1626" s="881"/>
      <c r="E1626" s="468">
        <v>43</v>
      </c>
      <c r="F1626" s="532"/>
      <c r="G1626" s="544"/>
      <c r="H1626" s="492">
        <v>18</v>
      </c>
      <c r="I1626" s="884"/>
      <c r="J1626" s="461">
        <f t="shared" si="11"/>
        <v>49310.578817733985</v>
      </c>
      <c r="K1626" s="486"/>
    </row>
    <row r="1627" spans="1:11" x14ac:dyDescent="0.2">
      <c r="A1627" s="384" t="s">
        <v>11450</v>
      </c>
      <c r="B1627" s="382" t="s">
        <v>312</v>
      </c>
      <c r="C1627" s="878"/>
      <c r="D1627" s="881"/>
      <c r="E1627" s="468">
        <v>44</v>
      </c>
      <c r="F1627" s="532"/>
      <c r="G1627" s="544"/>
      <c r="H1627" s="492">
        <v>18.2</v>
      </c>
      <c r="I1627" s="884"/>
      <c r="J1627" s="461">
        <f t="shared" si="11"/>
        <v>49858.474137931029</v>
      </c>
      <c r="K1627" s="486"/>
    </row>
    <row r="1628" spans="1:11" x14ac:dyDescent="0.2">
      <c r="A1628" s="384" t="s">
        <v>11451</v>
      </c>
      <c r="B1628" s="382" t="s">
        <v>312</v>
      </c>
      <c r="C1628" s="878"/>
      <c r="D1628" s="881"/>
      <c r="E1628" s="468">
        <v>46</v>
      </c>
      <c r="F1628" s="532"/>
      <c r="G1628" s="544"/>
      <c r="H1628" s="492">
        <v>18</v>
      </c>
      <c r="I1628" s="884"/>
      <c r="J1628" s="461">
        <f t="shared" si="11"/>
        <v>49310.578817733985</v>
      </c>
      <c r="K1628" s="486"/>
    </row>
    <row r="1629" spans="1:11" ht="12.75" customHeight="1" x14ac:dyDescent="0.2">
      <c r="A1629" s="384" t="s">
        <v>11452</v>
      </c>
      <c r="B1629" s="382" t="s">
        <v>312</v>
      </c>
      <c r="C1629" s="878"/>
      <c r="D1629" s="881"/>
      <c r="E1629" s="468">
        <v>47</v>
      </c>
      <c r="F1629" s="532"/>
      <c r="G1629" s="544"/>
      <c r="H1629" s="492">
        <v>18</v>
      </c>
      <c r="I1629" s="884"/>
      <c r="J1629" s="461">
        <f t="shared" si="11"/>
        <v>49310.578817733985</v>
      </c>
      <c r="K1629" s="486"/>
    </row>
    <row r="1630" spans="1:11" x14ac:dyDescent="0.2">
      <c r="A1630" s="384" t="s">
        <v>11453</v>
      </c>
      <c r="B1630" s="382" t="s">
        <v>312</v>
      </c>
      <c r="C1630" s="878"/>
      <c r="D1630" s="881"/>
      <c r="E1630" s="468">
        <v>48</v>
      </c>
      <c r="F1630" s="532"/>
      <c r="G1630" s="544"/>
      <c r="H1630" s="492">
        <v>18</v>
      </c>
      <c r="I1630" s="884"/>
      <c r="J1630" s="461">
        <f t="shared" si="11"/>
        <v>49310.578817733985</v>
      </c>
      <c r="K1630" s="486"/>
    </row>
    <row r="1631" spans="1:11" ht="12.75" customHeight="1" x14ac:dyDescent="0.2">
      <c r="A1631" s="384" t="s">
        <v>11454</v>
      </c>
      <c r="B1631" s="382" t="s">
        <v>312</v>
      </c>
      <c r="C1631" s="879"/>
      <c r="D1631" s="882"/>
      <c r="E1631" s="468">
        <v>49</v>
      </c>
      <c r="F1631" s="532"/>
      <c r="G1631" s="544"/>
      <c r="H1631" s="492">
        <v>18</v>
      </c>
      <c r="I1631" s="885"/>
      <c r="J1631" s="461">
        <f t="shared" si="11"/>
        <v>49310.578817733985</v>
      </c>
      <c r="K1631" s="486"/>
    </row>
    <row r="1632" spans="1:11" x14ac:dyDescent="0.2">
      <c r="A1632" s="383" t="s">
        <v>1270</v>
      </c>
      <c r="B1632" s="382"/>
      <c r="C1632" s="877" t="s">
        <v>13192</v>
      </c>
      <c r="D1632" s="880">
        <v>14</v>
      </c>
      <c r="E1632" s="485"/>
      <c r="F1632" s="196"/>
      <c r="G1632" s="382"/>
      <c r="H1632" s="461">
        <f>1116.9-1116.9</f>
        <v>0</v>
      </c>
      <c r="I1632" s="883">
        <v>1995</v>
      </c>
      <c r="J1632" s="461">
        <f>935500-935500</f>
        <v>0</v>
      </c>
      <c r="K1632" s="486"/>
    </row>
    <row r="1633" spans="1:11" ht="12.75" customHeight="1" x14ac:dyDescent="0.2">
      <c r="A1633" s="384" t="s">
        <v>1854</v>
      </c>
      <c r="B1633" s="382" t="s">
        <v>308</v>
      </c>
      <c r="C1633" s="878"/>
      <c r="D1633" s="881"/>
      <c r="E1633" s="472">
        <v>1</v>
      </c>
      <c r="F1633" s="196" t="s">
        <v>29</v>
      </c>
      <c r="G1633" s="508"/>
      <c r="H1633" s="461">
        <v>90.7</v>
      </c>
      <c r="I1633" s="884"/>
      <c r="J1633" s="461">
        <v>75969.066165278899</v>
      </c>
      <c r="K1633" s="486">
        <v>939941.33</v>
      </c>
    </row>
    <row r="1634" spans="1:11" ht="13.5" customHeight="1" x14ac:dyDescent="0.2">
      <c r="A1634" s="384" t="s">
        <v>1855</v>
      </c>
      <c r="B1634" s="382" t="s">
        <v>308</v>
      </c>
      <c r="C1634" s="879"/>
      <c r="D1634" s="882"/>
      <c r="E1634" s="472">
        <v>2</v>
      </c>
      <c r="F1634" s="196" t="s">
        <v>30</v>
      </c>
      <c r="G1634" s="508"/>
      <c r="H1634" s="461">
        <v>91.2</v>
      </c>
      <c r="I1634" s="885"/>
      <c r="J1634" s="461">
        <v>76387.859253290357</v>
      </c>
      <c r="K1634" s="486">
        <v>945122.93</v>
      </c>
    </row>
    <row r="1635" spans="1:11" ht="16.5" customHeight="1" x14ac:dyDescent="0.2">
      <c r="A1635" s="383" t="s">
        <v>1271</v>
      </c>
      <c r="B1635" s="382"/>
      <c r="C1635" s="877" t="s">
        <v>13193</v>
      </c>
      <c r="D1635" s="898">
        <v>14</v>
      </c>
      <c r="E1635" s="485"/>
      <c r="F1635" s="196"/>
      <c r="G1635" s="382"/>
      <c r="H1635" s="461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635" s="883">
        <v>1995</v>
      </c>
      <c r="J1635" s="461">
        <f>4666620/3308.1*H1635</f>
        <v>1093406.2337897902</v>
      </c>
      <c r="K1635" s="486"/>
    </row>
    <row r="1636" spans="1:11" ht="12.75" customHeight="1" x14ac:dyDescent="0.2">
      <c r="A1636" s="384" t="s">
        <v>1856</v>
      </c>
      <c r="B1636" s="382" t="s">
        <v>308</v>
      </c>
      <c r="C1636" s="878"/>
      <c r="D1636" s="898"/>
      <c r="E1636" s="485">
        <v>41</v>
      </c>
      <c r="F1636" s="196"/>
      <c r="G1636" s="382"/>
      <c r="H1636" s="492"/>
      <c r="I1636" s="884"/>
      <c r="J1636" s="461"/>
      <c r="K1636" s="486"/>
    </row>
    <row r="1637" spans="1:11" ht="12.75" customHeight="1" x14ac:dyDescent="0.2">
      <c r="A1637" s="384" t="s">
        <v>1857</v>
      </c>
      <c r="B1637" s="382" t="s">
        <v>312</v>
      </c>
      <c r="C1637" s="878"/>
      <c r="D1637" s="880" t="s">
        <v>523</v>
      </c>
      <c r="E1637" s="485">
        <v>3</v>
      </c>
      <c r="F1637" s="196"/>
      <c r="G1637" s="382" t="s">
        <v>143</v>
      </c>
      <c r="H1637" s="492"/>
      <c r="I1637" s="884"/>
      <c r="J1637" s="461"/>
      <c r="K1637" s="486"/>
    </row>
    <row r="1638" spans="1:11" x14ac:dyDescent="0.2">
      <c r="A1638" s="384" t="s">
        <v>1858</v>
      </c>
      <c r="B1638" s="382" t="s">
        <v>312</v>
      </c>
      <c r="C1638" s="878"/>
      <c r="D1638" s="881"/>
      <c r="E1638" s="485">
        <v>4</v>
      </c>
      <c r="F1638" s="196"/>
      <c r="G1638" s="382" t="s">
        <v>143</v>
      </c>
      <c r="H1638" s="492">
        <v>16</v>
      </c>
      <c r="I1638" s="884"/>
      <c r="J1638" s="461"/>
      <c r="K1638" s="486"/>
    </row>
    <row r="1639" spans="1:11" x14ac:dyDescent="0.2">
      <c r="A1639" s="765" t="s">
        <v>1859</v>
      </c>
      <c r="B1639" s="765" t="s">
        <v>312</v>
      </c>
      <c r="C1639" s="878"/>
      <c r="D1639" s="881"/>
      <c r="E1639" s="485">
        <v>6</v>
      </c>
      <c r="F1639" s="196" t="s">
        <v>14584</v>
      </c>
      <c r="G1639" s="382" t="s">
        <v>143</v>
      </c>
      <c r="H1639" s="461">
        <v>12.6</v>
      </c>
      <c r="I1639" s="884"/>
      <c r="J1639" s="461">
        <f t="shared" ref="J1639:J1643" si="12">4666620/3308.1*H1639</f>
        <v>17774.375623469663</v>
      </c>
      <c r="K1639" s="486"/>
    </row>
    <row r="1640" spans="1:11" x14ac:dyDescent="0.2">
      <c r="A1640" s="765" t="s">
        <v>14580</v>
      </c>
      <c r="B1640" s="765" t="s">
        <v>312</v>
      </c>
      <c r="C1640" s="878"/>
      <c r="D1640" s="881"/>
      <c r="E1640" s="485">
        <v>1</v>
      </c>
      <c r="F1640" s="791"/>
      <c r="G1640" s="382" t="s">
        <v>143</v>
      </c>
      <c r="H1640" s="461">
        <v>14.6</v>
      </c>
      <c r="I1640" s="884"/>
      <c r="J1640" s="461">
        <f t="shared" si="12"/>
        <v>20595.70508751247</v>
      </c>
      <c r="K1640" s="486"/>
    </row>
    <row r="1641" spans="1:11" x14ac:dyDescent="0.2">
      <c r="A1641" s="765" t="s">
        <v>14581</v>
      </c>
      <c r="B1641" s="765" t="s">
        <v>312</v>
      </c>
      <c r="C1641" s="878"/>
      <c r="D1641" s="881"/>
      <c r="E1641" s="485">
        <v>8</v>
      </c>
      <c r="F1641" s="792"/>
      <c r="G1641" s="382" t="s">
        <v>143</v>
      </c>
      <c r="H1641" s="461">
        <v>12</v>
      </c>
      <c r="I1641" s="884"/>
      <c r="J1641" s="461">
        <f t="shared" si="12"/>
        <v>16927.976784256825</v>
      </c>
      <c r="K1641" s="486"/>
    </row>
    <row r="1642" spans="1:11" x14ac:dyDescent="0.2">
      <c r="A1642" s="765" t="s">
        <v>14582</v>
      </c>
      <c r="B1642" s="765" t="s">
        <v>312</v>
      </c>
      <c r="C1642" s="878"/>
      <c r="D1642" s="881"/>
      <c r="E1642" s="485">
        <v>9</v>
      </c>
      <c r="F1642" s="385"/>
      <c r="G1642" s="382" t="s">
        <v>143</v>
      </c>
      <c r="H1642" s="461">
        <v>15.8</v>
      </c>
      <c r="I1642" s="884"/>
      <c r="J1642" s="461">
        <f t="shared" si="12"/>
        <v>22288.502765938152</v>
      </c>
      <c r="K1642" s="486"/>
    </row>
    <row r="1643" spans="1:11" x14ac:dyDescent="0.2">
      <c r="A1643" s="765" t="s">
        <v>14583</v>
      </c>
      <c r="B1643" s="765" t="s">
        <v>312</v>
      </c>
      <c r="C1643" s="878"/>
      <c r="D1643" s="881"/>
      <c r="E1643" s="485">
        <v>10</v>
      </c>
      <c r="F1643" s="385"/>
      <c r="G1643" s="382" t="s">
        <v>143</v>
      </c>
      <c r="H1643" s="461">
        <v>15.7</v>
      </c>
      <c r="I1643" s="884"/>
      <c r="J1643" s="461">
        <f t="shared" si="12"/>
        <v>22147.436292736009</v>
      </c>
      <c r="K1643" s="486"/>
    </row>
    <row r="1644" spans="1:11" ht="12.75" customHeight="1" x14ac:dyDescent="0.2">
      <c r="A1644" s="384" t="s">
        <v>1859</v>
      </c>
      <c r="B1644" s="382" t="s">
        <v>312</v>
      </c>
      <c r="C1644" s="878"/>
      <c r="D1644" s="880" t="s">
        <v>524</v>
      </c>
      <c r="E1644" s="485"/>
      <c r="F1644" s="196"/>
      <c r="G1644" s="382"/>
      <c r="H1644" s="492"/>
      <c r="I1644" s="884"/>
      <c r="J1644" s="461"/>
      <c r="K1644" s="486"/>
    </row>
    <row r="1645" spans="1:11" ht="35.25" x14ac:dyDescent="0.2">
      <c r="A1645" s="384" t="s">
        <v>1860</v>
      </c>
      <c r="B1645" s="382" t="s">
        <v>312</v>
      </c>
      <c r="C1645" s="878"/>
      <c r="D1645" s="881"/>
      <c r="E1645" s="485">
        <v>12</v>
      </c>
      <c r="F1645" s="196"/>
      <c r="G1645" s="382" t="s">
        <v>13194</v>
      </c>
      <c r="H1645" s="461">
        <v>21.2</v>
      </c>
      <c r="I1645" s="884"/>
      <c r="J1645" s="461">
        <f>4666620/3308.1*H1645</f>
        <v>29906.09231885372</v>
      </c>
      <c r="K1645" s="486"/>
    </row>
    <row r="1646" spans="1:11" ht="12.75" customHeight="1" x14ac:dyDescent="0.2">
      <c r="A1646" s="384" t="s">
        <v>1861</v>
      </c>
      <c r="B1646" s="382" t="s">
        <v>312</v>
      </c>
      <c r="C1646" s="878"/>
      <c r="D1646" s="881"/>
      <c r="E1646" s="485">
        <v>11</v>
      </c>
      <c r="F1646" s="196"/>
      <c r="G1646" s="382" t="s">
        <v>143</v>
      </c>
      <c r="H1646" s="461">
        <v>23.2</v>
      </c>
      <c r="I1646" s="884"/>
      <c r="J1646" s="461">
        <f>4666620/3308.1*H1647</f>
        <v>19326.106828693206</v>
      </c>
      <c r="K1646" s="486"/>
    </row>
    <row r="1647" spans="1:11" x14ac:dyDescent="0.2">
      <c r="A1647" s="384" t="s">
        <v>1862</v>
      </c>
      <c r="B1647" s="382" t="s">
        <v>312</v>
      </c>
      <c r="C1647" s="878"/>
      <c r="D1647" s="881"/>
      <c r="E1647" s="485">
        <v>13</v>
      </c>
      <c r="F1647" s="196"/>
      <c r="G1647" s="382" t="s">
        <v>143</v>
      </c>
      <c r="H1647" s="461">
        <v>13.7</v>
      </c>
      <c r="I1647" s="884"/>
      <c r="J1647" s="461">
        <f>4666620/3308.1*H1648</f>
        <v>30188.225265257999</v>
      </c>
      <c r="K1647" s="486"/>
    </row>
    <row r="1648" spans="1:11" x14ac:dyDescent="0.2">
      <c r="A1648" s="384" t="s">
        <v>4434</v>
      </c>
      <c r="B1648" s="382" t="s">
        <v>312</v>
      </c>
      <c r="C1648" s="878"/>
      <c r="D1648" s="882"/>
      <c r="E1648" s="485">
        <v>14</v>
      </c>
      <c r="F1648" s="196"/>
      <c r="G1648" s="382" t="s">
        <v>143</v>
      </c>
      <c r="H1648" s="461">
        <v>21.4</v>
      </c>
      <c r="I1648" s="884"/>
      <c r="J1648" s="461">
        <f>4666620/3308.1*21.4</f>
        <v>30188.225265257999</v>
      </c>
      <c r="K1648" s="486"/>
    </row>
    <row r="1649" spans="1:11" ht="12.75" customHeight="1" x14ac:dyDescent="0.2">
      <c r="A1649" s="383" t="s">
        <v>1272</v>
      </c>
      <c r="B1649" s="382"/>
      <c r="C1649" s="893" t="s">
        <v>13195</v>
      </c>
      <c r="D1649" s="898">
        <v>40</v>
      </c>
      <c r="E1649" s="485"/>
      <c r="F1649" s="196"/>
      <c r="G1649" s="382"/>
      <c r="H1649" s="492">
        <f>3381.2-3381.2</f>
        <v>0</v>
      </c>
      <c r="I1649" s="891">
        <v>1997</v>
      </c>
      <c r="J1649" s="461">
        <f>19684592-19684592</f>
        <v>0</v>
      </c>
      <c r="K1649" s="486"/>
    </row>
    <row r="1650" spans="1:11" ht="27" customHeight="1" x14ac:dyDescent="0.2">
      <c r="A1650" s="384" t="s">
        <v>1273</v>
      </c>
      <c r="B1650" s="382" t="s">
        <v>308</v>
      </c>
      <c r="C1650" s="893"/>
      <c r="D1650" s="898"/>
      <c r="E1650" s="485">
        <v>5</v>
      </c>
      <c r="F1650" s="196" t="s">
        <v>313</v>
      </c>
      <c r="G1650" s="382"/>
      <c r="H1650" s="492">
        <v>57.8</v>
      </c>
      <c r="I1650" s="891"/>
      <c r="J1650" s="461">
        <v>336498.70389210928</v>
      </c>
      <c r="K1650" s="486">
        <v>1257421.6299999999</v>
      </c>
    </row>
    <row r="1651" spans="1:11" x14ac:dyDescent="0.2">
      <c r="A1651" s="383" t="s">
        <v>1274</v>
      </c>
      <c r="B1651" s="382"/>
      <c r="C1651" s="877" t="s">
        <v>13196</v>
      </c>
      <c r="D1651" s="880">
        <v>12</v>
      </c>
      <c r="E1651" s="485"/>
      <c r="F1651" s="196"/>
      <c r="G1651" s="382"/>
      <c r="H1651" s="492">
        <f>5000.4-5000.4</f>
        <v>0</v>
      </c>
      <c r="I1651" s="883">
        <v>1987</v>
      </c>
      <c r="J1651" s="461">
        <f>16144160-16144160</f>
        <v>0</v>
      </c>
      <c r="K1651" s="486"/>
    </row>
    <row r="1652" spans="1:11" x14ac:dyDescent="0.2">
      <c r="A1652" s="384" t="s">
        <v>1275</v>
      </c>
      <c r="B1652" s="382" t="s">
        <v>308</v>
      </c>
      <c r="C1652" s="878"/>
      <c r="D1652" s="881"/>
      <c r="E1652" s="468">
        <v>61</v>
      </c>
      <c r="F1652" s="530"/>
      <c r="G1652" s="469"/>
      <c r="H1652" s="521">
        <v>61.9</v>
      </c>
      <c r="I1652" s="884"/>
      <c r="J1652" s="461">
        <v>199848.71290296776</v>
      </c>
      <c r="K1652" s="486"/>
    </row>
    <row r="1653" spans="1:11" x14ac:dyDescent="0.2">
      <c r="A1653" s="384" t="s">
        <v>11968</v>
      </c>
      <c r="B1653" s="382" t="s">
        <v>308</v>
      </c>
      <c r="C1653" s="879"/>
      <c r="D1653" s="882"/>
      <c r="E1653" s="468">
        <v>15</v>
      </c>
      <c r="F1653" s="530" t="s">
        <v>11944</v>
      </c>
      <c r="G1653" s="520" t="s">
        <v>543</v>
      </c>
      <c r="H1653" s="545">
        <v>25.8</v>
      </c>
      <c r="I1653" s="885"/>
      <c r="J1653" s="461">
        <v>852870.6</v>
      </c>
      <c r="K1653" s="486">
        <v>550007.74</v>
      </c>
    </row>
    <row r="1654" spans="1:11" ht="35.25" customHeight="1" x14ac:dyDescent="0.2">
      <c r="A1654" s="383" t="s">
        <v>1276</v>
      </c>
      <c r="B1654" s="382"/>
      <c r="C1654" s="877" t="s">
        <v>13197</v>
      </c>
      <c r="D1654" s="880">
        <v>55</v>
      </c>
      <c r="E1654" s="485"/>
      <c r="F1654" s="530"/>
      <c r="G1654" s="382" t="s">
        <v>107</v>
      </c>
      <c r="H1654" s="461">
        <f>68.2-68.2</f>
        <v>0</v>
      </c>
      <c r="I1654" s="883">
        <v>1958</v>
      </c>
      <c r="J1654" s="461">
        <f>83128.94-83128.94</f>
        <v>0</v>
      </c>
      <c r="K1654" s="486">
        <v>565284.56999999995</v>
      </c>
    </row>
    <row r="1655" spans="1:11" x14ac:dyDescent="0.2">
      <c r="A1655" s="384" t="s">
        <v>6163</v>
      </c>
      <c r="B1655" s="382" t="s">
        <v>308</v>
      </c>
      <c r="C1655" s="878"/>
      <c r="D1655" s="881"/>
      <c r="E1655" s="485">
        <v>1</v>
      </c>
      <c r="F1655" s="530" t="s">
        <v>6165</v>
      </c>
      <c r="G1655" s="382" t="s">
        <v>143</v>
      </c>
      <c r="H1655" s="461">
        <v>40.4</v>
      </c>
      <c r="I1655" s="884"/>
      <c r="J1655" s="461">
        <f>83100/68.2*H1655</f>
        <v>49226.392961876831</v>
      </c>
      <c r="K1655" s="486">
        <v>434377.97</v>
      </c>
    </row>
    <row r="1656" spans="1:11" ht="12.75" customHeight="1" x14ac:dyDescent="0.2">
      <c r="A1656" s="384" t="s">
        <v>6164</v>
      </c>
      <c r="B1656" s="382" t="s">
        <v>308</v>
      </c>
      <c r="C1656" s="879"/>
      <c r="D1656" s="882"/>
      <c r="E1656" s="485">
        <v>2</v>
      </c>
      <c r="F1656" s="530" t="s">
        <v>6166</v>
      </c>
      <c r="G1656" s="382" t="s">
        <v>143</v>
      </c>
      <c r="H1656" s="461">
        <v>27.8</v>
      </c>
      <c r="I1656" s="885"/>
      <c r="J1656" s="461">
        <f>83100/68.2*H1656</f>
        <v>33873.607038123169</v>
      </c>
      <c r="K1656" s="486">
        <v>307488.28999999998</v>
      </c>
    </row>
    <row r="1657" spans="1:11" ht="51" x14ac:dyDescent="0.2">
      <c r="A1657" s="383" t="s">
        <v>1277</v>
      </c>
      <c r="B1657" s="382" t="s">
        <v>11567</v>
      </c>
      <c r="C1657" s="617" t="s">
        <v>13198</v>
      </c>
      <c r="D1657" s="619">
        <v>8</v>
      </c>
      <c r="E1657" s="485"/>
      <c r="F1657" s="196" t="s">
        <v>31</v>
      </c>
      <c r="G1657" s="382" t="s">
        <v>196</v>
      </c>
      <c r="H1657" s="461">
        <v>34.299999999999997</v>
      </c>
      <c r="I1657" s="618">
        <v>1955</v>
      </c>
      <c r="J1657" s="461">
        <v>281600</v>
      </c>
      <c r="K1657" s="486">
        <v>273271.87</v>
      </c>
    </row>
    <row r="1658" spans="1:11" ht="38.25" x14ac:dyDescent="0.2">
      <c r="A1658" s="383" t="s">
        <v>1278</v>
      </c>
      <c r="B1658" s="382" t="s">
        <v>11567</v>
      </c>
      <c r="C1658" s="617" t="s">
        <v>13199</v>
      </c>
      <c r="D1658" s="619">
        <v>31</v>
      </c>
      <c r="E1658" s="485"/>
      <c r="F1658" s="196" t="s">
        <v>32</v>
      </c>
      <c r="G1658" s="382" t="s">
        <v>196</v>
      </c>
      <c r="H1658" s="461">
        <v>60.4</v>
      </c>
      <c r="I1658" s="618">
        <v>1958</v>
      </c>
      <c r="J1658" s="461">
        <v>55500</v>
      </c>
      <c r="K1658" s="486">
        <v>500633.25</v>
      </c>
    </row>
    <row r="1659" spans="1:11" ht="37.5" customHeight="1" x14ac:dyDescent="0.2">
      <c r="A1659" s="383" t="s">
        <v>1279</v>
      </c>
      <c r="B1659" s="382" t="s">
        <v>11567</v>
      </c>
      <c r="C1659" s="617" t="s">
        <v>13200</v>
      </c>
      <c r="D1659" s="619">
        <v>11</v>
      </c>
      <c r="E1659" s="485"/>
      <c r="F1659" s="196" t="s">
        <v>33</v>
      </c>
      <c r="G1659" s="382" t="s">
        <v>196</v>
      </c>
      <c r="H1659" s="461">
        <v>44.5</v>
      </c>
      <c r="I1659" s="618">
        <v>1956</v>
      </c>
      <c r="J1659" s="461">
        <v>77900</v>
      </c>
      <c r="K1659" s="486">
        <v>354536.39</v>
      </c>
    </row>
    <row r="1660" spans="1:11" ht="38.25" x14ac:dyDescent="0.2">
      <c r="A1660" s="383" t="s">
        <v>1280</v>
      </c>
      <c r="B1660" s="382" t="s">
        <v>11567</v>
      </c>
      <c r="C1660" s="617" t="s">
        <v>13201</v>
      </c>
      <c r="D1660" s="619">
        <v>21</v>
      </c>
      <c r="E1660" s="485"/>
      <c r="F1660" s="196"/>
      <c r="G1660" s="382" t="s">
        <v>196</v>
      </c>
      <c r="H1660" s="461">
        <v>33.299999999999997</v>
      </c>
      <c r="I1660" s="618">
        <v>1990</v>
      </c>
      <c r="J1660" s="461">
        <v>12792</v>
      </c>
      <c r="K1660" s="486"/>
    </row>
    <row r="1661" spans="1:11" ht="25.5" x14ac:dyDescent="0.2">
      <c r="A1661" s="383" t="s">
        <v>1281</v>
      </c>
      <c r="B1661" s="382" t="s">
        <v>323</v>
      </c>
      <c r="C1661" s="617" t="s">
        <v>5516</v>
      </c>
      <c r="D1661" s="619"/>
      <c r="E1661" s="485"/>
      <c r="F1661" s="196"/>
      <c r="G1661" s="382" t="s">
        <v>196</v>
      </c>
      <c r="H1661" s="461"/>
      <c r="I1661" s="618">
        <v>1970</v>
      </c>
      <c r="J1661" s="461">
        <v>3300</v>
      </c>
      <c r="K1661" s="486"/>
    </row>
    <row r="1662" spans="1:11" x14ac:dyDescent="0.2">
      <c r="A1662" s="383" t="s">
        <v>1282</v>
      </c>
      <c r="B1662" s="382"/>
      <c r="C1662" s="877" t="s">
        <v>13202</v>
      </c>
      <c r="D1662" s="880">
        <v>4</v>
      </c>
      <c r="E1662" s="485"/>
      <c r="F1662" s="196"/>
      <c r="G1662" s="382" t="s">
        <v>196</v>
      </c>
      <c r="H1662" s="461">
        <f>141.7-141.7</f>
        <v>0</v>
      </c>
      <c r="I1662" s="883">
        <v>1992</v>
      </c>
      <c r="J1662" s="461">
        <f>36900-36900</f>
        <v>0</v>
      </c>
      <c r="K1662" s="486">
        <v>1128939.49</v>
      </c>
    </row>
    <row r="1663" spans="1:11" ht="26.25" customHeight="1" x14ac:dyDescent="0.2">
      <c r="A1663" s="384" t="s">
        <v>4001</v>
      </c>
      <c r="B1663" s="382" t="s">
        <v>308</v>
      </c>
      <c r="C1663" s="878"/>
      <c r="D1663" s="881"/>
      <c r="E1663" s="619">
        <v>1</v>
      </c>
      <c r="F1663" s="196" t="s">
        <v>4002</v>
      </c>
      <c r="G1663" s="382" t="s">
        <v>143</v>
      </c>
      <c r="H1663" s="461">
        <v>35.299999999999997</v>
      </c>
      <c r="I1663" s="884"/>
      <c r="J1663" s="461">
        <f>36900/141.7*H1663</f>
        <v>9192.4488355681005</v>
      </c>
      <c r="K1663" s="486">
        <v>365820.61</v>
      </c>
    </row>
    <row r="1664" spans="1:11" ht="38.25" customHeight="1" x14ac:dyDescent="0.2">
      <c r="A1664" s="383" t="s">
        <v>1283</v>
      </c>
      <c r="B1664" s="382" t="s">
        <v>323</v>
      </c>
      <c r="C1664" s="617" t="s">
        <v>13203</v>
      </c>
      <c r="D1664" s="619">
        <v>21</v>
      </c>
      <c r="E1664" s="485"/>
      <c r="F1664" s="196"/>
      <c r="G1664" s="382" t="s">
        <v>107</v>
      </c>
      <c r="H1664" s="461">
        <v>68.599999999999994</v>
      </c>
      <c r="I1664" s="618">
        <v>1998</v>
      </c>
      <c r="J1664" s="461">
        <v>373100</v>
      </c>
      <c r="K1664" s="486"/>
    </row>
    <row r="1665" spans="1:11" ht="25.5" customHeight="1" x14ac:dyDescent="0.2">
      <c r="A1665" s="383" t="s">
        <v>1284</v>
      </c>
      <c r="B1665" s="382" t="s">
        <v>323</v>
      </c>
      <c r="C1665" s="617" t="s">
        <v>13204</v>
      </c>
      <c r="D1665" s="619">
        <v>16</v>
      </c>
      <c r="E1665" s="485"/>
      <c r="F1665" s="196"/>
      <c r="G1665" s="382" t="s">
        <v>196</v>
      </c>
      <c r="H1665" s="461">
        <v>30.5</v>
      </c>
      <c r="I1665" s="618">
        <v>1942</v>
      </c>
      <c r="J1665" s="461">
        <v>46700</v>
      </c>
      <c r="K1665" s="486"/>
    </row>
    <row r="1666" spans="1:11" ht="25.5" customHeight="1" x14ac:dyDescent="0.2">
      <c r="A1666" s="383" t="s">
        <v>1285</v>
      </c>
      <c r="B1666" s="382" t="s">
        <v>308</v>
      </c>
      <c r="C1666" s="617" t="s">
        <v>13205</v>
      </c>
      <c r="D1666" s="619">
        <v>3</v>
      </c>
      <c r="E1666" s="485">
        <v>2</v>
      </c>
      <c r="F1666" s="196" t="s">
        <v>108</v>
      </c>
      <c r="G1666" s="382" t="s">
        <v>109</v>
      </c>
      <c r="H1666" s="461">
        <v>164.2</v>
      </c>
      <c r="I1666" s="618">
        <v>1994</v>
      </c>
      <c r="J1666" s="461">
        <f>301100/333.2*154.2</f>
        <v>139344.59783913565</v>
      </c>
      <c r="K1666" s="486">
        <v>2221374.77</v>
      </c>
    </row>
    <row r="1667" spans="1:11" ht="25.5" customHeight="1" x14ac:dyDescent="0.2">
      <c r="A1667" s="386" t="s">
        <v>1286</v>
      </c>
      <c r="B1667" s="382" t="s">
        <v>308</v>
      </c>
      <c r="C1667" s="617" t="s">
        <v>13206</v>
      </c>
      <c r="D1667" s="619">
        <v>11</v>
      </c>
      <c r="E1667" s="485">
        <v>2</v>
      </c>
      <c r="F1667" s="196" t="s">
        <v>314</v>
      </c>
      <c r="G1667" s="382"/>
      <c r="H1667" s="461">
        <v>72.7</v>
      </c>
      <c r="I1667" s="618">
        <v>1986</v>
      </c>
      <c r="J1667" s="461">
        <v>366200</v>
      </c>
      <c r="K1667" s="486">
        <v>753403.91</v>
      </c>
    </row>
    <row r="1668" spans="1:11" ht="25.5" customHeight="1" x14ac:dyDescent="0.2">
      <c r="A1668" s="386" t="s">
        <v>1287</v>
      </c>
      <c r="B1668" s="382" t="s">
        <v>308</v>
      </c>
      <c r="C1668" s="617" t="s">
        <v>13207</v>
      </c>
      <c r="D1668" s="619">
        <v>13</v>
      </c>
      <c r="E1668" s="485">
        <v>2</v>
      </c>
      <c r="F1668" s="196" t="s">
        <v>315</v>
      </c>
      <c r="G1668" s="382"/>
      <c r="H1668" s="461">
        <v>63.9</v>
      </c>
      <c r="I1668" s="618">
        <v>1987</v>
      </c>
      <c r="J1668" s="461">
        <v>343300</v>
      </c>
      <c r="K1668" s="486">
        <v>662207.84</v>
      </c>
    </row>
    <row r="1669" spans="1:11" ht="18" customHeight="1" x14ac:dyDescent="0.2">
      <c r="A1669" s="386" t="s">
        <v>1288</v>
      </c>
      <c r="B1669" s="382"/>
      <c r="C1669" s="893" t="s">
        <v>13208</v>
      </c>
      <c r="D1669" s="898">
        <v>17</v>
      </c>
      <c r="E1669" s="485"/>
      <c r="F1669" s="196"/>
      <c r="G1669" s="382"/>
      <c r="H1669" s="461">
        <f>128-128</f>
        <v>0</v>
      </c>
      <c r="I1669" s="891">
        <v>1988</v>
      </c>
      <c r="J1669" s="461">
        <f>328800-328800</f>
        <v>0</v>
      </c>
      <c r="K1669" s="486"/>
    </row>
    <row r="1670" spans="1:11" ht="18" customHeight="1" x14ac:dyDescent="0.2">
      <c r="A1670" s="382" t="s">
        <v>1863</v>
      </c>
      <c r="B1670" s="382" t="s">
        <v>308</v>
      </c>
      <c r="C1670" s="893"/>
      <c r="D1670" s="898"/>
      <c r="E1670" s="485">
        <v>1</v>
      </c>
      <c r="F1670" s="196" t="s">
        <v>5038</v>
      </c>
      <c r="G1670" s="382"/>
      <c r="H1670" s="461">
        <v>62.9</v>
      </c>
      <c r="I1670" s="891"/>
      <c r="J1670" s="461">
        <v>161574.375</v>
      </c>
      <c r="K1670" s="486">
        <v>651844.65</v>
      </c>
    </row>
    <row r="1671" spans="1:11" ht="18.75" customHeight="1" x14ac:dyDescent="0.2">
      <c r="A1671" s="382" t="s">
        <v>1864</v>
      </c>
      <c r="B1671" s="382" t="s">
        <v>308</v>
      </c>
      <c r="C1671" s="893"/>
      <c r="D1671" s="898"/>
      <c r="E1671" s="485">
        <v>2</v>
      </c>
      <c r="F1671" s="196" t="s">
        <v>316</v>
      </c>
      <c r="G1671" s="382"/>
      <c r="H1671" s="461">
        <v>65.099999999999994</v>
      </c>
      <c r="I1671" s="891"/>
      <c r="J1671" s="461">
        <v>167225.62499999997</v>
      </c>
      <c r="K1671" s="486">
        <v>674643.67</v>
      </c>
    </row>
    <row r="1672" spans="1:11" ht="17.25" customHeight="1" x14ac:dyDescent="0.2">
      <c r="A1672" s="383" t="s">
        <v>1289</v>
      </c>
      <c r="B1672" s="382"/>
      <c r="C1672" s="893" t="s">
        <v>13209</v>
      </c>
      <c r="D1672" s="880">
        <v>19</v>
      </c>
      <c r="E1672" s="485"/>
      <c r="F1672" s="196"/>
      <c r="G1672" s="382"/>
      <c r="H1672" s="461">
        <f>124.6-124.6</f>
        <v>0</v>
      </c>
      <c r="I1672" s="891">
        <v>1991</v>
      </c>
      <c r="J1672" s="461">
        <f>342600-342600</f>
        <v>0</v>
      </c>
      <c r="K1672" s="486"/>
    </row>
    <row r="1673" spans="1:11" ht="19.5" customHeight="1" x14ac:dyDescent="0.2">
      <c r="A1673" s="384" t="s">
        <v>1865</v>
      </c>
      <c r="B1673" s="382" t="s">
        <v>308</v>
      </c>
      <c r="C1673" s="893"/>
      <c r="D1673" s="882"/>
      <c r="E1673" s="485">
        <v>2</v>
      </c>
      <c r="F1673" s="196" t="s">
        <v>317</v>
      </c>
      <c r="G1673" s="382"/>
      <c r="H1673" s="461">
        <v>61.7</v>
      </c>
      <c r="I1673" s="891"/>
      <c r="J1673" s="461">
        <v>169650.24077046601</v>
      </c>
      <c r="K1673" s="486">
        <v>639408.81999999995</v>
      </c>
    </row>
    <row r="1674" spans="1:11" ht="25.5" customHeight="1" x14ac:dyDescent="0.2">
      <c r="A1674" s="466" t="s">
        <v>1290</v>
      </c>
      <c r="B1674" s="481"/>
      <c r="C1674" s="877" t="s">
        <v>13210</v>
      </c>
      <c r="D1674" s="899">
        <v>25</v>
      </c>
      <c r="E1674" s="485"/>
      <c r="F1674" s="2"/>
      <c r="G1674" s="482" t="s">
        <v>10536</v>
      </c>
      <c r="H1674" s="546">
        <f>195.6-195.6</f>
        <v>0</v>
      </c>
      <c r="I1674" s="901">
        <v>1977</v>
      </c>
      <c r="J1674" s="546">
        <f>1360216-1360216</f>
        <v>0</v>
      </c>
      <c r="K1674" s="487"/>
    </row>
    <row r="1675" spans="1:11" ht="18" customHeight="1" x14ac:dyDescent="0.2">
      <c r="A1675" s="384" t="s">
        <v>10532</v>
      </c>
      <c r="B1675" s="481" t="s">
        <v>308</v>
      </c>
      <c r="C1675" s="878"/>
      <c r="D1675" s="900"/>
      <c r="E1675" s="485">
        <v>1</v>
      </c>
      <c r="F1675" s="2" t="s">
        <v>11969</v>
      </c>
      <c r="G1675" s="482" t="s">
        <v>143</v>
      </c>
      <c r="H1675" s="546">
        <v>35.1</v>
      </c>
      <c r="I1675" s="902"/>
      <c r="J1675" s="546">
        <f>1360216/195*H1675</f>
        <v>244838.88</v>
      </c>
      <c r="K1675" s="487">
        <v>388231.62</v>
      </c>
    </row>
    <row r="1676" spans="1:11" ht="20.25" customHeight="1" x14ac:dyDescent="0.2">
      <c r="A1676" s="384" t="s">
        <v>10533</v>
      </c>
      <c r="B1676" s="481" t="s">
        <v>308</v>
      </c>
      <c r="C1676" s="878"/>
      <c r="D1676" s="900"/>
      <c r="E1676" s="485">
        <v>2</v>
      </c>
      <c r="F1676" s="2" t="s">
        <v>11970</v>
      </c>
      <c r="G1676" s="482" t="s">
        <v>143</v>
      </c>
      <c r="H1676" s="546">
        <v>36.200000000000003</v>
      </c>
      <c r="I1676" s="902"/>
      <c r="J1676" s="546">
        <f>1360216/195*H1676</f>
        <v>252511.89333333334</v>
      </c>
      <c r="K1676" s="487">
        <v>400398.43</v>
      </c>
    </row>
    <row r="1677" spans="1:11" ht="12.75" customHeight="1" x14ac:dyDescent="0.2">
      <c r="A1677" s="384" t="s">
        <v>10534</v>
      </c>
      <c r="B1677" s="481" t="s">
        <v>308</v>
      </c>
      <c r="C1677" s="878"/>
      <c r="D1677" s="900"/>
      <c r="E1677" s="485">
        <v>3</v>
      </c>
      <c r="F1677" s="2" t="s">
        <v>11971</v>
      </c>
      <c r="G1677" s="482" t="s">
        <v>143</v>
      </c>
      <c r="H1677" s="546">
        <v>41.2</v>
      </c>
      <c r="I1677" s="902"/>
      <c r="J1677" s="546">
        <f>1360216/195*H1677</f>
        <v>287389.22666666668</v>
      </c>
      <c r="K1677" s="487">
        <v>442979.52</v>
      </c>
    </row>
    <row r="1678" spans="1:11" ht="16.5" customHeight="1" x14ac:dyDescent="0.2">
      <c r="A1678" s="384" t="s">
        <v>10535</v>
      </c>
      <c r="B1678" s="481" t="s">
        <v>308</v>
      </c>
      <c r="C1678" s="878"/>
      <c r="D1678" s="900"/>
      <c r="E1678" s="485">
        <v>4</v>
      </c>
      <c r="F1678" s="2" t="s">
        <v>11972</v>
      </c>
      <c r="G1678" s="482" t="s">
        <v>143</v>
      </c>
      <c r="H1678" s="546">
        <v>43.6</v>
      </c>
      <c r="I1678" s="902"/>
      <c r="J1678" s="546">
        <f>1360216/195*H1678</f>
        <v>304130.34666666668</v>
      </c>
      <c r="K1678" s="487">
        <v>468784.15</v>
      </c>
    </row>
    <row r="1679" spans="1:11" ht="25.5" customHeight="1" x14ac:dyDescent="0.2">
      <c r="A1679" s="383" t="s">
        <v>1291</v>
      </c>
      <c r="B1679" s="481"/>
      <c r="C1679" s="877" t="s">
        <v>13211</v>
      </c>
      <c r="D1679" s="880">
        <v>5</v>
      </c>
      <c r="E1679" s="472" t="s">
        <v>6282</v>
      </c>
      <c r="F1679" s="40" t="s">
        <v>2726</v>
      </c>
      <c r="G1679" s="467" t="s">
        <v>2727</v>
      </c>
      <c r="H1679" s="500">
        <f>719-719</f>
        <v>0</v>
      </c>
      <c r="I1679" s="903">
        <v>1973</v>
      </c>
      <c r="J1679" s="500">
        <f>614508-614508</f>
        <v>0</v>
      </c>
      <c r="K1679" s="512"/>
    </row>
    <row r="1680" spans="1:11" ht="27.75" customHeight="1" x14ac:dyDescent="0.2">
      <c r="A1680" s="384" t="s">
        <v>2728</v>
      </c>
      <c r="B1680" s="481" t="s">
        <v>308</v>
      </c>
      <c r="C1680" s="878"/>
      <c r="D1680" s="881"/>
      <c r="E1680" s="471">
        <v>1</v>
      </c>
      <c r="F1680" s="387"/>
      <c r="G1680" s="547"/>
      <c r="H1680" s="548">
        <v>40.299999999999997</v>
      </c>
      <c r="I1680" s="904"/>
      <c r="J1680" s="500">
        <f>614500/719*H1680</f>
        <v>34442.767732962442</v>
      </c>
      <c r="K1680" s="512"/>
    </row>
    <row r="1681" spans="1:11" ht="25.5" customHeight="1" x14ac:dyDescent="0.2">
      <c r="A1681" s="384" t="s">
        <v>2729</v>
      </c>
      <c r="B1681" s="481" t="s">
        <v>308</v>
      </c>
      <c r="C1681" s="878"/>
      <c r="D1681" s="881"/>
      <c r="E1681" s="471">
        <v>4</v>
      </c>
      <c r="F1681" s="489" t="s">
        <v>11973</v>
      </c>
      <c r="G1681" s="549" t="s">
        <v>143</v>
      </c>
      <c r="H1681" s="548">
        <v>44.5</v>
      </c>
      <c r="I1681" s="904"/>
      <c r="J1681" s="500">
        <f>614500/719*H1681</f>
        <v>38032.336578581358</v>
      </c>
      <c r="K1681" s="487">
        <v>571375.35</v>
      </c>
    </row>
    <row r="1682" spans="1:11" ht="12.75" customHeight="1" x14ac:dyDescent="0.2">
      <c r="A1682" s="453" t="s">
        <v>1866</v>
      </c>
      <c r="B1682" s="382"/>
      <c r="C1682" s="877" t="s">
        <v>13212</v>
      </c>
      <c r="D1682" s="880">
        <v>2</v>
      </c>
      <c r="E1682" s="472"/>
      <c r="F1682" s="196"/>
      <c r="G1682" s="382"/>
      <c r="H1682" s="461">
        <f>3132.3-3132.3</f>
        <v>0</v>
      </c>
      <c r="I1682" s="883">
        <v>2004</v>
      </c>
      <c r="J1682" s="461">
        <f>69234200-69234200</f>
        <v>0</v>
      </c>
      <c r="K1682" s="486"/>
    </row>
    <row r="1683" spans="1:11" ht="12" customHeight="1" x14ac:dyDescent="0.2">
      <c r="A1683" s="454" t="s">
        <v>1867</v>
      </c>
      <c r="B1683" s="382" t="s">
        <v>308</v>
      </c>
      <c r="C1683" s="878"/>
      <c r="D1683" s="881"/>
      <c r="E1683" s="468">
        <v>40</v>
      </c>
      <c r="F1683" s="469" t="s">
        <v>13213</v>
      </c>
      <c r="G1683" s="469" t="s">
        <v>133</v>
      </c>
      <c r="H1683" s="528">
        <v>56.4</v>
      </c>
      <c r="I1683" s="884"/>
      <c r="J1683" s="461">
        <f>69234200/3132.3*H1683</f>
        <v>1246626.7215783927</v>
      </c>
      <c r="K1683" s="486"/>
    </row>
    <row r="1684" spans="1:11" ht="16.5" customHeight="1" x14ac:dyDescent="0.2">
      <c r="A1684" s="454" t="s">
        <v>1868</v>
      </c>
      <c r="B1684" s="382" t="s">
        <v>308</v>
      </c>
      <c r="C1684" s="878"/>
      <c r="D1684" s="881"/>
      <c r="E1684" s="468">
        <v>47</v>
      </c>
      <c r="F1684" s="469" t="s">
        <v>13214</v>
      </c>
      <c r="G1684" s="469" t="s">
        <v>543</v>
      </c>
      <c r="H1684" s="528">
        <v>39.9</v>
      </c>
      <c r="I1684" s="884"/>
      <c r="J1684" s="461">
        <f>69234200/3132.3*H1684</f>
        <v>881922.09558471397</v>
      </c>
      <c r="K1684" s="486"/>
    </row>
    <row r="1685" spans="1:11" ht="24" customHeight="1" x14ac:dyDescent="0.2">
      <c r="A1685" s="384" t="s">
        <v>10659</v>
      </c>
      <c r="B1685" s="481" t="s">
        <v>5459</v>
      </c>
      <c r="C1685" s="878"/>
      <c r="D1685" s="881"/>
      <c r="E1685" s="468">
        <v>22</v>
      </c>
      <c r="F1685" s="2" t="s">
        <v>11641</v>
      </c>
      <c r="G1685" s="550" t="s">
        <v>13215</v>
      </c>
      <c r="H1685" s="551">
        <v>39.9</v>
      </c>
      <c r="I1685" s="884"/>
      <c r="J1685" s="484">
        <v>903739.86</v>
      </c>
      <c r="K1685" s="494">
        <v>471195.46</v>
      </c>
    </row>
    <row r="1686" spans="1:11" ht="12.75" customHeight="1" x14ac:dyDescent="0.2">
      <c r="A1686" s="382" t="s">
        <v>12691</v>
      </c>
      <c r="B1686" s="382" t="s">
        <v>308</v>
      </c>
      <c r="C1686" s="878"/>
      <c r="D1686" s="881"/>
      <c r="E1686" s="468">
        <v>23</v>
      </c>
      <c r="F1686" s="483" t="s">
        <v>12692</v>
      </c>
      <c r="G1686" s="550" t="s">
        <v>143</v>
      </c>
      <c r="H1686" s="551">
        <v>39</v>
      </c>
      <c r="I1686" s="884"/>
      <c r="J1686" s="484">
        <v>718000</v>
      </c>
      <c r="K1686" s="494">
        <v>363027.6</v>
      </c>
    </row>
    <row r="1687" spans="1:11" ht="12.75" customHeight="1" x14ac:dyDescent="0.2">
      <c r="A1687" s="768" t="s">
        <v>14843</v>
      </c>
      <c r="B1687" s="768" t="s">
        <v>308</v>
      </c>
      <c r="C1687" s="878"/>
      <c r="D1687" s="881"/>
      <c r="E1687" s="776">
        <v>2</v>
      </c>
      <c r="F1687" s="845" t="s">
        <v>14845</v>
      </c>
      <c r="G1687" s="846" t="s">
        <v>143</v>
      </c>
      <c r="H1687" s="779">
        <v>39.6</v>
      </c>
      <c r="I1687" s="884"/>
      <c r="J1687" s="772">
        <v>1009311.6</v>
      </c>
      <c r="K1687" s="763">
        <v>471080.02</v>
      </c>
    </row>
    <row r="1688" spans="1:11" ht="12.75" customHeight="1" x14ac:dyDescent="0.2">
      <c r="A1688" s="768" t="s">
        <v>14844</v>
      </c>
      <c r="B1688" s="768" t="s">
        <v>308</v>
      </c>
      <c r="C1688" s="879"/>
      <c r="D1688" s="882"/>
      <c r="E1688" s="776">
        <v>38</v>
      </c>
      <c r="F1688" s="845" t="s">
        <v>14846</v>
      </c>
      <c r="G1688" s="846" t="s">
        <v>133</v>
      </c>
      <c r="H1688" s="779">
        <v>41.2</v>
      </c>
      <c r="I1688" s="885"/>
      <c r="J1688" s="461">
        <v>1009311.6</v>
      </c>
      <c r="K1688" s="494">
        <v>383506.08</v>
      </c>
    </row>
    <row r="1689" spans="1:11" ht="44.25" customHeight="1" x14ac:dyDescent="0.2">
      <c r="A1689" s="383" t="s">
        <v>1292</v>
      </c>
      <c r="B1689" s="382" t="s">
        <v>308</v>
      </c>
      <c r="C1689" s="617" t="s">
        <v>13216</v>
      </c>
      <c r="D1689" s="619" t="s">
        <v>356</v>
      </c>
      <c r="E1689" s="472">
        <v>4</v>
      </c>
      <c r="F1689" s="196"/>
      <c r="G1689" s="382"/>
      <c r="H1689" s="461">
        <f>428.5-385.2</f>
        <v>43.300000000000011</v>
      </c>
      <c r="I1689" s="836" t="s">
        <v>2735</v>
      </c>
      <c r="J1689" s="461">
        <f>1644000/428.5*43.3</f>
        <v>166126.48774795799</v>
      </c>
      <c r="K1689" s="494"/>
    </row>
    <row r="1690" spans="1:11" ht="17.25" customHeight="1" x14ac:dyDescent="0.2">
      <c r="A1690" s="383" t="s">
        <v>1293</v>
      </c>
      <c r="B1690" s="382"/>
      <c r="C1690" s="877" t="s">
        <v>13217</v>
      </c>
      <c r="D1690" s="880">
        <v>18</v>
      </c>
      <c r="E1690" s="552"/>
      <c r="F1690" s="196"/>
      <c r="G1690" s="382"/>
      <c r="H1690" s="461">
        <f>2064.2-2064.2</f>
        <v>0</v>
      </c>
      <c r="I1690" s="883">
        <v>1979</v>
      </c>
      <c r="J1690" s="461">
        <f>2040300-2040300</f>
        <v>0</v>
      </c>
      <c r="K1690" s="486"/>
    </row>
    <row r="1691" spans="1:11" ht="15.75" customHeight="1" x14ac:dyDescent="0.2">
      <c r="A1691" s="384" t="s">
        <v>2733</v>
      </c>
      <c r="B1691" s="382" t="s">
        <v>308</v>
      </c>
      <c r="C1691" s="878"/>
      <c r="D1691" s="881"/>
      <c r="E1691" s="472">
        <v>35</v>
      </c>
      <c r="F1691" s="196"/>
      <c r="G1691" s="382"/>
      <c r="H1691" s="461">
        <v>16.7</v>
      </c>
      <c r="I1691" s="884"/>
      <c r="J1691" s="461">
        <v>16506.84</v>
      </c>
      <c r="K1691" s="486"/>
    </row>
    <row r="1692" spans="1:11" ht="25.5" customHeight="1" x14ac:dyDescent="0.2">
      <c r="A1692" s="384" t="s">
        <v>2734</v>
      </c>
      <c r="B1692" s="382" t="s">
        <v>308</v>
      </c>
      <c r="C1692" s="878"/>
      <c r="D1692" s="881"/>
      <c r="E1692" s="472">
        <v>40</v>
      </c>
      <c r="F1692" s="196"/>
      <c r="G1692" s="382"/>
      <c r="H1692" s="461">
        <v>35</v>
      </c>
      <c r="I1692" s="884"/>
      <c r="J1692" s="461">
        <v>34595.17</v>
      </c>
      <c r="K1692" s="486"/>
    </row>
    <row r="1693" spans="1:11" ht="14.25" customHeight="1" x14ac:dyDescent="0.2">
      <c r="A1693" s="382" t="s">
        <v>12695</v>
      </c>
      <c r="B1693" s="382" t="s">
        <v>308</v>
      </c>
      <c r="C1693" s="879"/>
      <c r="D1693" s="882"/>
      <c r="E1693" s="472">
        <v>41</v>
      </c>
      <c r="F1693" s="223" t="s">
        <v>12696</v>
      </c>
      <c r="G1693" s="481" t="s">
        <v>134</v>
      </c>
      <c r="H1693" s="484">
        <v>33.5</v>
      </c>
      <c r="I1693" s="885"/>
      <c r="J1693" s="484">
        <v>828381.92</v>
      </c>
      <c r="K1693" s="494">
        <v>474528.17</v>
      </c>
    </row>
    <row r="1694" spans="1:11" ht="14.25" customHeight="1" x14ac:dyDescent="0.2">
      <c r="A1694" s="383" t="s">
        <v>1869</v>
      </c>
      <c r="B1694" s="382"/>
      <c r="C1694" s="893" t="s">
        <v>13218</v>
      </c>
      <c r="D1694" s="898">
        <v>4</v>
      </c>
      <c r="E1694" s="472"/>
      <c r="F1694" s="196"/>
      <c r="G1694" s="382"/>
      <c r="H1694" s="461">
        <f>541-541</f>
        <v>0</v>
      </c>
      <c r="I1694" s="891">
        <v>1996</v>
      </c>
      <c r="J1694" s="461">
        <f>400813-400813</f>
        <v>0</v>
      </c>
      <c r="K1694" s="486"/>
    </row>
    <row r="1695" spans="1:11" ht="14.25" customHeight="1" x14ac:dyDescent="0.2">
      <c r="A1695" s="384" t="s">
        <v>1870</v>
      </c>
      <c r="B1695" s="382" t="s">
        <v>308</v>
      </c>
      <c r="C1695" s="893"/>
      <c r="D1695" s="898"/>
      <c r="E1695" s="472" t="s">
        <v>448</v>
      </c>
      <c r="F1695" s="196"/>
      <c r="G1695" s="382"/>
      <c r="H1695" s="461">
        <v>26.35</v>
      </c>
      <c r="I1695" s="891"/>
      <c r="J1695" s="461">
        <v>26094.99</v>
      </c>
      <c r="K1695" s="486"/>
    </row>
    <row r="1696" spans="1:11" ht="14.25" customHeight="1" x14ac:dyDescent="0.2">
      <c r="A1696" s="384" t="s">
        <v>2715</v>
      </c>
      <c r="B1696" s="382" t="s">
        <v>308</v>
      </c>
      <c r="C1696" s="893"/>
      <c r="D1696" s="898"/>
      <c r="E1696" s="472">
        <v>4</v>
      </c>
      <c r="F1696" s="196" t="s">
        <v>2716</v>
      </c>
      <c r="G1696" s="382"/>
      <c r="H1696" s="461">
        <v>55.6</v>
      </c>
      <c r="I1696" s="891"/>
      <c r="J1696" s="461">
        <f>740.87*H1696</f>
        <v>41192.372000000003</v>
      </c>
      <c r="K1696" s="486">
        <v>711190.16</v>
      </c>
    </row>
    <row r="1697" spans="1:11" ht="14.25" customHeight="1" x14ac:dyDescent="0.2">
      <c r="A1697" s="383" t="s">
        <v>1871</v>
      </c>
      <c r="B1697" s="382"/>
      <c r="C1697" s="877" t="s">
        <v>13219</v>
      </c>
      <c r="D1697" s="880">
        <v>8</v>
      </c>
      <c r="E1697" s="472"/>
      <c r="F1697" s="196"/>
      <c r="G1697" s="382" t="s">
        <v>2808</v>
      </c>
      <c r="H1697" s="461">
        <f>1911.6-1911.6</f>
        <v>0</v>
      </c>
      <c r="I1697" s="883">
        <v>1964</v>
      </c>
      <c r="J1697" s="461">
        <f>163.5*1000-163500</f>
        <v>0</v>
      </c>
      <c r="K1697" s="486">
        <v>35301640.579999998</v>
      </c>
    </row>
    <row r="1698" spans="1:11" ht="14.25" customHeight="1" x14ac:dyDescent="0.2">
      <c r="A1698" s="384" t="s">
        <v>3165</v>
      </c>
      <c r="B1698" s="481" t="s">
        <v>308</v>
      </c>
      <c r="C1698" s="878"/>
      <c r="D1698" s="881"/>
      <c r="E1698" s="468">
        <v>18</v>
      </c>
      <c r="F1698" s="385"/>
      <c r="G1698" s="385"/>
      <c r="H1698" s="528">
        <v>18</v>
      </c>
      <c r="I1698" s="884"/>
      <c r="J1698" s="461">
        <f t="shared" ref="J1698:J1741" si="13">163500/1911.6*H1698</f>
        <v>1539.5480225988701</v>
      </c>
      <c r="K1698" s="486"/>
    </row>
    <row r="1699" spans="1:11" ht="14.25" customHeight="1" x14ac:dyDescent="0.2">
      <c r="A1699" s="384" t="s">
        <v>3166</v>
      </c>
      <c r="B1699" s="481" t="s">
        <v>308</v>
      </c>
      <c r="C1699" s="878"/>
      <c r="D1699" s="881"/>
      <c r="E1699" s="468" t="s">
        <v>8806</v>
      </c>
      <c r="F1699" s="385"/>
      <c r="G1699" s="385"/>
      <c r="H1699" s="528">
        <v>18</v>
      </c>
      <c r="I1699" s="884"/>
      <c r="J1699" s="461">
        <f t="shared" si="13"/>
        <v>1539.5480225988701</v>
      </c>
      <c r="K1699" s="486"/>
    </row>
    <row r="1700" spans="1:11" ht="14.25" customHeight="1" x14ac:dyDescent="0.2">
      <c r="A1700" s="384" t="s">
        <v>3167</v>
      </c>
      <c r="B1700" s="481" t="s">
        <v>308</v>
      </c>
      <c r="C1700" s="878"/>
      <c r="D1700" s="881"/>
      <c r="E1700" s="468" t="s">
        <v>6257</v>
      </c>
      <c r="F1700" s="385"/>
      <c r="G1700" s="385"/>
      <c r="H1700" s="528">
        <v>18</v>
      </c>
      <c r="I1700" s="884"/>
      <c r="J1700" s="461">
        <f t="shared" si="13"/>
        <v>1539.5480225988701</v>
      </c>
      <c r="K1700" s="486"/>
    </row>
    <row r="1701" spans="1:11" ht="14.25" customHeight="1" x14ac:dyDescent="0.2">
      <c r="A1701" s="384" t="s">
        <v>3168</v>
      </c>
      <c r="B1701" s="481"/>
      <c r="C1701" s="878"/>
      <c r="D1701" s="881"/>
      <c r="E1701" s="468" t="s">
        <v>436</v>
      </c>
      <c r="F1701" s="385"/>
      <c r="G1701" s="385"/>
      <c r="H1701" s="528">
        <v>1</v>
      </c>
      <c r="I1701" s="884"/>
      <c r="J1701" s="461">
        <f t="shared" si="13"/>
        <v>85.530445699937232</v>
      </c>
      <c r="K1701" s="486"/>
    </row>
    <row r="1702" spans="1:11" ht="14.25" customHeight="1" x14ac:dyDescent="0.2">
      <c r="A1702" s="384" t="s">
        <v>3169</v>
      </c>
      <c r="B1702" s="481" t="s">
        <v>308</v>
      </c>
      <c r="C1702" s="878"/>
      <c r="D1702" s="881"/>
      <c r="E1702" s="468" t="s">
        <v>6256</v>
      </c>
      <c r="F1702" s="385"/>
      <c r="G1702" s="385"/>
      <c r="H1702" s="528"/>
      <c r="I1702" s="884"/>
      <c r="J1702" s="461">
        <f t="shared" si="13"/>
        <v>0</v>
      </c>
      <c r="K1702" s="486"/>
    </row>
    <row r="1703" spans="1:11" ht="14.25" customHeight="1" x14ac:dyDescent="0.2">
      <c r="A1703" s="384" t="s">
        <v>3170</v>
      </c>
      <c r="B1703" s="481" t="s">
        <v>308</v>
      </c>
      <c r="C1703" s="878"/>
      <c r="D1703" s="881"/>
      <c r="E1703" s="468" t="s">
        <v>8807</v>
      </c>
      <c r="F1703" s="385"/>
      <c r="G1703" s="385"/>
      <c r="H1703" s="528">
        <v>18</v>
      </c>
      <c r="I1703" s="884"/>
      <c r="J1703" s="461">
        <f t="shared" si="13"/>
        <v>1539.5480225988701</v>
      </c>
      <c r="K1703" s="486"/>
    </row>
    <row r="1704" spans="1:11" ht="14.25" customHeight="1" x14ac:dyDescent="0.2">
      <c r="A1704" s="384" t="s">
        <v>3171</v>
      </c>
      <c r="B1704" s="481" t="s">
        <v>308</v>
      </c>
      <c r="C1704" s="878"/>
      <c r="D1704" s="881"/>
      <c r="E1704" s="468" t="s">
        <v>6233</v>
      </c>
      <c r="F1704" s="385"/>
      <c r="G1704" s="385"/>
      <c r="H1704" s="528">
        <v>18</v>
      </c>
      <c r="I1704" s="884"/>
      <c r="J1704" s="461">
        <f t="shared" si="13"/>
        <v>1539.5480225988701</v>
      </c>
      <c r="K1704" s="486"/>
    </row>
    <row r="1705" spans="1:11" ht="14.25" customHeight="1" x14ac:dyDescent="0.2">
      <c r="A1705" s="384" t="s">
        <v>3172</v>
      </c>
      <c r="B1705" s="481" t="s">
        <v>308</v>
      </c>
      <c r="C1705" s="878"/>
      <c r="D1705" s="881"/>
      <c r="E1705" s="468" t="s">
        <v>7883</v>
      </c>
      <c r="F1705" s="385"/>
      <c r="G1705" s="385"/>
      <c r="H1705" s="528">
        <v>18</v>
      </c>
      <c r="I1705" s="884"/>
      <c r="J1705" s="461">
        <f t="shared" si="13"/>
        <v>1539.5480225988701</v>
      </c>
      <c r="K1705" s="486"/>
    </row>
    <row r="1706" spans="1:11" ht="14.25" customHeight="1" x14ac:dyDescent="0.2">
      <c r="A1706" s="384" t="s">
        <v>3173</v>
      </c>
      <c r="B1706" s="481" t="s">
        <v>308</v>
      </c>
      <c r="C1706" s="878"/>
      <c r="D1706" s="881"/>
      <c r="E1706" s="468" t="s">
        <v>8825</v>
      </c>
      <c r="F1706" s="196"/>
      <c r="G1706" s="382"/>
      <c r="H1706" s="528">
        <v>18</v>
      </c>
      <c r="I1706" s="884"/>
      <c r="J1706" s="461">
        <f t="shared" si="13"/>
        <v>1539.5480225988701</v>
      </c>
      <c r="K1706" s="486"/>
    </row>
    <row r="1707" spans="1:11" ht="14.25" customHeight="1" x14ac:dyDescent="0.2">
      <c r="A1707" s="384" t="s">
        <v>3174</v>
      </c>
      <c r="B1707" s="481"/>
      <c r="C1707" s="878"/>
      <c r="D1707" s="881"/>
      <c r="E1707" s="468" t="s">
        <v>462</v>
      </c>
      <c r="F1707" s="196"/>
      <c r="G1707" s="382"/>
      <c r="H1707" s="528"/>
      <c r="I1707" s="884"/>
      <c r="J1707" s="461">
        <f t="shared" si="13"/>
        <v>0</v>
      </c>
      <c r="K1707" s="486"/>
    </row>
    <row r="1708" spans="1:11" ht="14.25" customHeight="1" x14ac:dyDescent="0.2">
      <c r="A1708" s="384" t="s">
        <v>3175</v>
      </c>
      <c r="B1708" s="481"/>
      <c r="C1708" s="878"/>
      <c r="D1708" s="881"/>
      <c r="E1708" s="468" t="s">
        <v>2737</v>
      </c>
      <c r="F1708" s="196"/>
      <c r="G1708" s="382"/>
      <c r="H1708" s="528">
        <v>1</v>
      </c>
      <c r="I1708" s="884"/>
      <c r="J1708" s="461">
        <f t="shared" si="13"/>
        <v>85.530445699937232</v>
      </c>
      <c r="K1708" s="486"/>
    </row>
    <row r="1709" spans="1:11" ht="14.25" customHeight="1" x14ac:dyDescent="0.2">
      <c r="A1709" s="384" t="s">
        <v>3176</v>
      </c>
      <c r="B1709" s="481"/>
      <c r="C1709" s="878"/>
      <c r="D1709" s="881"/>
      <c r="E1709" s="468" t="s">
        <v>2738</v>
      </c>
      <c r="F1709" s="196"/>
      <c r="G1709" s="382"/>
      <c r="H1709" s="528">
        <v>1</v>
      </c>
      <c r="I1709" s="884"/>
      <c r="J1709" s="461">
        <f t="shared" si="13"/>
        <v>85.530445699937232</v>
      </c>
      <c r="K1709" s="486"/>
    </row>
    <row r="1710" spans="1:11" ht="14.25" customHeight="1" x14ac:dyDescent="0.2">
      <c r="A1710" s="384" t="s">
        <v>3177</v>
      </c>
      <c r="B1710" s="481"/>
      <c r="C1710" s="878"/>
      <c r="D1710" s="881"/>
      <c r="E1710" s="468">
        <v>35</v>
      </c>
      <c r="F1710" s="196"/>
      <c r="G1710" s="382"/>
      <c r="H1710" s="528">
        <v>9</v>
      </c>
      <c r="I1710" s="884"/>
      <c r="J1710" s="461">
        <f t="shared" si="13"/>
        <v>769.77401129943507</v>
      </c>
      <c r="K1710" s="486"/>
    </row>
    <row r="1711" spans="1:11" ht="14.25" customHeight="1" x14ac:dyDescent="0.2">
      <c r="A1711" s="384" t="s">
        <v>3178</v>
      </c>
      <c r="B1711" s="481"/>
      <c r="C1711" s="878"/>
      <c r="D1711" s="881"/>
      <c r="E1711" s="468" t="s">
        <v>433</v>
      </c>
      <c r="F1711" s="196"/>
      <c r="G1711" s="382"/>
      <c r="H1711" s="528">
        <v>9</v>
      </c>
      <c r="I1711" s="884"/>
      <c r="J1711" s="461">
        <f t="shared" si="13"/>
        <v>769.77401129943507</v>
      </c>
      <c r="K1711" s="486"/>
    </row>
    <row r="1712" spans="1:11" ht="14.25" customHeight="1" x14ac:dyDescent="0.2">
      <c r="A1712" s="384" t="s">
        <v>3179</v>
      </c>
      <c r="B1712" s="481"/>
      <c r="C1712" s="878"/>
      <c r="D1712" s="881"/>
      <c r="E1712" s="468" t="s">
        <v>8824</v>
      </c>
      <c r="F1712" s="196"/>
      <c r="G1712" s="382"/>
      <c r="H1712" s="528">
        <v>15.8</v>
      </c>
      <c r="I1712" s="884"/>
      <c r="J1712" s="461">
        <f t="shared" si="13"/>
        <v>1351.3810420590082</v>
      </c>
      <c r="K1712" s="486">
        <v>279139.86</v>
      </c>
    </row>
    <row r="1713" spans="1:11" ht="14.25" customHeight="1" x14ac:dyDescent="0.2">
      <c r="A1713" s="384" t="s">
        <v>3180</v>
      </c>
      <c r="B1713" s="481"/>
      <c r="C1713" s="878"/>
      <c r="D1713" s="881"/>
      <c r="E1713" s="468" t="s">
        <v>437</v>
      </c>
      <c r="F1713" s="196"/>
      <c r="G1713" s="382"/>
      <c r="H1713" s="528">
        <v>18</v>
      </c>
      <c r="I1713" s="884"/>
      <c r="J1713" s="461">
        <f t="shared" si="13"/>
        <v>1539.5480225988701</v>
      </c>
      <c r="K1713" s="486"/>
    </row>
    <row r="1714" spans="1:11" ht="14.25" customHeight="1" x14ac:dyDescent="0.2">
      <c r="A1714" s="384" t="s">
        <v>3181</v>
      </c>
      <c r="B1714" s="481" t="s">
        <v>312</v>
      </c>
      <c r="C1714" s="878"/>
      <c r="D1714" s="881"/>
      <c r="E1714" s="468" t="s">
        <v>6071</v>
      </c>
      <c r="F1714" s="385"/>
      <c r="G1714" s="385"/>
      <c r="H1714" s="528">
        <v>9</v>
      </c>
      <c r="I1714" s="884"/>
      <c r="J1714" s="461">
        <f t="shared" si="13"/>
        <v>769.77401129943507</v>
      </c>
      <c r="K1714" s="486"/>
    </row>
    <row r="1715" spans="1:11" ht="14.25" customHeight="1" x14ac:dyDescent="0.2">
      <c r="A1715" s="384" t="s">
        <v>3182</v>
      </c>
      <c r="B1715" s="481"/>
      <c r="C1715" s="878"/>
      <c r="D1715" s="881"/>
      <c r="E1715" s="468" t="s">
        <v>455</v>
      </c>
      <c r="F1715" s="196"/>
      <c r="G1715" s="382"/>
      <c r="H1715" s="528">
        <v>9</v>
      </c>
      <c r="I1715" s="884"/>
      <c r="J1715" s="461">
        <f t="shared" si="13"/>
        <v>769.77401129943507</v>
      </c>
      <c r="K1715" s="486"/>
    </row>
    <row r="1716" spans="1:11" ht="14.25" customHeight="1" x14ac:dyDescent="0.2">
      <c r="A1716" s="384" t="s">
        <v>3183</v>
      </c>
      <c r="B1716" s="481"/>
      <c r="C1716" s="878"/>
      <c r="D1716" s="881"/>
      <c r="E1716" s="468" t="s">
        <v>6255</v>
      </c>
      <c r="F1716" s="385"/>
      <c r="G1716" s="385"/>
      <c r="H1716" s="528">
        <v>18</v>
      </c>
      <c r="I1716" s="884"/>
      <c r="J1716" s="461">
        <f t="shared" si="13"/>
        <v>1539.5480225988701</v>
      </c>
      <c r="K1716" s="486"/>
    </row>
    <row r="1717" spans="1:11" ht="14.25" customHeight="1" x14ac:dyDescent="0.2">
      <c r="A1717" s="384" t="s">
        <v>3184</v>
      </c>
      <c r="B1717" s="481"/>
      <c r="C1717" s="878"/>
      <c r="D1717" s="881"/>
      <c r="E1717" s="468" t="s">
        <v>8823</v>
      </c>
      <c r="F1717" s="196"/>
      <c r="G1717" s="382"/>
      <c r="H1717" s="528">
        <v>18</v>
      </c>
      <c r="I1717" s="884"/>
      <c r="J1717" s="461">
        <f t="shared" si="13"/>
        <v>1539.5480225988701</v>
      </c>
      <c r="K1717" s="486"/>
    </row>
    <row r="1718" spans="1:11" ht="14.25" customHeight="1" x14ac:dyDescent="0.2">
      <c r="A1718" s="384" t="s">
        <v>3185</v>
      </c>
      <c r="B1718" s="481"/>
      <c r="C1718" s="878"/>
      <c r="D1718" s="881"/>
      <c r="E1718" s="468" t="s">
        <v>8822</v>
      </c>
      <c r="F1718" s="196"/>
      <c r="G1718" s="382"/>
      <c r="H1718" s="528">
        <v>6</v>
      </c>
      <c r="I1718" s="884"/>
      <c r="J1718" s="461">
        <f t="shared" si="13"/>
        <v>513.18267419962342</v>
      </c>
      <c r="K1718" s="486"/>
    </row>
    <row r="1719" spans="1:11" ht="14.25" customHeight="1" x14ac:dyDescent="0.2">
      <c r="A1719" s="384" t="s">
        <v>3186</v>
      </c>
      <c r="B1719" s="481" t="s">
        <v>312</v>
      </c>
      <c r="C1719" s="878"/>
      <c r="D1719" s="881"/>
      <c r="E1719" s="468" t="s">
        <v>2739</v>
      </c>
      <c r="F1719" s="196"/>
      <c r="G1719" s="382"/>
      <c r="H1719" s="528">
        <v>6</v>
      </c>
      <c r="I1719" s="884"/>
      <c r="J1719" s="461">
        <f t="shared" si="13"/>
        <v>513.18267419962342</v>
      </c>
      <c r="K1719" s="486"/>
    </row>
    <row r="1720" spans="1:11" ht="14.25" customHeight="1" x14ac:dyDescent="0.2">
      <c r="A1720" s="384" t="s">
        <v>3187</v>
      </c>
      <c r="B1720" s="481" t="s">
        <v>312</v>
      </c>
      <c r="C1720" s="878"/>
      <c r="D1720" s="881"/>
      <c r="E1720" s="468" t="s">
        <v>2740</v>
      </c>
      <c r="F1720" s="196"/>
      <c r="G1720" s="382"/>
      <c r="H1720" s="528">
        <v>6</v>
      </c>
      <c r="I1720" s="884"/>
      <c r="J1720" s="461">
        <f t="shared" si="13"/>
        <v>513.18267419962342</v>
      </c>
      <c r="K1720" s="486"/>
    </row>
    <row r="1721" spans="1:11" ht="14.25" customHeight="1" x14ac:dyDescent="0.2">
      <c r="A1721" s="384" t="s">
        <v>3188</v>
      </c>
      <c r="B1721" s="481"/>
      <c r="C1721" s="878"/>
      <c r="D1721" s="881"/>
      <c r="E1721" s="468" t="s">
        <v>8819</v>
      </c>
      <c r="F1721" s="196"/>
      <c r="G1721" s="382"/>
      <c r="H1721" s="528">
        <v>18</v>
      </c>
      <c r="I1721" s="884"/>
      <c r="J1721" s="461">
        <f t="shared" si="13"/>
        <v>1539.5480225988701</v>
      </c>
      <c r="K1721" s="486"/>
    </row>
    <row r="1722" spans="1:11" ht="14.25" customHeight="1" x14ac:dyDescent="0.2">
      <c r="A1722" s="384" t="s">
        <v>3189</v>
      </c>
      <c r="B1722" s="481"/>
      <c r="C1722" s="878"/>
      <c r="D1722" s="881"/>
      <c r="E1722" s="468" t="s">
        <v>8820</v>
      </c>
      <c r="F1722" s="196"/>
      <c r="G1722" s="382"/>
      <c r="H1722" s="528">
        <v>37</v>
      </c>
      <c r="I1722" s="884"/>
      <c r="J1722" s="461">
        <f t="shared" si="13"/>
        <v>3164.6264908976777</v>
      </c>
      <c r="K1722" s="486"/>
    </row>
    <row r="1723" spans="1:11" ht="14.25" customHeight="1" x14ac:dyDescent="0.2">
      <c r="A1723" s="384" t="s">
        <v>3190</v>
      </c>
      <c r="B1723" s="481"/>
      <c r="C1723" s="878"/>
      <c r="D1723" s="881"/>
      <c r="E1723" s="468" t="s">
        <v>8821</v>
      </c>
      <c r="F1723" s="196"/>
      <c r="G1723" s="382"/>
      <c r="H1723" s="528">
        <v>37</v>
      </c>
      <c r="I1723" s="884"/>
      <c r="J1723" s="461">
        <f t="shared" si="13"/>
        <v>3164.6264908976777</v>
      </c>
      <c r="K1723" s="486"/>
    </row>
    <row r="1724" spans="1:11" ht="14.25" customHeight="1" x14ac:dyDescent="0.2">
      <c r="A1724" s="384" t="s">
        <v>3191</v>
      </c>
      <c r="B1724" s="481"/>
      <c r="C1724" s="878"/>
      <c r="D1724" s="881"/>
      <c r="E1724" s="468" t="s">
        <v>6232</v>
      </c>
      <c r="F1724" s="385"/>
      <c r="G1724" s="385"/>
      <c r="H1724" s="528">
        <v>37</v>
      </c>
      <c r="I1724" s="884"/>
      <c r="J1724" s="461">
        <f t="shared" si="13"/>
        <v>3164.6264908976777</v>
      </c>
      <c r="K1724" s="486"/>
    </row>
    <row r="1725" spans="1:11" ht="14.25" customHeight="1" x14ac:dyDescent="0.2">
      <c r="A1725" s="384" t="s">
        <v>3192</v>
      </c>
      <c r="B1725" s="481"/>
      <c r="C1725" s="878"/>
      <c r="D1725" s="881"/>
      <c r="E1725" s="468" t="s">
        <v>8818</v>
      </c>
      <c r="F1725" s="196"/>
      <c r="G1725" s="382"/>
      <c r="H1725" s="528">
        <v>18</v>
      </c>
      <c r="I1725" s="884"/>
      <c r="J1725" s="461">
        <f t="shared" si="13"/>
        <v>1539.5480225988701</v>
      </c>
      <c r="K1725" s="486"/>
    </row>
    <row r="1726" spans="1:11" ht="14.25" customHeight="1" x14ac:dyDescent="0.2">
      <c r="A1726" s="384" t="s">
        <v>3193</v>
      </c>
      <c r="B1726" s="481"/>
      <c r="C1726" s="878"/>
      <c r="D1726" s="881"/>
      <c r="E1726" s="468" t="s">
        <v>6104</v>
      </c>
      <c r="F1726" s="385"/>
      <c r="G1726" s="385"/>
      <c r="H1726" s="528">
        <v>18</v>
      </c>
      <c r="I1726" s="884"/>
      <c r="J1726" s="461">
        <f t="shared" si="13"/>
        <v>1539.5480225988701</v>
      </c>
      <c r="K1726" s="486"/>
    </row>
    <row r="1727" spans="1:11" ht="14.25" customHeight="1" x14ac:dyDescent="0.2">
      <c r="A1727" s="384" t="s">
        <v>3194</v>
      </c>
      <c r="B1727" s="481"/>
      <c r="C1727" s="878"/>
      <c r="D1727" s="881"/>
      <c r="E1727" s="468" t="s">
        <v>8817</v>
      </c>
      <c r="F1727" s="196"/>
      <c r="G1727" s="382"/>
      <c r="H1727" s="528">
        <v>18</v>
      </c>
      <c r="I1727" s="884"/>
      <c r="J1727" s="461">
        <f t="shared" si="13"/>
        <v>1539.5480225988701</v>
      </c>
      <c r="K1727" s="486"/>
    </row>
    <row r="1728" spans="1:11" ht="14.25" customHeight="1" x14ac:dyDescent="0.2">
      <c r="A1728" s="384" t="s">
        <v>3195</v>
      </c>
      <c r="B1728" s="481" t="s">
        <v>308</v>
      </c>
      <c r="C1728" s="878"/>
      <c r="D1728" s="881"/>
      <c r="E1728" s="468">
        <v>64</v>
      </c>
      <c r="F1728" s="385"/>
      <c r="G1728" s="385"/>
      <c r="H1728" s="528">
        <v>18</v>
      </c>
      <c r="I1728" s="884"/>
      <c r="J1728" s="461">
        <f t="shared" si="13"/>
        <v>1539.5480225988701</v>
      </c>
      <c r="K1728" s="486"/>
    </row>
    <row r="1729" spans="1:11" ht="14.25" customHeight="1" x14ac:dyDescent="0.2">
      <c r="A1729" s="384" t="s">
        <v>3196</v>
      </c>
      <c r="B1729" s="481"/>
      <c r="C1729" s="878"/>
      <c r="D1729" s="881"/>
      <c r="E1729" s="468" t="s">
        <v>8816</v>
      </c>
      <c r="F1729" s="196"/>
      <c r="G1729" s="382"/>
      <c r="H1729" s="528">
        <v>37</v>
      </c>
      <c r="I1729" s="884"/>
      <c r="J1729" s="461">
        <f t="shared" si="13"/>
        <v>3164.6264908976777</v>
      </c>
      <c r="K1729" s="486"/>
    </row>
    <row r="1730" spans="1:11" ht="14.25" customHeight="1" x14ac:dyDescent="0.2">
      <c r="A1730" s="384" t="s">
        <v>3197</v>
      </c>
      <c r="B1730" s="481"/>
      <c r="C1730" s="878"/>
      <c r="D1730" s="881"/>
      <c r="E1730" s="468" t="s">
        <v>425</v>
      </c>
      <c r="F1730" s="196"/>
      <c r="G1730" s="382"/>
      <c r="H1730" s="528">
        <v>1</v>
      </c>
      <c r="I1730" s="884"/>
      <c r="J1730" s="461">
        <f t="shared" si="13"/>
        <v>85.530445699937232</v>
      </c>
      <c r="K1730" s="486"/>
    </row>
    <row r="1731" spans="1:11" ht="14.25" customHeight="1" x14ac:dyDescent="0.2">
      <c r="A1731" s="384" t="s">
        <v>3198</v>
      </c>
      <c r="B1731" s="481"/>
      <c r="C1731" s="878"/>
      <c r="D1731" s="881"/>
      <c r="E1731" s="468" t="s">
        <v>8815</v>
      </c>
      <c r="F1731" s="196"/>
      <c r="G1731" s="382"/>
      <c r="H1731" s="528">
        <v>18</v>
      </c>
      <c r="I1731" s="884"/>
      <c r="J1731" s="461">
        <f t="shared" si="13"/>
        <v>1539.5480225988701</v>
      </c>
      <c r="K1731" s="486"/>
    </row>
    <row r="1732" spans="1:11" ht="14.25" customHeight="1" x14ac:dyDescent="0.2">
      <c r="A1732" s="384" t="s">
        <v>3199</v>
      </c>
      <c r="B1732" s="481" t="s">
        <v>312</v>
      </c>
      <c r="C1732" s="878"/>
      <c r="D1732" s="881"/>
      <c r="E1732" s="468" t="s">
        <v>8808</v>
      </c>
      <c r="F1732" s="385"/>
      <c r="G1732" s="382"/>
      <c r="H1732" s="528">
        <v>19.8</v>
      </c>
      <c r="I1732" s="884"/>
      <c r="J1732" s="461">
        <f t="shared" si="13"/>
        <v>1693.5028248587573</v>
      </c>
      <c r="K1732" s="486"/>
    </row>
    <row r="1733" spans="1:11" ht="14.25" customHeight="1" x14ac:dyDescent="0.2">
      <c r="A1733" s="384" t="s">
        <v>3200</v>
      </c>
      <c r="B1733" s="481"/>
      <c r="C1733" s="878"/>
      <c r="D1733" s="881"/>
      <c r="E1733" s="468" t="s">
        <v>2741</v>
      </c>
      <c r="F1733" s="196"/>
      <c r="G1733" s="382"/>
      <c r="H1733" s="528">
        <v>19</v>
      </c>
      <c r="I1733" s="884"/>
      <c r="J1733" s="461">
        <f t="shared" si="13"/>
        <v>1625.0784682988074</v>
      </c>
      <c r="K1733" s="486"/>
    </row>
    <row r="1734" spans="1:11" ht="14.25" customHeight="1" x14ac:dyDescent="0.2">
      <c r="A1734" s="384" t="s">
        <v>3201</v>
      </c>
      <c r="B1734" s="481" t="s">
        <v>312</v>
      </c>
      <c r="C1734" s="878"/>
      <c r="D1734" s="881"/>
      <c r="E1734" s="468" t="s">
        <v>8810</v>
      </c>
      <c r="F1734" s="385"/>
      <c r="G1734" s="385"/>
      <c r="H1734" s="528">
        <v>6</v>
      </c>
      <c r="I1734" s="884"/>
      <c r="J1734" s="461">
        <f t="shared" si="13"/>
        <v>513.18267419962342</v>
      </c>
      <c r="K1734" s="486"/>
    </row>
    <row r="1735" spans="1:11" ht="14.25" customHeight="1" x14ac:dyDescent="0.2">
      <c r="A1735" s="384" t="s">
        <v>3202</v>
      </c>
      <c r="B1735" s="481" t="s">
        <v>312</v>
      </c>
      <c r="C1735" s="878"/>
      <c r="D1735" s="881"/>
      <c r="E1735" s="468" t="s">
        <v>8811</v>
      </c>
      <c r="F1735" s="385"/>
      <c r="G1735" s="385"/>
      <c r="H1735" s="528">
        <v>18</v>
      </c>
      <c r="I1735" s="884"/>
      <c r="J1735" s="461">
        <f t="shared" si="13"/>
        <v>1539.5480225988701</v>
      </c>
      <c r="K1735" s="486"/>
    </row>
    <row r="1736" spans="1:11" ht="14.25" customHeight="1" x14ac:dyDescent="0.2">
      <c r="A1736" s="384" t="s">
        <v>3203</v>
      </c>
      <c r="B1736" s="481"/>
      <c r="C1736" s="878"/>
      <c r="D1736" s="881"/>
      <c r="E1736" s="468" t="s">
        <v>8812</v>
      </c>
      <c r="F1736" s="196"/>
      <c r="G1736" s="382"/>
      <c r="H1736" s="528">
        <v>37</v>
      </c>
      <c r="I1736" s="884"/>
      <c r="J1736" s="461">
        <f t="shared" si="13"/>
        <v>3164.6264908976777</v>
      </c>
      <c r="K1736" s="486"/>
    </row>
    <row r="1737" spans="1:11" ht="14.25" customHeight="1" x14ac:dyDescent="0.2">
      <c r="A1737" s="384" t="s">
        <v>3204</v>
      </c>
      <c r="B1737" s="481"/>
      <c r="C1737" s="878"/>
      <c r="D1737" s="881"/>
      <c r="E1737" s="468" t="s">
        <v>8813</v>
      </c>
      <c r="F1737" s="196"/>
      <c r="G1737" s="382"/>
      <c r="H1737" s="528">
        <v>37</v>
      </c>
      <c r="I1737" s="884"/>
      <c r="J1737" s="461">
        <f t="shared" si="13"/>
        <v>3164.6264908976777</v>
      </c>
      <c r="K1737" s="486"/>
    </row>
    <row r="1738" spans="1:11" ht="14.25" customHeight="1" x14ac:dyDescent="0.2">
      <c r="A1738" s="384" t="s">
        <v>3205</v>
      </c>
      <c r="B1738" s="481"/>
      <c r="C1738" s="878"/>
      <c r="D1738" s="881"/>
      <c r="E1738" s="468" t="s">
        <v>10542</v>
      </c>
      <c r="F1738" s="196"/>
      <c r="G1738" s="486"/>
      <c r="H1738" s="528">
        <v>18</v>
      </c>
      <c r="I1738" s="884"/>
      <c r="J1738" s="461">
        <f t="shared" si="13"/>
        <v>1539.5480225988701</v>
      </c>
      <c r="K1738" s="486"/>
    </row>
    <row r="1739" spans="1:11" ht="14.25" customHeight="1" x14ac:dyDescent="0.2">
      <c r="A1739" s="384" t="s">
        <v>3206</v>
      </c>
      <c r="B1739" s="481"/>
      <c r="C1739" s="878"/>
      <c r="D1739" s="881"/>
      <c r="E1739" s="468" t="s">
        <v>8814</v>
      </c>
      <c r="F1739" s="196"/>
      <c r="G1739" s="382"/>
      <c r="H1739" s="528">
        <v>18</v>
      </c>
      <c r="I1739" s="884"/>
      <c r="J1739" s="461">
        <f t="shared" si="13"/>
        <v>1539.5480225988701</v>
      </c>
      <c r="K1739" s="486"/>
    </row>
    <row r="1740" spans="1:11" x14ac:dyDescent="0.2">
      <c r="A1740" s="384" t="s">
        <v>3207</v>
      </c>
      <c r="B1740" s="481"/>
      <c r="C1740" s="878"/>
      <c r="D1740" s="881"/>
      <c r="E1740" s="468" t="s">
        <v>6103</v>
      </c>
      <c r="F1740" s="385"/>
      <c r="G1740" s="385"/>
      <c r="H1740" s="528">
        <v>37</v>
      </c>
      <c r="I1740" s="884"/>
      <c r="J1740" s="461">
        <f t="shared" si="13"/>
        <v>3164.6264908976777</v>
      </c>
      <c r="K1740" s="486"/>
    </row>
    <row r="1741" spans="1:11" x14ac:dyDescent="0.2">
      <c r="A1741" s="384" t="s">
        <v>3208</v>
      </c>
      <c r="B1741" s="481" t="s">
        <v>312</v>
      </c>
      <c r="C1741" s="878"/>
      <c r="D1741" s="881"/>
      <c r="E1741" s="468" t="s">
        <v>8809</v>
      </c>
      <c r="F1741" s="385"/>
      <c r="G1741" s="385"/>
      <c r="H1741" s="528">
        <v>18</v>
      </c>
      <c r="I1741" s="884"/>
      <c r="J1741" s="461">
        <f t="shared" si="13"/>
        <v>1539.5480225988701</v>
      </c>
      <c r="K1741" s="486"/>
    </row>
    <row r="1742" spans="1:11" x14ac:dyDescent="0.2">
      <c r="A1742" s="384" t="s">
        <v>3355</v>
      </c>
      <c r="B1742" s="481" t="s">
        <v>312</v>
      </c>
      <c r="C1742" s="878"/>
      <c r="D1742" s="881"/>
      <c r="E1742" s="523" t="s">
        <v>3356</v>
      </c>
      <c r="F1742" s="196"/>
      <c r="G1742" s="488"/>
      <c r="H1742" s="524">
        <v>18</v>
      </c>
      <c r="I1742" s="884"/>
      <c r="J1742" s="461">
        <f>163500/1911.6*H1742</f>
        <v>1539.5480225988701</v>
      </c>
      <c r="K1742" s="486"/>
    </row>
    <row r="1743" spans="1:11" x14ac:dyDescent="0.2">
      <c r="A1743" s="384" t="s">
        <v>6219</v>
      </c>
      <c r="B1743" s="481" t="s">
        <v>6295</v>
      </c>
      <c r="C1743" s="879"/>
      <c r="D1743" s="882"/>
      <c r="E1743" s="523" t="s">
        <v>3117</v>
      </c>
      <c r="F1743" s="295"/>
      <c r="G1743" s="488"/>
      <c r="H1743" s="524">
        <v>17.2</v>
      </c>
      <c r="I1743" s="885"/>
      <c r="J1743" s="461">
        <f>163500/1911.6*H1743</f>
        <v>1471.1236660389204</v>
      </c>
      <c r="K1743" s="486"/>
    </row>
    <row r="1744" spans="1:11" ht="26.25" customHeight="1" x14ac:dyDescent="0.2">
      <c r="A1744" s="383" t="s">
        <v>1294</v>
      </c>
      <c r="B1744" s="481" t="s">
        <v>308</v>
      </c>
      <c r="C1744" s="617" t="s">
        <v>13220</v>
      </c>
      <c r="D1744" s="619">
        <v>5</v>
      </c>
      <c r="E1744" s="504" t="s">
        <v>544</v>
      </c>
      <c r="F1744" s="196"/>
      <c r="G1744" s="491"/>
      <c r="H1744" s="461">
        <f>150.5-74.3</f>
        <v>76.2</v>
      </c>
      <c r="I1744" s="618">
        <v>1988</v>
      </c>
      <c r="J1744" s="461">
        <f>822.6*1000-H1744*G1744</f>
        <v>822600</v>
      </c>
      <c r="K1744" s="486"/>
    </row>
    <row r="1745" spans="1:11" ht="40.5" customHeight="1" x14ac:dyDescent="0.2">
      <c r="A1745" s="383" t="s">
        <v>1295</v>
      </c>
      <c r="B1745" s="382" t="s">
        <v>11567</v>
      </c>
      <c r="C1745" s="617" t="s">
        <v>13221</v>
      </c>
      <c r="D1745" s="619">
        <v>20</v>
      </c>
      <c r="E1745" s="472"/>
      <c r="F1745" s="196" t="s">
        <v>2749</v>
      </c>
      <c r="G1745" s="382" t="s">
        <v>2750</v>
      </c>
      <c r="H1745" s="461">
        <v>43.3</v>
      </c>
      <c r="I1745" s="618">
        <v>1952</v>
      </c>
      <c r="J1745" s="461">
        <f>196.8*1000</f>
        <v>196800</v>
      </c>
      <c r="K1745" s="486">
        <v>344975.86</v>
      </c>
    </row>
    <row r="1746" spans="1:11" ht="38.25" x14ac:dyDescent="0.2">
      <c r="A1746" s="383" t="s">
        <v>1296</v>
      </c>
      <c r="B1746" s="382" t="s">
        <v>11567</v>
      </c>
      <c r="C1746" s="617" t="s">
        <v>13222</v>
      </c>
      <c r="D1746" s="619">
        <v>151</v>
      </c>
      <c r="E1746" s="472"/>
      <c r="F1746" s="196" t="s">
        <v>2748</v>
      </c>
      <c r="G1746" s="382" t="s">
        <v>2750</v>
      </c>
      <c r="H1746" s="461">
        <v>30.6</v>
      </c>
      <c r="I1746" s="618">
        <v>1961</v>
      </c>
      <c r="J1746" s="461">
        <f>114.8*1000</f>
        <v>114800</v>
      </c>
      <c r="K1746" s="486">
        <v>243793.57</v>
      </c>
    </row>
    <row r="1747" spans="1:11" ht="12.75" customHeight="1" x14ac:dyDescent="0.2">
      <c r="A1747" s="383" t="s">
        <v>1297</v>
      </c>
      <c r="B1747" s="481"/>
      <c r="C1747" s="893" t="s">
        <v>13223</v>
      </c>
      <c r="D1747" s="898">
        <v>12</v>
      </c>
      <c r="E1747" s="472"/>
      <c r="F1747" s="196"/>
      <c r="G1747" s="382" t="s">
        <v>2751</v>
      </c>
      <c r="H1747" s="461">
        <v>0</v>
      </c>
      <c r="I1747" s="891">
        <v>1982</v>
      </c>
      <c r="J1747" s="461">
        <v>0</v>
      </c>
      <c r="K1747" s="486"/>
    </row>
    <row r="1748" spans="1:11" ht="12.75" customHeight="1" x14ac:dyDescent="0.2">
      <c r="A1748" s="384" t="s">
        <v>1872</v>
      </c>
      <c r="B1748" s="481" t="s">
        <v>308</v>
      </c>
      <c r="C1748" s="893"/>
      <c r="D1748" s="898"/>
      <c r="E1748" s="472">
        <v>18</v>
      </c>
      <c r="F1748" s="196" t="s">
        <v>2746</v>
      </c>
      <c r="G1748" s="382" t="s">
        <v>133</v>
      </c>
      <c r="H1748" s="461">
        <v>83.9</v>
      </c>
      <c r="I1748" s="891"/>
      <c r="J1748" s="461">
        <f>58.995*1000</f>
        <v>58995</v>
      </c>
      <c r="K1748" s="486">
        <v>1596009.32</v>
      </c>
    </row>
    <row r="1749" spans="1:11" x14ac:dyDescent="0.2">
      <c r="A1749" s="384" t="s">
        <v>1873</v>
      </c>
      <c r="B1749" s="481" t="s">
        <v>308</v>
      </c>
      <c r="C1749" s="893"/>
      <c r="D1749" s="898"/>
      <c r="E1749" s="472">
        <v>20</v>
      </c>
      <c r="F1749" s="196" t="s">
        <v>2747</v>
      </c>
      <c r="G1749" s="382" t="s">
        <v>133</v>
      </c>
      <c r="H1749" s="461">
        <v>31.9</v>
      </c>
      <c r="I1749" s="891"/>
      <c r="J1749" s="461">
        <f>21.335*1000</f>
        <v>21335</v>
      </c>
      <c r="K1749" s="486">
        <v>609418.49</v>
      </c>
    </row>
    <row r="1750" spans="1:11" x14ac:dyDescent="0.2">
      <c r="A1750" s="383" t="s">
        <v>1298</v>
      </c>
      <c r="B1750" s="382"/>
      <c r="C1750" s="877" t="s">
        <v>13224</v>
      </c>
      <c r="D1750" s="880">
        <v>32</v>
      </c>
      <c r="E1750" s="472"/>
      <c r="F1750" s="196"/>
      <c r="G1750" s="382" t="s">
        <v>2752</v>
      </c>
      <c r="H1750" s="461">
        <f>710-710</f>
        <v>0</v>
      </c>
      <c r="I1750" s="883">
        <v>1998</v>
      </c>
      <c r="J1750" s="461">
        <f>660.6*1000-660600</f>
        <v>0</v>
      </c>
      <c r="K1750" s="486"/>
    </row>
    <row r="1751" spans="1:11" ht="12.75" customHeight="1" x14ac:dyDescent="0.2">
      <c r="A1751" s="384" t="s">
        <v>2756</v>
      </c>
      <c r="B1751" s="382" t="s">
        <v>308</v>
      </c>
      <c r="C1751" s="879"/>
      <c r="D1751" s="882"/>
      <c r="E1751" s="472">
        <v>10</v>
      </c>
      <c r="F1751" s="2" t="s">
        <v>13225</v>
      </c>
      <c r="G1751" s="382"/>
      <c r="H1751" s="461">
        <v>101.4</v>
      </c>
      <c r="I1751" s="885"/>
      <c r="J1751" s="461">
        <v>103426.51</v>
      </c>
      <c r="K1751" s="486"/>
    </row>
    <row r="1752" spans="1:11" ht="26.25" customHeight="1" x14ac:dyDescent="0.2">
      <c r="A1752" s="383" t="s">
        <v>1299</v>
      </c>
      <c r="B1752" s="481" t="s">
        <v>323</v>
      </c>
      <c r="C1752" s="617" t="s">
        <v>5515</v>
      </c>
      <c r="D1752" s="619"/>
      <c r="E1752" s="472"/>
      <c r="F1752" s="196"/>
      <c r="G1752" s="382"/>
      <c r="H1752" s="461">
        <v>27.8</v>
      </c>
      <c r="I1752" s="618">
        <v>1975</v>
      </c>
      <c r="J1752" s="461">
        <f>4.6*1000</f>
        <v>4600</v>
      </c>
      <c r="K1752" s="486"/>
    </row>
    <row r="1753" spans="1:11" ht="12.75" customHeight="1" x14ac:dyDescent="0.2">
      <c r="A1753" s="383" t="s">
        <v>1300</v>
      </c>
      <c r="B1753" s="382"/>
      <c r="C1753" s="951" t="s">
        <v>13226</v>
      </c>
      <c r="D1753" s="880">
        <v>4</v>
      </c>
      <c r="E1753" s="472"/>
      <c r="F1753" s="196"/>
      <c r="G1753" s="382"/>
      <c r="H1753" s="492">
        <f>697.2-697.2</f>
        <v>0</v>
      </c>
      <c r="I1753" s="883" t="s">
        <v>11642</v>
      </c>
      <c r="J1753" s="461">
        <f>(22725738+33586484)-(22725738+33586484)</f>
        <v>0</v>
      </c>
      <c r="K1753" s="486"/>
    </row>
    <row r="1754" spans="1:11" x14ac:dyDescent="0.2">
      <c r="A1754" s="383"/>
      <c r="B1754" s="382"/>
      <c r="C1754" s="952"/>
      <c r="D1754" s="881"/>
      <c r="E1754" s="472"/>
      <c r="F1754" s="196"/>
      <c r="G1754" s="382"/>
      <c r="H1754" s="492">
        <f>3671.7-3671.7</f>
        <v>0</v>
      </c>
      <c r="I1754" s="884"/>
      <c r="J1754" s="461">
        <f>12449.1*1000-12449.1*1000</f>
        <v>0</v>
      </c>
      <c r="K1754" s="486"/>
    </row>
    <row r="1755" spans="1:11" ht="13.5" customHeight="1" x14ac:dyDescent="0.2">
      <c r="A1755" s="384" t="s">
        <v>1874</v>
      </c>
      <c r="B1755" s="382" t="s">
        <v>308</v>
      </c>
      <c r="C1755" s="952"/>
      <c r="D1755" s="881"/>
      <c r="E1755" s="485">
        <v>20</v>
      </c>
      <c r="F1755" s="196" t="s">
        <v>2755</v>
      </c>
      <c r="G1755" s="382" t="s">
        <v>133</v>
      </c>
      <c r="H1755" s="522">
        <v>57</v>
      </c>
      <c r="I1755" s="884"/>
      <c r="J1755" s="461">
        <f>195.638*1000</f>
        <v>195638</v>
      </c>
      <c r="K1755" s="486">
        <v>1162142.92</v>
      </c>
    </row>
    <row r="1756" spans="1:11" ht="12.75" customHeight="1" x14ac:dyDescent="0.2">
      <c r="A1756" s="384" t="s">
        <v>1875</v>
      </c>
      <c r="B1756" s="382" t="s">
        <v>308</v>
      </c>
      <c r="C1756" s="952"/>
      <c r="D1756" s="881"/>
      <c r="E1756" s="485">
        <v>64</v>
      </c>
      <c r="F1756" s="196" t="s">
        <v>2754</v>
      </c>
      <c r="G1756" s="382" t="s">
        <v>143</v>
      </c>
      <c r="H1756" s="522">
        <v>56.6</v>
      </c>
      <c r="I1756" s="884"/>
      <c r="J1756" s="461">
        <f>138.32*1000</f>
        <v>138320</v>
      </c>
      <c r="K1756" s="486">
        <v>1153987.53</v>
      </c>
    </row>
    <row r="1757" spans="1:11" ht="12.75" customHeight="1" x14ac:dyDescent="0.2">
      <c r="A1757" s="450" t="s">
        <v>1876</v>
      </c>
      <c r="B1757" s="553" t="s">
        <v>308</v>
      </c>
      <c r="C1757" s="952"/>
      <c r="D1757" s="881"/>
      <c r="E1757" s="534">
        <v>104</v>
      </c>
      <c r="F1757" s="223" t="s">
        <v>2753</v>
      </c>
      <c r="G1757" s="553" t="s">
        <v>543</v>
      </c>
      <c r="H1757" s="554">
        <v>39.6</v>
      </c>
      <c r="I1757" s="884"/>
      <c r="J1757" s="461">
        <v>1400000</v>
      </c>
      <c r="K1757" s="486"/>
    </row>
    <row r="1758" spans="1:11" x14ac:dyDescent="0.2">
      <c r="A1758" s="382" t="s">
        <v>12366</v>
      </c>
      <c r="B1758" s="382" t="s">
        <v>308</v>
      </c>
      <c r="C1758" s="952"/>
      <c r="D1758" s="881"/>
      <c r="E1758" s="367">
        <v>29</v>
      </c>
      <c r="F1758" s="223" t="s">
        <v>12367</v>
      </c>
      <c r="G1758" s="223" t="s">
        <v>134</v>
      </c>
      <c r="H1758" s="606">
        <v>68.599999999999994</v>
      </c>
      <c r="I1758" s="884"/>
      <c r="J1758" s="484">
        <v>235452</v>
      </c>
      <c r="K1758" s="494"/>
    </row>
    <row r="1759" spans="1:11" x14ac:dyDescent="0.2">
      <c r="A1759" s="467" t="s">
        <v>13521</v>
      </c>
      <c r="B1759" s="467" t="s">
        <v>308</v>
      </c>
      <c r="C1759" s="952"/>
      <c r="D1759" s="881"/>
      <c r="E1759" s="367">
        <v>94</v>
      </c>
      <c r="F1759" s="196" t="s">
        <v>13522</v>
      </c>
      <c r="G1759" s="196" t="s">
        <v>538</v>
      </c>
      <c r="H1759" s="677">
        <v>40.1</v>
      </c>
      <c r="I1759" s="884"/>
      <c r="J1759" s="678">
        <f>2069.26*1000</f>
        <v>2069260.0000000002</v>
      </c>
      <c r="K1759" s="300">
        <v>849462.05</v>
      </c>
    </row>
    <row r="1760" spans="1:11" ht="24" x14ac:dyDescent="0.2">
      <c r="A1760" s="467" t="s">
        <v>13716</v>
      </c>
      <c r="B1760" s="467" t="s">
        <v>308</v>
      </c>
      <c r="C1760" s="953"/>
      <c r="D1760" s="882"/>
      <c r="E1760" s="485">
        <v>39</v>
      </c>
      <c r="F1760" s="196" t="s">
        <v>13717</v>
      </c>
      <c r="G1760" s="382" t="s">
        <v>133</v>
      </c>
      <c r="H1760" s="529">
        <v>40.200000000000003</v>
      </c>
      <c r="I1760" s="885"/>
      <c r="J1760" s="484">
        <v>137976</v>
      </c>
      <c r="K1760" s="494">
        <v>822795.92</v>
      </c>
    </row>
    <row r="1761" spans="1:11" x14ac:dyDescent="0.2">
      <c r="A1761" s="383" t="s">
        <v>1301</v>
      </c>
      <c r="B1761" s="382"/>
      <c r="C1761" s="893" t="s">
        <v>13227</v>
      </c>
      <c r="D1761" s="898">
        <v>34</v>
      </c>
      <c r="E1761" s="485"/>
      <c r="F1761" s="196"/>
      <c r="G1761" s="382"/>
      <c r="H1761" s="461">
        <f>438.3-438.3</f>
        <v>0</v>
      </c>
      <c r="I1761" s="891">
        <v>1969</v>
      </c>
      <c r="J1761" s="461">
        <f>1491.428*1000-1491.428*1000</f>
        <v>0</v>
      </c>
      <c r="K1761" s="486"/>
    </row>
    <row r="1762" spans="1:11" ht="38.25" customHeight="1" x14ac:dyDescent="0.2">
      <c r="A1762" s="384" t="s">
        <v>2757</v>
      </c>
      <c r="B1762" s="382" t="s">
        <v>308</v>
      </c>
      <c r="C1762" s="893"/>
      <c r="D1762" s="898"/>
      <c r="E1762" s="485">
        <v>8</v>
      </c>
      <c r="F1762" s="196" t="s">
        <v>2758</v>
      </c>
      <c r="G1762" s="382"/>
      <c r="H1762" s="461">
        <v>45.6</v>
      </c>
      <c r="I1762" s="891"/>
      <c r="J1762" s="461">
        <v>155165.68</v>
      </c>
      <c r="K1762" s="486">
        <v>542455.78</v>
      </c>
    </row>
    <row r="1763" spans="1:11" ht="25.5" x14ac:dyDescent="0.2">
      <c r="A1763" s="383" t="s">
        <v>1302</v>
      </c>
      <c r="B1763" s="481" t="s">
        <v>323</v>
      </c>
      <c r="C1763" s="617" t="s">
        <v>13228</v>
      </c>
      <c r="D1763" s="619">
        <v>11</v>
      </c>
      <c r="E1763" s="485"/>
      <c r="F1763" s="196"/>
      <c r="G1763" s="382"/>
      <c r="H1763" s="461">
        <v>79.099999999999994</v>
      </c>
      <c r="I1763" s="555"/>
      <c r="J1763" s="461">
        <f>162.277*1000</f>
        <v>162277</v>
      </c>
      <c r="K1763" s="486"/>
    </row>
    <row r="1764" spans="1:11" ht="38.25" x14ac:dyDescent="0.2">
      <c r="A1764" s="386" t="s">
        <v>1303</v>
      </c>
      <c r="B1764" s="540" t="s">
        <v>323</v>
      </c>
      <c r="C1764" s="617" t="s">
        <v>13229</v>
      </c>
      <c r="D1764" s="619">
        <v>8</v>
      </c>
      <c r="E1764" s="485"/>
      <c r="F1764" s="196"/>
      <c r="G1764" s="382" t="s">
        <v>196</v>
      </c>
      <c r="H1764" s="461">
        <v>110</v>
      </c>
      <c r="I1764" s="618"/>
      <c r="J1764" s="461"/>
      <c r="K1764" s="486"/>
    </row>
    <row r="1765" spans="1:11" ht="40.5" customHeight="1" x14ac:dyDescent="0.2">
      <c r="A1765" s="386" t="s">
        <v>1304</v>
      </c>
      <c r="B1765" s="382" t="s">
        <v>323</v>
      </c>
      <c r="C1765" s="617" t="s">
        <v>13230</v>
      </c>
      <c r="D1765" s="619">
        <v>40</v>
      </c>
      <c r="E1765" s="485"/>
      <c r="F1765" s="196"/>
      <c r="G1765" s="382" t="s">
        <v>196</v>
      </c>
      <c r="H1765" s="492">
        <v>286.39999999999998</v>
      </c>
      <c r="I1765" s="618"/>
      <c r="J1765" s="461">
        <v>274300</v>
      </c>
      <c r="K1765" s="486"/>
    </row>
    <row r="1766" spans="1:11" ht="38.25" x14ac:dyDescent="0.2">
      <c r="A1766" s="386" t="s">
        <v>1305</v>
      </c>
      <c r="B1766" s="382" t="s">
        <v>11567</v>
      </c>
      <c r="C1766" s="617" t="s">
        <v>5514</v>
      </c>
      <c r="D1766" s="619" t="s">
        <v>3117</v>
      </c>
      <c r="E1766" s="485"/>
      <c r="F1766" s="196"/>
      <c r="G1766" s="382" t="s">
        <v>196</v>
      </c>
      <c r="H1766" s="461">
        <v>30</v>
      </c>
      <c r="I1766" s="618"/>
      <c r="J1766" s="461"/>
      <c r="K1766" s="486"/>
    </row>
    <row r="1767" spans="1:11" ht="38.25" x14ac:dyDescent="0.2">
      <c r="A1767" s="386" t="s">
        <v>1877</v>
      </c>
      <c r="B1767" s="382" t="s">
        <v>11567</v>
      </c>
      <c r="C1767" s="617" t="s">
        <v>13231</v>
      </c>
      <c r="D1767" s="619">
        <v>21</v>
      </c>
      <c r="E1767" s="485"/>
      <c r="F1767" s="196"/>
      <c r="G1767" s="382" t="s">
        <v>196</v>
      </c>
      <c r="H1767" s="461">
        <v>24.2</v>
      </c>
      <c r="I1767" s="618"/>
      <c r="J1767" s="461">
        <v>118000</v>
      </c>
      <c r="K1767" s="486"/>
    </row>
    <row r="1768" spans="1:11" ht="25.5" customHeight="1" x14ac:dyDescent="0.2">
      <c r="A1768" s="383" t="s">
        <v>1306</v>
      </c>
      <c r="B1768" s="382"/>
      <c r="C1768" s="877" t="s">
        <v>13232</v>
      </c>
      <c r="D1768" s="880">
        <v>26</v>
      </c>
      <c r="E1768" s="485"/>
      <c r="F1768" s="382"/>
      <c r="G1768" s="382"/>
      <c r="H1768" s="461">
        <f>135.8-135.8</f>
        <v>0</v>
      </c>
      <c r="I1768" s="883">
        <v>2007</v>
      </c>
      <c r="J1768" s="461">
        <f>3012451-3012451</f>
        <v>0</v>
      </c>
      <c r="K1768" s="486"/>
    </row>
    <row r="1769" spans="1:11" ht="18" customHeight="1" x14ac:dyDescent="0.2">
      <c r="A1769" s="384" t="s">
        <v>11974</v>
      </c>
      <c r="B1769" s="382" t="s">
        <v>308</v>
      </c>
      <c r="C1769" s="879"/>
      <c r="D1769" s="882"/>
      <c r="E1769" s="485">
        <v>11</v>
      </c>
      <c r="F1769" s="2" t="s">
        <v>11975</v>
      </c>
      <c r="G1769" s="481" t="s">
        <v>143</v>
      </c>
      <c r="H1769" s="484">
        <f>37</f>
        <v>37</v>
      </c>
      <c r="I1769" s="885"/>
      <c r="J1769" s="484">
        <f>818.552*1000</f>
        <v>818552</v>
      </c>
      <c r="K1769" s="494">
        <v>534245.22</v>
      </c>
    </row>
    <row r="1770" spans="1:11" ht="21" customHeight="1" x14ac:dyDescent="0.2">
      <c r="A1770" s="383" t="s">
        <v>1878</v>
      </c>
      <c r="B1770" s="382"/>
      <c r="C1770" s="877" t="s">
        <v>13233</v>
      </c>
      <c r="D1770" s="880">
        <v>18</v>
      </c>
      <c r="E1770" s="485"/>
      <c r="F1770" s="196"/>
      <c r="G1770" s="382" t="s">
        <v>5044</v>
      </c>
      <c r="H1770" s="461">
        <f>611.9-611.9</f>
        <v>0</v>
      </c>
      <c r="I1770" s="883">
        <v>2007</v>
      </c>
      <c r="J1770" s="461">
        <f>7200000-7200000</f>
        <v>0</v>
      </c>
      <c r="K1770" s="486"/>
    </row>
    <row r="1771" spans="1:11" ht="23.25" customHeight="1" x14ac:dyDescent="0.2">
      <c r="A1771" s="384" t="s">
        <v>5042</v>
      </c>
      <c r="B1771" s="382" t="s">
        <v>308</v>
      </c>
      <c r="C1771" s="878"/>
      <c r="D1771" s="881"/>
      <c r="E1771" s="485">
        <v>9</v>
      </c>
      <c r="F1771" s="196"/>
      <c r="G1771" s="382"/>
      <c r="H1771" s="461">
        <v>53.7</v>
      </c>
      <c r="I1771" s="884"/>
      <c r="J1771" s="461">
        <f>7200000/611.9*H1771</f>
        <v>631867.95227978437</v>
      </c>
      <c r="K1771" s="486"/>
    </row>
    <row r="1772" spans="1:11" ht="17.25" customHeight="1" x14ac:dyDescent="0.2">
      <c r="A1772" s="384" t="s">
        <v>5043</v>
      </c>
      <c r="B1772" s="382" t="s">
        <v>308</v>
      </c>
      <c r="C1772" s="879"/>
      <c r="D1772" s="882"/>
      <c r="E1772" s="485">
        <v>12</v>
      </c>
      <c r="F1772" s="196" t="s">
        <v>11643</v>
      </c>
      <c r="G1772" s="382" t="s">
        <v>543</v>
      </c>
      <c r="H1772" s="461">
        <v>53.1</v>
      </c>
      <c r="I1772" s="885"/>
      <c r="J1772" s="461">
        <f>7200000/611.9*H1772</f>
        <v>624807.97515933984</v>
      </c>
      <c r="K1772" s="486">
        <v>613892.81999999995</v>
      </c>
    </row>
    <row r="1773" spans="1:11" ht="12.75" customHeight="1" x14ac:dyDescent="0.2">
      <c r="A1773" s="383" t="s">
        <v>1307</v>
      </c>
      <c r="B1773" s="481"/>
      <c r="C1773" s="877" t="s">
        <v>13234</v>
      </c>
      <c r="D1773" s="880">
        <v>18</v>
      </c>
      <c r="E1773" s="485"/>
      <c r="F1773" s="196" t="s">
        <v>148</v>
      </c>
      <c r="G1773" s="382" t="s">
        <v>2759</v>
      </c>
      <c r="H1773" s="461">
        <f>118.5-118.5</f>
        <v>0</v>
      </c>
      <c r="I1773" s="883">
        <v>2008</v>
      </c>
      <c r="J1773" s="461">
        <f>1500000-1500000</f>
        <v>0</v>
      </c>
      <c r="K1773" s="486">
        <v>1576205.23</v>
      </c>
    </row>
    <row r="1774" spans="1:11" ht="27" customHeight="1" x14ac:dyDescent="0.2">
      <c r="A1774" s="384" t="s">
        <v>2760</v>
      </c>
      <c r="B1774" s="481" t="s">
        <v>308</v>
      </c>
      <c r="C1774" s="878"/>
      <c r="D1774" s="881"/>
      <c r="E1774" s="485">
        <v>2</v>
      </c>
      <c r="F1774" s="196" t="s">
        <v>11644</v>
      </c>
      <c r="G1774" s="382"/>
      <c r="H1774" s="461">
        <v>59.4</v>
      </c>
      <c r="I1774" s="884"/>
      <c r="J1774" s="461">
        <f>1500000/118.5*H1774</f>
        <v>751898.73417721514</v>
      </c>
      <c r="K1774" s="486">
        <v>759796.69</v>
      </c>
    </row>
    <row r="1775" spans="1:11" ht="27" customHeight="1" x14ac:dyDescent="0.2">
      <c r="A1775" s="760" t="s">
        <v>14741</v>
      </c>
      <c r="B1775" s="760" t="s">
        <v>308</v>
      </c>
      <c r="C1775" s="879"/>
      <c r="D1775" s="882"/>
      <c r="E1775" s="813">
        <v>1</v>
      </c>
      <c r="F1775" s="762" t="s">
        <v>14742</v>
      </c>
      <c r="G1775" s="768" t="s">
        <v>143</v>
      </c>
      <c r="H1775" s="769">
        <f>60.6</f>
        <v>60.6</v>
      </c>
      <c r="I1775" s="885"/>
      <c r="J1775" s="769">
        <f>1500000/118.5*H1775</f>
        <v>767088.60759493674</v>
      </c>
      <c r="K1775" s="763">
        <v>775146.11</v>
      </c>
    </row>
    <row r="1776" spans="1:11" ht="14.25" customHeight="1" x14ac:dyDescent="0.2">
      <c r="A1776" s="383" t="s">
        <v>1308</v>
      </c>
      <c r="B1776" s="382"/>
      <c r="C1776" s="877" t="s">
        <v>13235</v>
      </c>
      <c r="D1776" s="880">
        <v>1</v>
      </c>
      <c r="E1776" s="485"/>
      <c r="F1776" s="196"/>
      <c r="G1776" s="382"/>
      <c r="H1776" s="461">
        <f>642.3-642.3</f>
        <v>0</v>
      </c>
      <c r="I1776" s="883">
        <v>2009</v>
      </c>
      <c r="J1776" s="461">
        <f>17091817-17091817</f>
        <v>0</v>
      </c>
      <c r="K1776" s="486"/>
    </row>
    <row r="1777" spans="1:11" ht="14.25" customHeight="1" x14ac:dyDescent="0.2">
      <c r="A1777" s="384" t="s">
        <v>1879</v>
      </c>
      <c r="B1777" s="382" t="s">
        <v>308</v>
      </c>
      <c r="C1777" s="878"/>
      <c r="D1777" s="881"/>
      <c r="E1777" s="485">
        <v>2</v>
      </c>
      <c r="F1777" s="196" t="s">
        <v>3114</v>
      </c>
      <c r="G1777" s="382" t="s">
        <v>143</v>
      </c>
      <c r="H1777" s="461">
        <v>32.299999999999997</v>
      </c>
      <c r="I1777" s="884"/>
      <c r="J1777" s="486">
        <v>806923.25</v>
      </c>
      <c r="K1777" s="486">
        <v>426259.55</v>
      </c>
    </row>
    <row r="1778" spans="1:11" ht="15" customHeight="1" x14ac:dyDescent="0.2">
      <c r="A1778" s="382" t="s">
        <v>1880</v>
      </c>
      <c r="B1778" s="382" t="s">
        <v>308</v>
      </c>
      <c r="C1778" s="878"/>
      <c r="D1778" s="881"/>
      <c r="E1778" s="485">
        <v>5</v>
      </c>
      <c r="F1778" s="196" t="s">
        <v>3115</v>
      </c>
      <c r="G1778" s="382" t="s">
        <v>143</v>
      </c>
      <c r="H1778" s="461">
        <v>32.5</v>
      </c>
      <c r="I1778" s="884"/>
      <c r="J1778" s="461">
        <v>811919.67</v>
      </c>
      <c r="K1778" s="486">
        <v>428898.92</v>
      </c>
    </row>
    <row r="1779" spans="1:11" ht="16.5" customHeight="1" x14ac:dyDescent="0.2">
      <c r="A1779" s="382" t="s">
        <v>1881</v>
      </c>
      <c r="B1779" s="382" t="s">
        <v>308</v>
      </c>
      <c r="C1779" s="878"/>
      <c r="D1779" s="881"/>
      <c r="E1779" s="485">
        <v>8</v>
      </c>
      <c r="F1779" s="196" t="s">
        <v>3116</v>
      </c>
      <c r="G1779" s="382" t="s">
        <v>143</v>
      </c>
      <c r="H1779" s="461">
        <v>39.799999999999997</v>
      </c>
      <c r="I1779" s="884"/>
      <c r="J1779" s="461">
        <v>994289.32</v>
      </c>
      <c r="K1779" s="486"/>
    </row>
    <row r="1780" spans="1:11" ht="17.25" customHeight="1" x14ac:dyDescent="0.2">
      <c r="A1780" s="384" t="s">
        <v>1882</v>
      </c>
      <c r="B1780" s="382" t="s">
        <v>308</v>
      </c>
      <c r="C1780" s="878"/>
      <c r="D1780" s="881"/>
      <c r="E1780" s="485">
        <v>9</v>
      </c>
      <c r="F1780" s="196" t="s">
        <v>2761</v>
      </c>
      <c r="G1780" s="382" t="s">
        <v>143</v>
      </c>
      <c r="H1780" s="461">
        <v>29</v>
      </c>
      <c r="I1780" s="884"/>
      <c r="J1780" s="461">
        <f>16046031/642.3*H1780</f>
        <v>724482.17188229808</v>
      </c>
      <c r="K1780" s="486">
        <v>382709.81</v>
      </c>
    </row>
    <row r="1781" spans="1:11" ht="12.75" customHeight="1" x14ac:dyDescent="0.2">
      <c r="A1781" s="384" t="s">
        <v>1883</v>
      </c>
      <c r="B1781" s="382" t="s">
        <v>308</v>
      </c>
      <c r="C1781" s="878"/>
      <c r="D1781" s="881"/>
      <c r="E1781" s="485">
        <v>11</v>
      </c>
      <c r="F1781" s="196" t="s">
        <v>2762</v>
      </c>
      <c r="G1781" s="382" t="s">
        <v>543</v>
      </c>
      <c r="H1781" s="461">
        <v>26.2</v>
      </c>
      <c r="I1781" s="884"/>
      <c r="J1781" s="461">
        <f>16046031/642.3*H1781</f>
        <v>654532.16907986929</v>
      </c>
      <c r="K1781" s="486">
        <v>345758.52</v>
      </c>
    </row>
    <row r="1782" spans="1:11" ht="15" customHeight="1" x14ac:dyDescent="0.2">
      <c r="A1782" s="384" t="s">
        <v>1884</v>
      </c>
      <c r="B1782" s="382" t="s">
        <v>308</v>
      </c>
      <c r="C1782" s="878"/>
      <c r="D1782" s="881"/>
      <c r="E1782" s="485">
        <v>19</v>
      </c>
      <c r="F1782" s="196" t="s">
        <v>11645</v>
      </c>
      <c r="G1782" s="382" t="s">
        <v>543</v>
      </c>
      <c r="H1782" s="461">
        <v>27</v>
      </c>
      <c r="I1782" s="884"/>
      <c r="J1782" s="461">
        <f>16046031/642.3*H1782</f>
        <v>674517.88416627748</v>
      </c>
      <c r="K1782" s="486">
        <v>356316.03</v>
      </c>
    </row>
    <row r="1783" spans="1:11" ht="15" customHeight="1" x14ac:dyDescent="0.2">
      <c r="A1783" s="760" t="s">
        <v>14839</v>
      </c>
      <c r="B1783" s="760" t="s">
        <v>308</v>
      </c>
      <c r="C1783" s="879"/>
      <c r="D1783" s="882"/>
      <c r="E1783" s="813">
        <v>6</v>
      </c>
      <c r="F1783" s="762" t="s">
        <v>14840</v>
      </c>
      <c r="G1783" s="768" t="s">
        <v>143</v>
      </c>
      <c r="H1783" s="769">
        <v>35.5</v>
      </c>
      <c r="I1783" s="885"/>
      <c r="J1783" s="769">
        <v>1009311.6</v>
      </c>
      <c r="K1783" s="763">
        <v>468489.59</v>
      </c>
    </row>
    <row r="1784" spans="1:11" ht="15" customHeight="1" x14ac:dyDescent="0.2">
      <c r="A1784" s="383" t="s">
        <v>1309</v>
      </c>
      <c r="B1784" s="481"/>
      <c r="C1784" s="893" t="s">
        <v>13236</v>
      </c>
      <c r="D1784" s="898">
        <v>27</v>
      </c>
      <c r="E1784" s="485"/>
      <c r="F1784" s="196"/>
      <c r="G1784" s="382"/>
      <c r="H1784" s="461">
        <f>875.1-875.1</f>
        <v>0</v>
      </c>
      <c r="I1784" s="891">
        <v>2007</v>
      </c>
      <c r="J1784" s="461">
        <f>10135550-10135550</f>
        <v>0</v>
      </c>
      <c r="K1784" s="486"/>
    </row>
    <row r="1785" spans="1:11" ht="17.25" customHeight="1" x14ac:dyDescent="0.2">
      <c r="A1785" s="384" t="s">
        <v>1885</v>
      </c>
      <c r="B1785" s="481" t="s">
        <v>308</v>
      </c>
      <c r="C1785" s="893"/>
      <c r="D1785" s="898"/>
      <c r="E1785" s="485">
        <v>27</v>
      </c>
      <c r="F1785" s="196" t="s">
        <v>2767</v>
      </c>
      <c r="G1785" s="382" t="s">
        <v>2766</v>
      </c>
      <c r="H1785" s="529">
        <v>58.4</v>
      </c>
      <c r="I1785" s="891"/>
      <c r="J1785" s="461">
        <f>1372.4*1000</f>
        <v>1372400</v>
      </c>
      <c r="K1785" s="486">
        <v>1627289.72</v>
      </c>
    </row>
    <row r="1786" spans="1:11" ht="18.75" customHeight="1" x14ac:dyDescent="0.2">
      <c r="A1786" s="384" t="s">
        <v>1886</v>
      </c>
      <c r="B1786" s="481" t="s">
        <v>308</v>
      </c>
      <c r="C1786" s="893"/>
      <c r="D1786" s="898"/>
      <c r="E1786" s="485">
        <v>34</v>
      </c>
      <c r="F1786" s="196" t="s">
        <v>2768</v>
      </c>
      <c r="G1786" s="382" t="s">
        <v>2770</v>
      </c>
      <c r="H1786" s="529">
        <v>58.3</v>
      </c>
      <c r="I1786" s="891"/>
      <c r="J1786" s="461">
        <f>1370.05*1000</f>
        <v>1370050</v>
      </c>
      <c r="K1786" s="486">
        <v>1624503.26</v>
      </c>
    </row>
    <row r="1787" spans="1:11" ht="12.75" customHeight="1" x14ac:dyDescent="0.2">
      <c r="A1787" s="384" t="s">
        <v>1887</v>
      </c>
      <c r="B1787" s="481" t="s">
        <v>308</v>
      </c>
      <c r="C1787" s="893"/>
      <c r="D1787" s="898"/>
      <c r="E1787" s="485">
        <v>116</v>
      </c>
      <c r="F1787" s="196" t="s">
        <v>2772</v>
      </c>
      <c r="G1787" s="382" t="s">
        <v>2770</v>
      </c>
      <c r="H1787" s="486">
        <v>69.5</v>
      </c>
      <c r="I1787" s="891"/>
      <c r="J1787" s="461">
        <f>1633.25*1000</f>
        <v>1633250</v>
      </c>
      <c r="K1787" s="486">
        <v>1936586.22</v>
      </c>
    </row>
    <row r="1788" spans="1:11" ht="14.25" customHeight="1" x14ac:dyDescent="0.2">
      <c r="A1788" s="384" t="s">
        <v>1888</v>
      </c>
      <c r="B1788" s="481" t="s">
        <v>308</v>
      </c>
      <c r="C1788" s="893"/>
      <c r="D1788" s="898"/>
      <c r="E1788" s="485">
        <v>120</v>
      </c>
      <c r="F1788" s="196" t="s">
        <v>11646</v>
      </c>
      <c r="G1788" s="382" t="s">
        <v>2771</v>
      </c>
      <c r="H1788" s="486">
        <v>69.400000000000006</v>
      </c>
      <c r="I1788" s="891"/>
      <c r="J1788" s="461">
        <f>1630.9*1000</f>
        <v>1630900</v>
      </c>
      <c r="K1788" s="486">
        <v>1893779.57</v>
      </c>
    </row>
    <row r="1789" spans="1:11" ht="14.25" customHeight="1" x14ac:dyDescent="0.2">
      <c r="A1789" s="383" t="s">
        <v>1310</v>
      </c>
      <c r="B1789" s="382"/>
      <c r="C1789" s="877" t="s">
        <v>13237</v>
      </c>
      <c r="D1789" s="880">
        <v>31</v>
      </c>
      <c r="E1789" s="485"/>
      <c r="F1789" s="196"/>
      <c r="G1789" s="382"/>
      <c r="H1789" s="461">
        <f>2024.17-2024.17</f>
        <v>0</v>
      </c>
      <c r="I1789" s="883">
        <v>2008</v>
      </c>
      <c r="J1789" s="461">
        <f>(55088.698-911.564)*1000-(55088.698-911.564)*1000</f>
        <v>0</v>
      </c>
      <c r="K1789" s="486"/>
    </row>
    <row r="1790" spans="1:11" ht="14.25" customHeight="1" x14ac:dyDescent="0.2">
      <c r="A1790" s="384" t="s">
        <v>1311</v>
      </c>
      <c r="B1790" s="382" t="s">
        <v>308</v>
      </c>
      <c r="C1790" s="878"/>
      <c r="D1790" s="881"/>
      <c r="E1790" s="485">
        <v>1</v>
      </c>
      <c r="F1790" s="196" t="s">
        <v>13238</v>
      </c>
      <c r="G1790" s="382" t="s">
        <v>143</v>
      </c>
      <c r="H1790" s="461">
        <f>68</f>
        <v>68</v>
      </c>
      <c r="I1790" s="884"/>
      <c r="J1790" s="486">
        <f>2122.885*1000</f>
        <v>2122885</v>
      </c>
      <c r="K1790" s="486"/>
    </row>
    <row r="1791" spans="1:11" ht="14.25" customHeight="1" x14ac:dyDescent="0.2">
      <c r="A1791" s="384" t="s">
        <v>1312</v>
      </c>
      <c r="B1791" s="382" t="s">
        <v>308</v>
      </c>
      <c r="C1791" s="878"/>
      <c r="D1791" s="881"/>
      <c r="E1791" s="485">
        <v>4</v>
      </c>
      <c r="F1791" s="196" t="s">
        <v>13239</v>
      </c>
      <c r="G1791" s="382" t="s">
        <v>143</v>
      </c>
      <c r="H1791" s="461">
        <v>56.2</v>
      </c>
      <c r="I1791" s="884"/>
      <c r="J1791" s="486">
        <f>1757.952*1000</f>
        <v>1757952</v>
      </c>
      <c r="K1791" s="486"/>
    </row>
    <row r="1792" spans="1:11" ht="14.25" customHeight="1" x14ac:dyDescent="0.2">
      <c r="A1792" s="384" t="s">
        <v>1313</v>
      </c>
      <c r="B1792" s="382" t="s">
        <v>308</v>
      </c>
      <c r="C1792" s="878"/>
      <c r="D1792" s="881"/>
      <c r="E1792" s="485">
        <v>27</v>
      </c>
      <c r="F1792" s="196" t="s">
        <v>13240</v>
      </c>
      <c r="G1792" s="382" t="s">
        <v>543</v>
      </c>
      <c r="H1792" s="461">
        <v>40.299999999999997</v>
      </c>
      <c r="I1792" s="884"/>
      <c r="J1792" s="486">
        <f>973.657*1000</f>
        <v>973657</v>
      </c>
      <c r="K1792" s="486"/>
    </row>
    <row r="1793" spans="1:11" ht="14.25" customHeight="1" x14ac:dyDescent="0.2">
      <c r="A1793" s="384" t="s">
        <v>1889</v>
      </c>
      <c r="B1793" s="382" t="s">
        <v>308</v>
      </c>
      <c r="C1793" s="878"/>
      <c r="D1793" s="881"/>
      <c r="E1793" s="485">
        <v>31</v>
      </c>
      <c r="F1793" s="196" t="s">
        <v>2745</v>
      </c>
      <c r="G1793" s="382" t="s">
        <v>134</v>
      </c>
      <c r="H1793" s="461">
        <v>40</v>
      </c>
      <c r="I1793" s="884"/>
      <c r="J1793" s="486">
        <f>966.41*1000</f>
        <v>966410</v>
      </c>
      <c r="K1793" s="486">
        <v>847343.69</v>
      </c>
    </row>
    <row r="1794" spans="1:11" ht="14.25" customHeight="1" x14ac:dyDescent="0.2">
      <c r="A1794" s="384" t="s">
        <v>1890</v>
      </c>
      <c r="B1794" s="382" t="s">
        <v>308</v>
      </c>
      <c r="C1794" s="878"/>
      <c r="D1794" s="881"/>
      <c r="E1794" s="485">
        <v>45</v>
      </c>
      <c r="F1794" s="196" t="s">
        <v>13241</v>
      </c>
      <c r="G1794" s="382" t="s">
        <v>543</v>
      </c>
      <c r="H1794" s="461">
        <v>68.3</v>
      </c>
      <c r="I1794" s="884"/>
      <c r="J1794" s="486">
        <f>1548.753*1000</f>
        <v>1548753</v>
      </c>
      <c r="K1794" s="486"/>
    </row>
    <row r="1795" spans="1:11" ht="14.25" customHeight="1" x14ac:dyDescent="0.2">
      <c r="A1795" s="384" t="s">
        <v>1891</v>
      </c>
      <c r="B1795" s="382" t="s">
        <v>308</v>
      </c>
      <c r="C1795" s="878"/>
      <c r="D1795" s="881"/>
      <c r="E1795" s="485">
        <v>59</v>
      </c>
      <c r="F1795" s="196" t="s">
        <v>13242</v>
      </c>
      <c r="G1795" s="382" t="s">
        <v>133</v>
      </c>
      <c r="H1795" s="461">
        <v>39.9</v>
      </c>
      <c r="I1795" s="884"/>
      <c r="J1795" s="486">
        <f>963.994*1000</f>
        <v>963994</v>
      </c>
      <c r="K1795" s="486"/>
    </row>
    <row r="1796" spans="1:11" ht="14.25" customHeight="1" x14ac:dyDescent="0.2">
      <c r="A1796" s="384" t="s">
        <v>1892</v>
      </c>
      <c r="B1796" s="382" t="s">
        <v>308</v>
      </c>
      <c r="C1796" s="878"/>
      <c r="D1796" s="881"/>
      <c r="E1796" s="485">
        <v>60</v>
      </c>
      <c r="F1796" s="196" t="s">
        <v>13243</v>
      </c>
      <c r="G1796" s="382" t="s">
        <v>133</v>
      </c>
      <c r="H1796" s="461">
        <v>56.4</v>
      </c>
      <c r="I1796" s="884"/>
      <c r="J1796" s="486">
        <f>1362.638*1000</f>
        <v>1362638</v>
      </c>
      <c r="K1796" s="486"/>
    </row>
    <row r="1797" spans="1:11" ht="14.25" customHeight="1" x14ac:dyDescent="0.2">
      <c r="A1797" s="765" t="s">
        <v>14258</v>
      </c>
      <c r="B1797" s="765" t="s">
        <v>308</v>
      </c>
      <c r="C1797" s="879"/>
      <c r="D1797" s="882"/>
      <c r="E1797" s="766">
        <v>43</v>
      </c>
      <c r="F1797" s="767" t="s">
        <v>14259</v>
      </c>
      <c r="G1797" s="768" t="s">
        <v>143</v>
      </c>
      <c r="H1797" s="769">
        <v>40</v>
      </c>
      <c r="I1797" s="885"/>
      <c r="J1797" s="763">
        <v>1083000</v>
      </c>
      <c r="K1797" s="486"/>
    </row>
    <row r="1798" spans="1:11" ht="25.5" customHeight="1" x14ac:dyDescent="0.2">
      <c r="A1798" s="383" t="s">
        <v>1314</v>
      </c>
      <c r="B1798" s="382"/>
      <c r="C1798" s="877" t="s">
        <v>13244</v>
      </c>
      <c r="D1798" s="880">
        <v>2</v>
      </c>
      <c r="E1798" s="485"/>
      <c r="F1798" s="196"/>
      <c r="G1798" s="382" t="s">
        <v>2773</v>
      </c>
      <c r="H1798" s="461">
        <f>965.1-965.1</f>
        <v>0</v>
      </c>
      <c r="I1798" s="883">
        <v>2009</v>
      </c>
      <c r="J1798" s="461">
        <f>22431381-22431381</f>
        <v>0</v>
      </c>
      <c r="K1798" s="486"/>
    </row>
    <row r="1799" spans="1:11" ht="25.5" customHeight="1" x14ac:dyDescent="0.2">
      <c r="A1799" s="382" t="s">
        <v>12480</v>
      </c>
      <c r="B1799" s="382" t="s">
        <v>308</v>
      </c>
      <c r="C1799" s="878"/>
      <c r="D1799" s="881"/>
      <c r="E1799" s="485">
        <v>18</v>
      </c>
      <c r="F1799" s="196" t="s">
        <v>12481</v>
      </c>
      <c r="G1799" s="382" t="s">
        <v>2774</v>
      </c>
      <c r="H1799" s="461">
        <v>51.6</v>
      </c>
      <c r="I1799" s="884"/>
      <c r="J1799" s="461">
        <v>1153053</v>
      </c>
      <c r="K1799" s="486">
        <v>652702.32999999996</v>
      </c>
    </row>
    <row r="1800" spans="1:11" ht="24.75" customHeight="1" x14ac:dyDescent="0.2">
      <c r="A1800" s="382" t="s">
        <v>12697</v>
      </c>
      <c r="B1800" s="382" t="s">
        <v>308</v>
      </c>
      <c r="C1800" s="879"/>
      <c r="D1800" s="882"/>
      <c r="E1800" s="485">
        <v>5</v>
      </c>
      <c r="F1800" s="196" t="s">
        <v>12698</v>
      </c>
      <c r="G1800" s="382" t="s">
        <v>543</v>
      </c>
      <c r="H1800" s="461">
        <v>52.9</v>
      </c>
      <c r="I1800" s="885"/>
      <c r="J1800" s="461">
        <v>1521915.34</v>
      </c>
      <c r="K1800" s="486">
        <v>43829</v>
      </c>
    </row>
    <row r="1801" spans="1:11" ht="15.75" customHeight="1" x14ac:dyDescent="0.2">
      <c r="A1801" s="383" t="s">
        <v>1315</v>
      </c>
      <c r="B1801" s="382"/>
      <c r="C1801" s="893" t="s">
        <v>13245</v>
      </c>
      <c r="D1801" s="898">
        <v>9</v>
      </c>
      <c r="E1801" s="485"/>
      <c r="F1801" s="196" t="s">
        <v>2807</v>
      </c>
      <c r="G1801" s="382" t="s">
        <v>2806</v>
      </c>
      <c r="H1801" s="461">
        <f>1082.9-1082.9</f>
        <v>0</v>
      </c>
      <c r="I1801" s="891">
        <v>2009</v>
      </c>
      <c r="J1801" s="486">
        <f>27788550-27788550</f>
        <v>0</v>
      </c>
      <c r="K1801" s="486"/>
    </row>
    <row r="1802" spans="1:11" ht="25.5" customHeight="1" x14ac:dyDescent="0.2">
      <c r="A1802" s="382" t="s">
        <v>1893</v>
      </c>
      <c r="B1802" s="382" t="s">
        <v>308</v>
      </c>
      <c r="C1802" s="893"/>
      <c r="D1802" s="898"/>
      <c r="E1802" s="485">
        <v>3</v>
      </c>
      <c r="F1802" s="196" t="s">
        <v>3112</v>
      </c>
      <c r="G1802" s="382" t="s">
        <v>143</v>
      </c>
      <c r="H1802" s="461">
        <v>58.1</v>
      </c>
      <c r="I1802" s="891"/>
      <c r="J1802" s="486">
        <v>1490917.68</v>
      </c>
      <c r="K1802" s="486">
        <v>797688.02</v>
      </c>
    </row>
    <row r="1803" spans="1:11" ht="15.75" customHeight="1" x14ac:dyDescent="0.2">
      <c r="A1803" s="382" t="s">
        <v>1894</v>
      </c>
      <c r="B1803" s="382" t="s">
        <v>5459</v>
      </c>
      <c r="C1803" s="893"/>
      <c r="D1803" s="898"/>
      <c r="E1803" s="485">
        <v>7</v>
      </c>
      <c r="F1803" s="40" t="s">
        <v>3113</v>
      </c>
      <c r="G1803" s="382" t="s">
        <v>11647</v>
      </c>
      <c r="H1803" s="461">
        <v>41.7</v>
      </c>
      <c r="I1803" s="891"/>
      <c r="J1803" s="461">
        <v>1063227</v>
      </c>
      <c r="K1803" s="486"/>
    </row>
    <row r="1804" spans="1:11" ht="15.75" customHeight="1" x14ac:dyDescent="0.2">
      <c r="A1804" s="382" t="s">
        <v>1895</v>
      </c>
      <c r="B1804" s="382" t="s">
        <v>308</v>
      </c>
      <c r="C1804" s="893"/>
      <c r="D1804" s="898"/>
      <c r="E1804" s="485">
        <v>10</v>
      </c>
      <c r="F1804" s="196" t="s">
        <v>11648</v>
      </c>
      <c r="G1804" s="382" t="s">
        <v>143</v>
      </c>
      <c r="H1804" s="461">
        <v>58</v>
      </c>
      <c r="I1804" s="891"/>
      <c r="J1804" s="486">
        <v>1488351.56</v>
      </c>
      <c r="K1804" s="486"/>
    </row>
    <row r="1805" spans="1:11" ht="15.75" customHeight="1" x14ac:dyDescent="0.2">
      <c r="A1805" s="384" t="s">
        <v>1896</v>
      </c>
      <c r="B1805" s="382" t="s">
        <v>308</v>
      </c>
      <c r="C1805" s="893"/>
      <c r="D1805" s="898"/>
      <c r="E1805" s="485">
        <v>12</v>
      </c>
      <c r="F1805" s="196" t="s">
        <v>2787</v>
      </c>
      <c r="G1805" s="382" t="s">
        <v>143</v>
      </c>
      <c r="H1805" s="461">
        <v>41.8</v>
      </c>
      <c r="I1805" s="891"/>
      <c r="J1805" s="486">
        <v>1083930.53</v>
      </c>
      <c r="K1805" s="486">
        <v>574552.69999999995</v>
      </c>
    </row>
    <row r="1806" spans="1:11" ht="15.75" customHeight="1" x14ac:dyDescent="0.2">
      <c r="A1806" s="384" t="s">
        <v>1897</v>
      </c>
      <c r="B1806" s="382" t="s">
        <v>308</v>
      </c>
      <c r="C1806" s="893"/>
      <c r="D1806" s="898"/>
      <c r="E1806" s="485">
        <v>16</v>
      </c>
      <c r="F1806" s="196" t="s">
        <v>11649</v>
      </c>
      <c r="G1806" s="382" t="s">
        <v>134</v>
      </c>
      <c r="H1806" s="461">
        <v>57.6</v>
      </c>
      <c r="I1806" s="891"/>
      <c r="J1806" s="486">
        <v>1478087.08</v>
      </c>
      <c r="K1806" s="486">
        <v>790823.23</v>
      </c>
    </row>
    <row r="1807" spans="1:11" ht="39.75" customHeight="1" x14ac:dyDescent="0.2">
      <c r="A1807" s="383" t="s">
        <v>1898</v>
      </c>
      <c r="B1807" s="481" t="s">
        <v>308</v>
      </c>
      <c r="C1807" s="617" t="s">
        <v>13246</v>
      </c>
      <c r="D1807" s="619">
        <v>41</v>
      </c>
      <c r="E1807" s="485">
        <v>2</v>
      </c>
      <c r="F1807" s="196"/>
      <c r="G1807" s="382"/>
      <c r="H1807" s="461">
        <v>42</v>
      </c>
      <c r="I1807" s="555"/>
      <c r="J1807" s="461">
        <v>0.01</v>
      </c>
      <c r="K1807" s="486"/>
    </row>
    <row r="1808" spans="1:11" ht="12.75" customHeight="1" x14ac:dyDescent="0.2">
      <c r="A1808" s="383" t="s">
        <v>1899</v>
      </c>
      <c r="B1808" s="382"/>
      <c r="C1808" s="893" t="s">
        <v>13247</v>
      </c>
      <c r="D1808" s="898">
        <v>3</v>
      </c>
      <c r="E1808" s="485"/>
      <c r="F1808" s="294"/>
      <c r="G1808" s="519"/>
      <c r="H1808" s="461">
        <f>974-974</f>
        <v>0</v>
      </c>
      <c r="I1808" s="891">
        <v>2009</v>
      </c>
      <c r="J1808" s="461">
        <f>22618448-22618448</f>
        <v>0</v>
      </c>
      <c r="K1808" s="486"/>
    </row>
    <row r="1809" spans="1:11" x14ac:dyDescent="0.2">
      <c r="A1809" s="382" t="s">
        <v>1900</v>
      </c>
      <c r="B1809" s="382" t="s">
        <v>308</v>
      </c>
      <c r="C1809" s="893"/>
      <c r="D1809" s="898"/>
      <c r="E1809" s="485">
        <v>1</v>
      </c>
      <c r="F1809" s="196" t="s">
        <v>478</v>
      </c>
      <c r="G1809" s="382" t="s">
        <v>143</v>
      </c>
      <c r="H1809" s="461">
        <v>73.8</v>
      </c>
      <c r="I1809" s="891"/>
      <c r="J1809" s="461">
        <f>22618448/974*H1809</f>
        <v>1713800.2694045173</v>
      </c>
      <c r="K1809" s="486">
        <v>933516.13</v>
      </c>
    </row>
    <row r="1810" spans="1:11" x14ac:dyDescent="0.2">
      <c r="A1810" s="384" t="s">
        <v>1316</v>
      </c>
      <c r="B1810" s="382" t="s">
        <v>308</v>
      </c>
      <c r="C1810" s="893"/>
      <c r="D1810" s="898"/>
      <c r="E1810" s="485">
        <v>2</v>
      </c>
      <c r="F1810" s="196" t="s">
        <v>2788</v>
      </c>
      <c r="G1810" s="382" t="s">
        <v>143</v>
      </c>
      <c r="H1810" s="461">
        <v>52.4</v>
      </c>
      <c r="I1810" s="891"/>
      <c r="J1810" s="461">
        <v>1216844.69</v>
      </c>
      <c r="K1810" s="486">
        <v>662821.75</v>
      </c>
    </row>
    <row r="1811" spans="1:11" x14ac:dyDescent="0.2">
      <c r="A1811" s="382" t="s">
        <v>1317</v>
      </c>
      <c r="B1811" s="382" t="s">
        <v>308</v>
      </c>
      <c r="C1811" s="893"/>
      <c r="D1811" s="898"/>
      <c r="E1811" s="485">
        <v>5</v>
      </c>
      <c r="F1811" s="196" t="s">
        <v>3107</v>
      </c>
      <c r="G1811" s="382" t="s">
        <v>543</v>
      </c>
      <c r="H1811" s="461">
        <v>53.4</v>
      </c>
      <c r="I1811" s="891"/>
      <c r="J1811" s="461">
        <v>1240066.8600000001</v>
      </c>
      <c r="K1811" s="486">
        <v>675471.02</v>
      </c>
    </row>
    <row r="1812" spans="1:11" x14ac:dyDescent="0.2">
      <c r="A1812" s="382" t="s">
        <v>1318</v>
      </c>
      <c r="B1812" s="382" t="s">
        <v>308</v>
      </c>
      <c r="C1812" s="893"/>
      <c r="D1812" s="898"/>
      <c r="E1812" s="485">
        <v>6</v>
      </c>
      <c r="F1812" s="196" t="s">
        <v>3106</v>
      </c>
      <c r="G1812" s="382" t="s">
        <v>543</v>
      </c>
      <c r="H1812" s="461">
        <v>36.700000000000003</v>
      </c>
      <c r="I1812" s="891"/>
      <c r="J1812" s="461">
        <v>852255.69</v>
      </c>
      <c r="K1812" s="486">
        <v>488217.53</v>
      </c>
    </row>
    <row r="1813" spans="1:11" x14ac:dyDescent="0.2">
      <c r="A1813" s="382" t="s">
        <v>13248</v>
      </c>
      <c r="B1813" s="382" t="s">
        <v>308</v>
      </c>
      <c r="C1813" s="893"/>
      <c r="D1813" s="898"/>
      <c r="E1813" s="485">
        <v>12</v>
      </c>
      <c r="F1813" s="196" t="s">
        <v>13249</v>
      </c>
      <c r="G1813" s="382" t="s">
        <v>143</v>
      </c>
      <c r="H1813" s="461">
        <f>52.9</f>
        <v>52.9</v>
      </c>
      <c r="I1813" s="891"/>
      <c r="J1813" s="461">
        <f>1233100.25</f>
        <v>1233100.25</v>
      </c>
      <c r="K1813" s="486">
        <f>669146.38</f>
        <v>669146.38</v>
      </c>
    </row>
    <row r="1814" spans="1:11" x14ac:dyDescent="0.2">
      <c r="A1814" s="382" t="s">
        <v>1319</v>
      </c>
      <c r="B1814" s="382" t="s">
        <v>308</v>
      </c>
      <c r="C1814" s="893"/>
      <c r="D1814" s="898"/>
      <c r="E1814" s="485">
        <v>14</v>
      </c>
      <c r="F1814" s="382" t="s">
        <v>3108</v>
      </c>
      <c r="G1814" s="382" t="s">
        <v>543</v>
      </c>
      <c r="H1814" s="461">
        <v>55.8</v>
      </c>
      <c r="I1814" s="891"/>
      <c r="J1814" s="461">
        <v>1295800.2</v>
      </c>
      <c r="K1814" s="486">
        <v>705829.27</v>
      </c>
    </row>
    <row r="1815" spans="1:11" x14ac:dyDescent="0.2">
      <c r="A1815" s="382" t="s">
        <v>1320</v>
      </c>
      <c r="B1815" s="382" t="s">
        <v>308</v>
      </c>
      <c r="C1815" s="893"/>
      <c r="D1815" s="898"/>
      <c r="E1815" s="485">
        <v>15</v>
      </c>
      <c r="F1815" s="196" t="s">
        <v>3109</v>
      </c>
      <c r="G1815" s="382" t="s">
        <v>543</v>
      </c>
      <c r="H1815" s="461">
        <v>53.2</v>
      </c>
      <c r="I1815" s="891"/>
      <c r="J1815" s="461">
        <v>1235422.42</v>
      </c>
      <c r="K1815" s="486">
        <v>672941.16</v>
      </c>
    </row>
    <row r="1816" spans="1:11" x14ac:dyDescent="0.2">
      <c r="A1816" s="382" t="s">
        <v>1321</v>
      </c>
      <c r="B1816" s="382" t="s">
        <v>308</v>
      </c>
      <c r="C1816" s="893"/>
      <c r="D1816" s="898"/>
      <c r="E1816" s="485">
        <v>16</v>
      </c>
      <c r="F1816" s="196" t="s">
        <v>3110</v>
      </c>
      <c r="G1816" s="382" t="s">
        <v>134</v>
      </c>
      <c r="H1816" s="461">
        <v>53.3</v>
      </c>
      <c r="I1816" s="891"/>
      <c r="J1816" s="461">
        <v>1237744.6399999999</v>
      </c>
      <c r="K1816" s="486">
        <v>674206.09</v>
      </c>
    </row>
    <row r="1817" spans="1:11" x14ac:dyDescent="0.2">
      <c r="A1817" s="382" t="s">
        <v>1322</v>
      </c>
      <c r="B1817" s="382" t="s">
        <v>308</v>
      </c>
      <c r="C1817" s="893"/>
      <c r="D1817" s="898"/>
      <c r="E1817" s="485">
        <v>17</v>
      </c>
      <c r="F1817" s="196" t="s">
        <v>11650</v>
      </c>
      <c r="G1817" s="382" t="s">
        <v>134</v>
      </c>
      <c r="H1817" s="461">
        <v>55.9</v>
      </c>
      <c r="I1817" s="891"/>
      <c r="J1817" s="461">
        <v>1298122.43</v>
      </c>
      <c r="K1817" s="486">
        <v>707094.19</v>
      </c>
    </row>
    <row r="1818" spans="1:11" ht="25.5" customHeight="1" x14ac:dyDescent="0.2">
      <c r="A1818" s="382" t="s">
        <v>1323</v>
      </c>
      <c r="B1818" s="382" t="s">
        <v>308</v>
      </c>
      <c r="C1818" s="893"/>
      <c r="D1818" s="898"/>
      <c r="E1818" s="485">
        <v>18</v>
      </c>
      <c r="F1818" s="196" t="s">
        <v>3111</v>
      </c>
      <c r="G1818" s="382" t="s">
        <v>134</v>
      </c>
      <c r="H1818" s="461">
        <v>52.8</v>
      </c>
      <c r="I1818" s="891"/>
      <c r="J1818" s="461">
        <v>1226133.53</v>
      </c>
      <c r="K1818" s="486">
        <v>667881.46</v>
      </c>
    </row>
    <row r="1819" spans="1:11" ht="25.5" customHeight="1" x14ac:dyDescent="0.2">
      <c r="A1819" s="383" t="s">
        <v>1324</v>
      </c>
      <c r="B1819" s="382" t="s">
        <v>2798</v>
      </c>
      <c r="C1819" s="893" t="s">
        <v>13250</v>
      </c>
      <c r="D1819" s="898">
        <v>33</v>
      </c>
      <c r="E1819" s="485"/>
      <c r="F1819" s="196"/>
      <c r="G1819" s="382" t="s">
        <v>2796</v>
      </c>
      <c r="H1819" s="461">
        <f>2015.3-2015.3</f>
        <v>0</v>
      </c>
      <c r="I1819" s="891">
        <v>2009</v>
      </c>
      <c r="J1819" s="461">
        <f>74314690-74314690</f>
        <v>0</v>
      </c>
      <c r="K1819" s="486"/>
    </row>
    <row r="1820" spans="1:11" x14ac:dyDescent="0.2">
      <c r="A1820" s="382" t="s">
        <v>12409</v>
      </c>
      <c r="B1820" s="382" t="s">
        <v>308</v>
      </c>
      <c r="C1820" s="893"/>
      <c r="D1820" s="898"/>
      <c r="E1820" s="485">
        <v>27</v>
      </c>
      <c r="F1820" s="40" t="s">
        <v>12410</v>
      </c>
      <c r="G1820" s="382" t="s">
        <v>543</v>
      </c>
      <c r="H1820" s="461">
        <f>55.9</f>
        <v>55.9</v>
      </c>
      <c r="I1820" s="891"/>
      <c r="J1820" s="461">
        <f>1675979.35</f>
        <v>1675979.35</v>
      </c>
      <c r="K1820" s="556">
        <f>1179741.79</f>
        <v>1179741.79</v>
      </c>
    </row>
    <row r="1821" spans="1:11" ht="24" customHeight="1" x14ac:dyDescent="0.2">
      <c r="A1821" s="384" t="s">
        <v>1901</v>
      </c>
      <c r="B1821" s="382" t="s">
        <v>308</v>
      </c>
      <c r="C1821" s="893"/>
      <c r="D1821" s="898"/>
      <c r="E1821" s="485">
        <v>39</v>
      </c>
      <c r="F1821" s="196" t="s">
        <v>2799</v>
      </c>
      <c r="G1821" s="382" t="s">
        <v>133</v>
      </c>
      <c r="H1821" s="461">
        <v>56.6</v>
      </c>
      <c r="I1821" s="891"/>
      <c r="J1821" s="461">
        <f>74314690/2015.3*H1821</f>
        <v>2087139.1127871783</v>
      </c>
      <c r="K1821" s="486">
        <v>1153987.53</v>
      </c>
    </row>
    <row r="1822" spans="1:11" ht="25.5" x14ac:dyDescent="0.2">
      <c r="A1822" s="384"/>
      <c r="B1822" s="382" t="s">
        <v>2797</v>
      </c>
      <c r="C1822" s="893"/>
      <c r="D1822" s="898"/>
      <c r="E1822" s="485"/>
      <c r="F1822" s="196"/>
      <c r="G1822" s="382" t="s">
        <v>2796</v>
      </c>
      <c r="H1822" s="461">
        <f>2028.4-2028.4</f>
        <v>0</v>
      </c>
      <c r="I1822" s="891"/>
      <c r="J1822" s="461">
        <f>59370736-59370736</f>
        <v>0</v>
      </c>
      <c r="K1822" s="486"/>
    </row>
    <row r="1823" spans="1:11" x14ac:dyDescent="0.2">
      <c r="A1823" s="384" t="s">
        <v>1902</v>
      </c>
      <c r="B1823" s="382" t="s">
        <v>308</v>
      </c>
      <c r="C1823" s="893"/>
      <c r="D1823" s="898"/>
      <c r="E1823" s="485">
        <v>46</v>
      </c>
      <c r="F1823" s="196" t="s">
        <v>2800</v>
      </c>
      <c r="G1823" s="382" t="s">
        <v>543</v>
      </c>
      <c r="H1823" s="461">
        <v>40.200000000000003</v>
      </c>
      <c r="I1823" s="891"/>
      <c r="J1823" s="461">
        <f>74314690/2015.3*H1823</f>
        <v>1482385.0235696919</v>
      </c>
      <c r="K1823" s="486">
        <v>851580.41</v>
      </c>
    </row>
    <row r="1824" spans="1:11" ht="12.75" customHeight="1" x14ac:dyDescent="0.2">
      <c r="A1824" s="382" t="s">
        <v>1903</v>
      </c>
      <c r="B1824" s="382" t="s">
        <v>308</v>
      </c>
      <c r="C1824" s="893"/>
      <c r="D1824" s="898"/>
      <c r="E1824" s="485">
        <v>61</v>
      </c>
      <c r="F1824" s="382" t="s">
        <v>520</v>
      </c>
      <c r="G1824" s="382" t="s">
        <v>143</v>
      </c>
      <c r="H1824" s="461">
        <v>40</v>
      </c>
      <c r="I1824" s="891"/>
      <c r="J1824" s="461">
        <v>1170789.51</v>
      </c>
      <c r="K1824" s="486">
        <v>818702.41</v>
      </c>
    </row>
    <row r="1825" spans="1:11" ht="12.75" customHeight="1" x14ac:dyDescent="0.2">
      <c r="A1825" s="383" t="s">
        <v>1325</v>
      </c>
      <c r="B1825" s="382"/>
      <c r="C1825" s="877" t="s">
        <v>13251</v>
      </c>
      <c r="D1825" s="880">
        <v>34</v>
      </c>
      <c r="E1825" s="485"/>
      <c r="F1825" s="196"/>
      <c r="G1825" s="490"/>
      <c r="H1825" s="461">
        <f>1997.2-1997.2</f>
        <v>0</v>
      </c>
      <c r="I1825" s="883">
        <v>2010</v>
      </c>
      <c r="J1825" s="461">
        <f>61216696-61216696</f>
        <v>0</v>
      </c>
      <c r="K1825" s="486"/>
    </row>
    <row r="1826" spans="1:11" x14ac:dyDescent="0.2">
      <c r="A1826" s="382" t="s">
        <v>1904</v>
      </c>
      <c r="B1826" s="382" t="s">
        <v>308</v>
      </c>
      <c r="C1826" s="878"/>
      <c r="D1826" s="881"/>
      <c r="E1826" s="485">
        <v>15</v>
      </c>
      <c r="F1826" s="451" t="s">
        <v>521</v>
      </c>
      <c r="G1826" s="490" t="s">
        <v>538</v>
      </c>
      <c r="H1826" s="529">
        <v>55.9</v>
      </c>
      <c r="I1826" s="884"/>
      <c r="J1826" s="461">
        <v>1713405.42</v>
      </c>
      <c r="K1826" s="486">
        <v>1179741.79</v>
      </c>
    </row>
    <row r="1827" spans="1:11" ht="12.75" customHeight="1" x14ac:dyDescent="0.2">
      <c r="A1827" s="384" t="s">
        <v>1905</v>
      </c>
      <c r="B1827" s="382" t="s">
        <v>308</v>
      </c>
      <c r="C1827" s="878"/>
      <c r="D1827" s="881"/>
      <c r="E1827" s="485">
        <v>27</v>
      </c>
      <c r="F1827" s="451" t="s">
        <v>2801</v>
      </c>
      <c r="G1827" s="490" t="s">
        <v>134</v>
      </c>
      <c r="H1827" s="529">
        <v>51.1</v>
      </c>
      <c r="I1827" s="884"/>
      <c r="J1827" s="461">
        <f>61216696/1997.2*H1827</f>
        <v>1566279.3739234929</v>
      </c>
      <c r="K1827" s="486">
        <v>1078440.17</v>
      </c>
    </row>
    <row r="1828" spans="1:11" x14ac:dyDescent="0.2">
      <c r="A1828" s="384" t="s">
        <v>1906</v>
      </c>
      <c r="B1828" s="382" t="s">
        <v>308</v>
      </c>
      <c r="C1828" s="878"/>
      <c r="D1828" s="881"/>
      <c r="E1828" s="485">
        <v>36</v>
      </c>
      <c r="F1828" s="451" t="s">
        <v>2802</v>
      </c>
      <c r="G1828" s="490" t="s">
        <v>133</v>
      </c>
      <c r="H1828" s="529">
        <v>56.2</v>
      </c>
      <c r="I1828" s="884"/>
      <c r="J1828" s="461">
        <f>61216696/1997.2*H1828</f>
        <v>1722600.7987182054</v>
      </c>
      <c r="K1828" s="486">
        <v>1145832.1399999999</v>
      </c>
    </row>
    <row r="1829" spans="1:11" ht="25.5" x14ac:dyDescent="0.2">
      <c r="A1829" s="382" t="s">
        <v>12482</v>
      </c>
      <c r="B1829" s="382" t="s">
        <v>12505</v>
      </c>
      <c r="C1829" s="878"/>
      <c r="D1829" s="881"/>
      <c r="E1829" s="485">
        <v>6</v>
      </c>
      <c r="F1829" s="451" t="s">
        <v>12483</v>
      </c>
      <c r="G1829" s="490" t="s">
        <v>543</v>
      </c>
      <c r="H1829" s="529">
        <v>39.9</v>
      </c>
      <c r="I1829" s="884"/>
      <c r="J1829" s="461">
        <v>850000</v>
      </c>
      <c r="K1829" s="486">
        <v>845225.33</v>
      </c>
    </row>
    <row r="1830" spans="1:11" x14ac:dyDescent="0.2">
      <c r="A1830" s="761" t="s">
        <v>14281</v>
      </c>
      <c r="B1830" s="761" t="s">
        <v>308</v>
      </c>
      <c r="C1830" s="878"/>
      <c r="D1830" s="881"/>
      <c r="E1830" s="766">
        <v>33</v>
      </c>
      <c r="F1830" s="780" t="s">
        <v>14282</v>
      </c>
      <c r="G1830" s="781" t="s">
        <v>538</v>
      </c>
      <c r="H1830" s="782">
        <v>40.200000000000003</v>
      </c>
      <c r="I1830" s="884"/>
      <c r="J1830" s="783">
        <v>1098480</v>
      </c>
      <c r="K1830" s="784">
        <v>851580.41</v>
      </c>
    </row>
    <row r="1831" spans="1:11" x14ac:dyDescent="0.2">
      <c r="A1831" s="768" t="s">
        <v>14847</v>
      </c>
      <c r="B1831" s="768" t="s">
        <v>308</v>
      </c>
      <c r="C1831" s="879"/>
      <c r="D1831" s="882"/>
      <c r="E1831" s="780">
        <v>14</v>
      </c>
      <c r="F1831" s="780" t="s">
        <v>14848</v>
      </c>
      <c r="G1831" s="781" t="s">
        <v>538</v>
      </c>
      <c r="H1831" s="782">
        <f>39.8</f>
        <v>39.799999999999997</v>
      </c>
      <c r="I1831" s="885"/>
      <c r="J1831" s="783">
        <v>1009311.6</v>
      </c>
      <c r="K1831" s="784">
        <v>843106.97</v>
      </c>
    </row>
    <row r="1832" spans="1:11" ht="12.75" customHeight="1" x14ac:dyDescent="0.2">
      <c r="A1832" s="383" t="s">
        <v>1326</v>
      </c>
      <c r="B1832" s="382"/>
      <c r="C1832" s="877" t="s">
        <v>13252</v>
      </c>
      <c r="D1832" s="880">
        <v>4</v>
      </c>
      <c r="E1832" s="557"/>
      <c r="F1832" s="294"/>
      <c r="G1832" s="519"/>
      <c r="H1832" s="492">
        <f>1247.3-1247.3</f>
        <v>0</v>
      </c>
      <c r="I1832" s="883">
        <v>2010</v>
      </c>
      <c r="J1832" s="461">
        <f>30187295-30187295</f>
        <v>0</v>
      </c>
      <c r="K1832" s="486"/>
    </row>
    <row r="1833" spans="1:11" ht="15" customHeight="1" x14ac:dyDescent="0.2">
      <c r="A1833" s="382" t="s">
        <v>1327</v>
      </c>
      <c r="B1833" s="382" t="s">
        <v>308</v>
      </c>
      <c r="C1833" s="878"/>
      <c r="D1833" s="881"/>
      <c r="E1833" s="485">
        <v>11</v>
      </c>
      <c r="F1833" s="196" t="s">
        <v>3105</v>
      </c>
      <c r="G1833" s="382" t="s">
        <v>134</v>
      </c>
      <c r="H1833" s="492">
        <v>44</v>
      </c>
      <c r="I1833" s="884"/>
      <c r="J1833" s="461">
        <v>1064892.95</v>
      </c>
      <c r="K1833" s="486">
        <v>617581.36</v>
      </c>
    </row>
    <row r="1834" spans="1:11" ht="13.5" customHeight="1" x14ac:dyDescent="0.2">
      <c r="A1834" s="384" t="s">
        <v>1328</v>
      </c>
      <c r="B1834" s="382" t="s">
        <v>308</v>
      </c>
      <c r="C1834" s="878"/>
      <c r="D1834" s="881"/>
      <c r="E1834" s="485">
        <v>15</v>
      </c>
      <c r="F1834" s="196" t="s">
        <v>2789</v>
      </c>
      <c r="G1834" s="382" t="s">
        <v>143</v>
      </c>
      <c r="H1834" s="492">
        <v>45.2</v>
      </c>
      <c r="I1834" s="884"/>
      <c r="J1834" s="461">
        <f>30187295/1247.3*H1834</f>
        <v>1093935.4878537643</v>
      </c>
      <c r="K1834" s="486">
        <v>634424.49</v>
      </c>
    </row>
    <row r="1835" spans="1:11" ht="14.25" customHeight="1" x14ac:dyDescent="0.2">
      <c r="A1835" s="382" t="s">
        <v>1329</v>
      </c>
      <c r="B1835" s="382" t="s">
        <v>308</v>
      </c>
      <c r="C1835" s="878"/>
      <c r="D1835" s="881"/>
      <c r="E1835" s="485">
        <v>22</v>
      </c>
      <c r="F1835" s="196" t="s">
        <v>11651</v>
      </c>
      <c r="G1835" s="382" t="s">
        <v>134</v>
      </c>
      <c r="H1835" s="492">
        <v>66.900000000000006</v>
      </c>
      <c r="I1835" s="884"/>
      <c r="J1835" s="461">
        <v>1619121.33</v>
      </c>
      <c r="K1835" s="486">
        <v>918508.23</v>
      </c>
    </row>
    <row r="1836" spans="1:11" ht="14.25" customHeight="1" x14ac:dyDescent="0.2">
      <c r="A1836" s="382" t="s">
        <v>12693</v>
      </c>
      <c r="B1836" s="382" t="s">
        <v>308</v>
      </c>
      <c r="C1836" s="879"/>
      <c r="D1836" s="882"/>
      <c r="E1836" s="485">
        <v>1</v>
      </c>
      <c r="F1836" s="196" t="s">
        <v>12694</v>
      </c>
      <c r="G1836" s="382" t="s">
        <v>143</v>
      </c>
      <c r="H1836" s="461">
        <v>50.2</v>
      </c>
      <c r="I1836" s="885"/>
      <c r="J1836" s="461">
        <v>642487.4</v>
      </c>
      <c r="K1836" s="486">
        <v>689224.41</v>
      </c>
    </row>
    <row r="1837" spans="1:11" ht="12.75" customHeight="1" x14ac:dyDescent="0.2">
      <c r="A1837" s="383" t="s">
        <v>1330</v>
      </c>
      <c r="B1837" s="382"/>
      <c r="C1837" s="877" t="s">
        <v>13253</v>
      </c>
      <c r="D1837" s="958" t="s">
        <v>2793</v>
      </c>
      <c r="E1837" s="485"/>
      <c r="F1837" s="196"/>
      <c r="G1837" s="382"/>
      <c r="H1837" s="461">
        <f>169-169</f>
        <v>0</v>
      </c>
      <c r="I1837" s="891">
        <v>2010</v>
      </c>
      <c r="J1837" s="461">
        <f>4386000-4386000</f>
        <v>0</v>
      </c>
      <c r="K1837" s="486"/>
    </row>
    <row r="1838" spans="1:11" x14ac:dyDescent="0.2">
      <c r="A1838" s="384" t="s">
        <v>2775</v>
      </c>
      <c r="B1838" s="382" t="s">
        <v>308</v>
      </c>
      <c r="C1838" s="878"/>
      <c r="D1838" s="959"/>
      <c r="E1838" s="485">
        <v>67</v>
      </c>
      <c r="F1838" s="196" t="s">
        <v>2794</v>
      </c>
      <c r="G1838" s="382"/>
      <c r="H1838" s="461">
        <v>56.1</v>
      </c>
      <c r="I1838" s="891"/>
      <c r="J1838" s="461">
        <v>1434000</v>
      </c>
      <c r="K1838" s="486">
        <v>1165373.79</v>
      </c>
    </row>
    <row r="1839" spans="1:11" x14ac:dyDescent="0.2">
      <c r="A1839" s="384" t="s">
        <v>2776</v>
      </c>
      <c r="B1839" s="382" t="s">
        <v>308</v>
      </c>
      <c r="C1839" s="878"/>
      <c r="D1839" s="959"/>
      <c r="E1839" s="485">
        <v>68</v>
      </c>
      <c r="F1839" s="196" t="s">
        <v>2795</v>
      </c>
      <c r="G1839" s="382"/>
      <c r="H1839" s="461">
        <v>56.8</v>
      </c>
      <c r="I1839" s="891"/>
      <c r="J1839" s="461">
        <v>1451000</v>
      </c>
      <c r="K1839" s="486">
        <v>1179915</v>
      </c>
    </row>
    <row r="1840" spans="1:11" x14ac:dyDescent="0.2">
      <c r="A1840" s="384" t="s">
        <v>7992</v>
      </c>
      <c r="B1840" s="382" t="s">
        <v>308</v>
      </c>
      <c r="C1840" s="879"/>
      <c r="D1840" s="960"/>
      <c r="E1840" s="485">
        <v>107</v>
      </c>
      <c r="F1840" s="196" t="s">
        <v>7077</v>
      </c>
      <c r="G1840" s="485" t="s">
        <v>2771</v>
      </c>
      <c r="H1840" s="196">
        <f>40.3</f>
        <v>40.299999999999997</v>
      </c>
      <c r="I1840" s="612"/>
      <c r="J1840" s="297">
        <f>13919351.6/439.9*H1840</f>
        <v>1275175.8796999317</v>
      </c>
      <c r="K1840" s="486">
        <f>822916.33</f>
        <v>822916.33</v>
      </c>
    </row>
    <row r="1841" spans="1:11" ht="25.5" customHeight="1" x14ac:dyDescent="0.2">
      <c r="A1841" s="383" t="s">
        <v>1331</v>
      </c>
      <c r="B1841" s="382"/>
      <c r="C1841" s="893" t="s">
        <v>13254</v>
      </c>
      <c r="D1841" s="890">
        <v>12</v>
      </c>
      <c r="E1841" s="485"/>
      <c r="F1841" s="196"/>
      <c r="G1841" s="382" t="s">
        <v>2791</v>
      </c>
      <c r="H1841" s="461">
        <f>137-137</f>
        <v>0</v>
      </c>
      <c r="I1841" s="891">
        <v>2010</v>
      </c>
      <c r="J1841" s="461">
        <f>3400000-3400000</f>
        <v>0</v>
      </c>
      <c r="K1841" s="486"/>
    </row>
    <row r="1842" spans="1:11" x14ac:dyDescent="0.2">
      <c r="A1842" s="382" t="s">
        <v>1907</v>
      </c>
      <c r="B1842" s="382" t="s">
        <v>308</v>
      </c>
      <c r="C1842" s="893"/>
      <c r="D1842" s="890"/>
      <c r="E1842" s="485">
        <v>3</v>
      </c>
      <c r="F1842" s="382" t="s">
        <v>3103</v>
      </c>
      <c r="G1842" s="382" t="s">
        <v>143</v>
      </c>
      <c r="H1842" s="461">
        <v>34.799999999999997</v>
      </c>
      <c r="I1842" s="891"/>
      <c r="J1842" s="461">
        <v>863649.63503649633</v>
      </c>
      <c r="K1842" s="486">
        <v>392359.91</v>
      </c>
    </row>
    <row r="1843" spans="1:11" x14ac:dyDescent="0.2">
      <c r="A1843" s="382" t="s">
        <v>1908</v>
      </c>
      <c r="B1843" s="382" t="s">
        <v>308</v>
      </c>
      <c r="C1843" s="893"/>
      <c r="D1843" s="890"/>
      <c r="E1843" s="485">
        <v>4</v>
      </c>
      <c r="F1843" s="196" t="s">
        <v>3104</v>
      </c>
      <c r="G1843" s="382" t="s">
        <v>143</v>
      </c>
      <c r="H1843" s="461">
        <v>34.299999999999997</v>
      </c>
      <c r="I1843" s="891"/>
      <c r="J1843" s="461">
        <v>851240.87591240869</v>
      </c>
      <c r="K1843" s="486">
        <v>386722.55</v>
      </c>
    </row>
    <row r="1844" spans="1:11" ht="12.75" customHeight="1" x14ac:dyDescent="0.2">
      <c r="A1844" s="386" t="s">
        <v>1332</v>
      </c>
      <c r="B1844" s="382"/>
      <c r="C1844" s="893" t="s">
        <v>13255</v>
      </c>
      <c r="D1844" s="890">
        <v>10</v>
      </c>
      <c r="E1844" s="485"/>
      <c r="F1844" s="196"/>
      <c r="G1844" s="382"/>
      <c r="H1844" s="461">
        <f>141.3-141.3</f>
        <v>0</v>
      </c>
      <c r="I1844" s="891">
        <v>2010</v>
      </c>
      <c r="J1844" s="461">
        <f>3400000-3400000</f>
        <v>0</v>
      </c>
      <c r="K1844" s="486"/>
    </row>
    <row r="1845" spans="1:11" x14ac:dyDescent="0.2">
      <c r="A1845" s="382" t="s">
        <v>1909</v>
      </c>
      <c r="B1845" s="382" t="s">
        <v>308</v>
      </c>
      <c r="C1845" s="893"/>
      <c r="D1845" s="890"/>
      <c r="E1845" s="485">
        <v>2</v>
      </c>
      <c r="F1845" s="196" t="s">
        <v>11652</v>
      </c>
      <c r="G1845" s="382" t="s">
        <v>143</v>
      </c>
      <c r="H1845" s="461">
        <f>35.4</f>
        <v>35.4</v>
      </c>
      <c r="I1845" s="891"/>
      <c r="J1845" s="461">
        <f>851804.670912951</f>
        <v>851804.670912951</v>
      </c>
      <c r="K1845" s="486">
        <v>399124.73</v>
      </c>
    </row>
    <row r="1846" spans="1:11" ht="24" customHeight="1" x14ac:dyDescent="0.2">
      <c r="A1846" s="382" t="s">
        <v>1910</v>
      </c>
      <c r="B1846" s="382" t="s">
        <v>308</v>
      </c>
      <c r="C1846" s="893"/>
      <c r="D1846" s="890"/>
      <c r="E1846" s="485">
        <v>3</v>
      </c>
      <c r="F1846" s="196" t="s">
        <v>386</v>
      </c>
      <c r="G1846" s="382" t="s">
        <v>143</v>
      </c>
      <c r="H1846" s="461">
        <v>35.200000000000003</v>
      </c>
      <c r="I1846" s="891"/>
      <c r="J1846" s="461">
        <f>3400000/141.3*H1846</f>
        <v>846992.2151450814</v>
      </c>
      <c r="K1846" s="486">
        <v>396869.79</v>
      </c>
    </row>
    <row r="1847" spans="1:11" ht="12.75" customHeight="1" x14ac:dyDescent="0.2">
      <c r="A1847" s="386" t="s">
        <v>1333</v>
      </c>
      <c r="B1847" s="382"/>
      <c r="C1847" s="893" t="s">
        <v>13256</v>
      </c>
      <c r="D1847" s="890">
        <v>20</v>
      </c>
      <c r="E1847" s="485"/>
      <c r="F1847" s="196"/>
      <c r="G1847" s="382"/>
      <c r="H1847" s="461">
        <f>137.1-137.1</f>
        <v>0</v>
      </c>
      <c r="I1847" s="891">
        <v>2010</v>
      </c>
      <c r="J1847" s="461">
        <f>3400000-3400000</f>
        <v>0</v>
      </c>
      <c r="K1847" s="486"/>
    </row>
    <row r="1848" spans="1:11" x14ac:dyDescent="0.2">
      <c r="A1848" s="382" t="s">
        <v>1911</v>
      </c>
      <c r="B1848" s="382" t="s">
        <v>308</v>
      </c>
      <c r="C1848" s="893"/>
      <c r="D1848" s="890"/>
      <c r="E1848" s="485">
        <v>2</v>
      </c>
      <c r="F1848" s="196" t="s">
        <v>3102</v>
      </c>
      <c r="G1848" s="382" t="s">
        <v>143</v>
      </c>
      <c r="H1848" s="461">
        <f>34.3</f>
        <v>34.299999999999997</v>
      </c>
      <c r="I1848" s="891"/>
      <c r="J1848" s="461">
        <f>851804.670912951</f>
        <v>851804.670912951</v>
      </c>
      <c r="K1848" s="486">
        <v>399124.73</v>
      </c>
    </row>
    <row r="1849" spans="1:11" ht="24.75" customHeight="1" x14ac:dyDescent="0.2">
      <c r="A1849" s="383" t="s">
        <v>1334</v>
      </c>
      <c r="B1849" s="382"/>
      <c r="C1849" s="893" t="s">
        <v>13257</v>
      </c>
      <c r="D1849" s="890" t="s">
        <v>380</v>
      </c>
      <c r="E1849" s="485"/>
      <c r="F1849" s="196"/>
      <c r="G1849" s="382" t="s">
        <v>2792</v>
      </c>
      <c r="H1849" s="461">
        <f>138.5-138.5</f>
        <v>0</v>
      </c>
      <c r="I1849" s="891">
        <v>2011</v>
      </c>
      <c r="J1849" s="461">
        <f>3400000-3400000</f>
        <v>0</v>
      </c>
      <c r="K1849" s="486"/>
    </row>
    <row r="1850" spans="1:11" x14ac:dyDescent="0.2">
      <c r="A1850" s="384" t="s">
        <v>1335</v>
      </c>
      <c r="B1850" s="382" t="s">
        <v>308</v>
      </c>
      <c r="C1850" s="893"/>
      <c r="D1850" s="890"/>
      <c r="E1850" s="485">
        <v>1</v>
      </c>
      <c r="F1850" s="196" t="s">
        <v>5431</v>
      </c>
      <c r="G1850" s="382" t="s">
        <v>143</v>
      </c>
      <c r="H1850" s="461">
        <v>34.700000000000003</v>
      </c>
      <c r="I1850" s="891"/>
      <c r="J1850" s="461">
        <f>3400000/138.5*H1850</f>
        <v>851841.15523465711</v>
      </c>
      <c r="K1850" s="486"/>
    </row>
    <row r="1851" spans="1:11" ht="24" customHeight="1" x14ac:dyDescent="0.2">
      <c r="A1851" s="384" t="s">
        <v>1336</v>
      </c>
      <c r="B1851" s="382" t="s">
        <v>308</v>
      </c>
      <c r="C1851" s="893"/>
      <c r="D1851" s="890"/>
      <c r="E1851" s="485">
        <v>3</v>
      </c>
      <c r="F1851" s="196" t="s">
        <v>11653</v>
      </c>
      <c r="G1851" s="382" t="s">
        <v>143</v>
      </c>
      <c r="H1851" s="461">
        <v>34.6</v>
      </c>
      <c r="I1851" s="891"/>
      <c r="J1851" s="461">
        <f>3400000/138.5*H1851</f>
        <v>849386.28158844775</v>
      </c>
      <c r="K1851" s="486"/>
    </row>
    <row r="1852" spans="1:11" x14ac:dyDescent="0.2">
      <c r="A1852" s="382" t="s">
        <v>1337</v>
      </c>
      <c r="B1852" s="382" t="s">
        <v>308</v>
      </c>
      <c r="C1852" s="893"/>
      <c r="D1852" s="890"/>
      <c r="E1852" s="485">
        <v>4</v>
      </c>
      <c r="F1852" s="196" t="s">
        <v>4449</v>
      </c>
      <c r="G1852" s="382" t="s">
        <v>3072</v>
      </c>
      <c r="H1852" s="461">
        <v>34.799999999999997</v>
      </c>
      <c r="I1852" s="891"/>
      <c r="J1852" s="461">
        <f>3400000/138.5*H1852</f>
        <v>854296.02888086636</v>
      </c>
      <c r="K1852" s="486">
        <v>396341.03</v>
      </c>
    </row>
    <row r="1853" spans="1:11" ht="22.5" customHeight="1" x14ac:dyDescent="0.2">
      <c r="A1853" s="383" t="s">
        <v>1338</v>
      </c>
      <c r="B1853" s="519"/>
      <c r="C1853" s="893" t="s">
        <v>13803</v>
      </c>
      <c r="D1853" s="890" t="s">
        <v>382</v>
      </c>
      <c r="E1853" s="557"/>
      <c r="F1853" s="294"/>
      <c r="G1853" s="382" t="s">
        <v>11654</v>
      </c>
      <c r="H1853" s="461">
        <f>139.3-139.3</f>
        <v>0</v>
      </c>
      <c r="I1853" s="891">
        <v>2011</v>
      </c>
      <c r="J1853" s="461">
        <f>2939073-2939073</f>
        <v>0</v>
      </c>
      <c r="K1853" s="558"/>
    </row>
    <row r="1854" spans="1:11" x14ac:dyDescent="0.2">
      <c r="A1854" s="384" t="s">
        <v>1339</v>
      </c>
      <c r="B1854" s="382" t="s">
        <v>308</v>
      </c>
      <c r="C1854" s="893"/>
      <c r="D1854" s="890"/>
      <c r="E1854" s="485">
        <v>1</v>
      </c>
      <c r="F1854" s="196" t="s">
        <v>2790</v>
      </c>
      <c r="G1854" s="382" t="s">
        <v>143</v>
      </c>
      <c r="H1854" s="529">
        <v>35</v>
      </c>
      <c r="I1854" s="891"/>
      <c r="J1854" s="461">
        <f>2939073/139.3*H1854</f>
        <v>738460.552763819</v>
      </c>
      <c r="K1854" s="486">
        <v>380705.15</v>
      </c>
    </row>
    <row r="1855" spans="1:11" x14ac:dyDescent="0.2">
      <c r="A1855" s="382" t="s">
        <v>1340</v>
      </c>
      <c r="B1855" s="382" t="s">
        <v>308</v>
      </c>
      <c r="C1855" s="893"/>
      <c r="D1855" s="890"/>
      <c r="E1855" s="485">
        <v>4</v>
      </c>
      <c r="F1855" s="274" t="s">
        <v>11655</v>
      </c>
      <c r="G1855" s="559" t="s">
        <v>13258</v>
      </c>
      <c r="H1855" s="461">
        <v>34.9</v>
      </c>
      <c r="I1855" s="891"/>
      <c r="J1855" s="461">
        <f>2939073/139.3*H1855</f>
        <v>736350.66547020804</v>
      </c>
      <c r="K1855" s="486"/>
    </row>
    <row r="1856" spans="1:11" ht="12.75" customHeight="1" x14ac:dyDescent="0.2">
      <c r="A1856" s="383" t="s">
        <v>1341</v>
      </c>
      <c r="B1856" s="382"/>
      <c r="C1856" s="877" t="s">
        <v>13259</v>
      </c>
      <c r="D1856" s="955">
        <v>3</v>
      </c>
      <c r="E1856" s="485"/>
      <c r="F1856" s="299"/>
      <c r="G1856" s="382"/>
      <c r="H1856" s="461">
        <f>1468-1468</f>
        <v>0</v>
      </c>
      <c r="I1856" s="883">
        <v>2011</v>
      </c>
      <c r="J1856" s="461">
        <f>43959626+850000+642476.96-45452102.96</f>
        <v>0</v>
      </c>
      <c r="K1856" s="486"/>
    </row>
    <row r="1857" spans="1:11" ht="12.75" customHeight="1" x14ac:dyDescent="0.2">
      <c r="A1857" s="382" t="s">
        <v>2777</v>
      </c>
      <c r="B1857" s="382" t="s">
        <v>308</v>
      </c>
      <c r="C1857" s="878"/>
      <c r="D1857" s="956"/>
      <c r="E1857" s="485">
        <v>5</v>
      </c>
      <c r="F1857" s="196" t="s">
        <v>387</v>
      </c>
      <c r="G1857" s="382"/>
      <c r="H1857" s="461">
        <v>62.4</v>
      </c>
      <c r="I1857" s="884"/>
      <c r="J1857" s="461">
        <v>1904714.3476839238</v>
      </c>
      <c r="K1857" s="486"/>
    </row>
    <row r="1858" spans="1:11" ht="12.75" customHeight="1" x14ac:dyDescent="0.2">
      <c r="A1858" s="382" t="s">
        <v>2778</v>
      </c>
      <c r="B1858" s="382" t="s">
        <v>308</v>
      </c>
      <c r="C1858" s="878"/>
      <c r="D1858" s="956"/>
      <c r="E1858" s="485">
        <v>11</v>
      </c>
      <c r="F1858" s="196" t="s">
        <v>388</v>
      </c>
      <c r="G1858" s="382" t="s">
        <v>134</v>
      </c>
      <c r="H1858" s="461">
        <v>52.5</v>
      </c>
      <c r="I1858" s="884"/>
      <c r="J1858" s="461">
        <v>1602524.0905994552</v>
      </c>
      <c r="K1858" s="486"/>
    </row>
    <row r="1859" spans="1:11" ht="12.75" customHeight="1" x14ac:dyDescent="0.2">
      <c r="A1859" s="384" t="s">
        <v>2779</v>
      </c>
      <c r="B1859" s="382" t="s">
        <v>308</v>
      </c>
      <c r="C1859" s="878"/>
      <c r="D1859" s="956"/>
      <c r="E1859" s="485">
        <v>16</v>
      </c>
      <c r="F1859" s="196" t="s">
        <v>2805</v>
      </c>
      <c r="G1859" s="382" t="s">
        <v>143</v>
      </c>
      <c r="H1859" s="461">
        <v>29.3</v>
      </c>
      <c r="I1859" s="884"/>
      <c r="J1859" s="461">
        <f t="shared" ref="J1859:J1863" si="14">44809626/1468*H1859</f>
        <v>894361.06389645778</v>
      </c>
      <c r="K1859" s="486">
        <v>711193.92</v>
      </c>
    </row>
    <row r="1860" spans="1:11" x14ac:dyDescent="0.2">
      <c r="A1860" s="384" t="s">
        <v>2780</v>
      </c>
      <c r="B1860" s="382" t="s">
        <v>308</v>
      </c>
      <c r="C1860" s="878"/>
      <c r="D1860" s="956"/>
      <c r="E1860" s="485">
        <v>23</v>
      </c>
      <c r="F1860" s="40" t="s">
        <v>11976</v>
      </c>
      <c r="G1860" s="382" t="s">
        <v>143</v>
      </c>
      <c r="H1860" s="461">
        <v>31.2</v>
      </c>
      <c r="I1860" s="884"/>
      <c r="J1860" s="461">
        <f t="shared" si="14"/>
        <v>952357.17384196189</v>
      </c>
      <c r="K1860" s="486"/>
    </row>
    <row r="1861" spans="1:11" x14ac:dyDescent="0.2">
      <c r="A1861" s="384" t="s">
        <v>2781</v>
      </c>
      <c r="B1861" s="382" t="s">
        <v>308</v>
      </c>
      <c r="C1861" s="878"/>
      <c r="D1861" s="956"/>
      <c r="E1861" s="485">
        <v>27</v>
      </c>
      <c r="F1861" s="196" t="s">
        <v>11977</v>
      </c>
      <c r="G1861" s="519"/>
      <c r="H1861" s="461">
        <v>29.7</v>
      </c>
      <c r="I1861" s="884"/>
      <c r="J1861" s="461">
        <f t="shared" si="14"/>
        <v>906570.77125340607</v>
      </c>
      <c r="K1861" s="486"/>
    </row>
    <row r="1862" spans="1:11" x14ac:dyDescent="0.2">
      <c r="A1862" s="384" t="s">
        <v>2782</v>
      </c>
      <c r="B1862" s="382" t="s">
        <v>308</v>
      </c>
      <c r="C1862" s="878"/>
      <c r="D1862" s="956"/>
      <c r="E1862" s="485">
        <v>31</v>
      </c>
      <c r="F1862" s="196" t="s">
        <v>11978</v>
      </c>
      <c r="G1862" s="382" t="s">
        <v>543</v>
      </c>
      <c r="H1862" s="461">
        <v>26.7</v>
      </c>
      <c r="I1862" s="884"/>
      <c r="J1862" s="461">
        <f t="shared" si="14"/>
        <v>814997.96607629431</v>
      </c>
      <c r="K1862" s="486"/>
    </row>
    <row r="1863" spans="1:11" ht="15" customHeight="1" x14ac:dyDescent="0.2">
      <c r="A1863" s="384" t="s">
        <v>2783</v>
      </c>
      <c r="B1863" s="382" t="s">
        <v>308</v>
      </c>
      <c r="C1863" s="878"/>
      <c r="D1863" s="956"/>
      <c r="E1863" s="485">
        <v>36</v>
      </c>
      <c r="F1863" s="196" t="s">
        <v>11979</v>
      </c>
      <c r="G1863" s="382" t="s">
        <v>134</v>
      </c>
      <c r="H1863" s="461">
        <v>26.7</v>
      </c>
      <c r="I1863" s="884"/>
      <c r="J1863" s="461">
        <f t="shared" si="14"/>
        <v>814997.96607629431</v>
      </c>
      <c r="K1863" s="486">
        <v>648084.56000000006</v>
      </c>
    </row>
    <row r="1864" spans="1:11" ht="12.75" customHeight="1" x14ac:dyDescent="0.2">
      <c r="A1864" s="384" t="s">
        <v>11980</v>
      </c>
      <c r="B1864" s="382" t="s">
        <v>308</v>
      </c>
      <c r="C1864" s="878"/>
      <c r="D1864" s="956"/>
      <c r="E1864" s="485">
        <v>34</v>
      </c>
      <c r="F1864" s="196" t="s">
        <v>11981</v>
      </c>
      <c r="G1864" s="382" t="s">
        <v>134</v>
      </c>
      <c r="H1864" s="461">
        <v>30.3</v>
      </c>
      <c r="I1864" s="884"/>
      <c r="J1864" s="461">
        <v>1001627.1</v>
      </c>
      <c r="K1864" s="486">
        <v>735466.75</v>
      </c>
    </row>
    <row r="1865" spans="1:11" ht="12.75" customHeight="1" x14ac:dyDescent="0.2">
      <c r="A1865" s="760" t="s">
        <v>14717</v>
      </c>
      <c r="B1865" s="760" t="s">
        <v>308</v>
      </c>
      <c r="C1865" s="879"/>
      <c r="D1865" s="957"/>
      <c r="E1865" s="813">
        <v>32</v>
      </c>
      <c r="F1865" s="762" t="s">
        <v>14718</v>
      </c>
      <c r="G1865" s="768" t="s">
        <v>543</v>
      </c>
      <c r="H1865" s="814">
        <f>30.1</f>
        <v>30.1</v>
      </c>
      <c r="I1865" s="885"/>
      <c r="J1865" s="769">
        <v>972862.1</v>
      </c>
      <c r="K1865" s="486"/>
    </row>
    <row r="1866" spans="1:11" ht="12.75" customHeight="1" x14ac:dyDescent="0.2">
      <c r="A1866" s="383" t="s">
        <v>1342</v>
      </c>
      <c r="B1866" s="382"/>
      <c r="C1866" s="893" t="s">
        <v>13260</v>
      </c>
      <c r="D1866" s="890">
        <v>22</v>
      </c>
      <c r="E1866" s="485"/>
      <c r="F1866" s="196"/>
      <c r="G1866" s="382"/>
      <c r="H1866" s="461">
        <f>724.62-724.62</f>
        <v>0</v>
      </c>
      <c r="I1866" s="891">
        <v>2011</v>
      </c>
      <c r="J1866" s="461">
        <f>19275192-19275192</f>
        <v>0</v>
      </c>
      <c r="K1866" s="486"/>
    </row>
    <row r="1867" spans="1:11" x14ac:dyDescent="0.2">
      <c r="A1867" s="382" t="s">
        <v>1343</v>
      </c>
      <c r="B1867" s="382" t="s">
        <v>308</v>
      </c>
      <c r="C1867" s="893"/>
      <c r="D1867" s="890"/>
      <c r="E1867" s="485">
        <v>3</v>
      </c>
      <c r="F1867" s="196" t="s">
        <v>485</v>
      </c>
      <c r="G1867" s="382" t="s">
        <v>486</v>
      </c>
      <c r="H1867" s="461">
        <v>36</v>
      </c>
      <c r="I1867" s="891"/>
      <c r="J1867" s="461">
        <v>997200</v>
      </c>
      <c r="K1867" s="486">
        <v>472555.8</v>
      </c>
    </row>
    <row r="1868" spans="1:11" x14ac:dyDescent="0.2">
      <c r="A1868" s="384" t="s">
        <v>1912</v>
      </c>
      <c r="B1868" s="382" t="s">
        <v>308</v>
      </c>
      <c r="C1868" s="893"/>
      <c r="D1868" s="890"/>
      <c r="E1868" s="485">
        <v>5</v>
      </c>
      <c r="F1868" s="196" t="s">
        <v>2804</v>
      </c>
      <c r="G1868" s="382" t="s">
        <v>543</v>
      </c>
      <c r="H1868" s="461">
        <v>56.5</v>
      </c>
      <c r="I1868" s="891"/>
      <c r="J1868" s="461">
        <f>19275192/724.62*H1868</f>
        <v>1502923.3915707543</v>
      </c>
      <c r="K1868" s="486">
        <v>741650.08</v>
      </c>
    </row>
    <row r="1869" spans="1:11" ht="14.25" customHeight="1" x14ac:dyDescent="0.2">
      <c r="A1869" s="384" t="s">
        <v>1913</v>
      </c>
      <c r="B1869" s="382" t="s">
        <v>308</v>
      </c>
      <c r="C1869" s="893"/>
      <c r="D1869" s="890"/>
      <c r="E1869" s="485">
        <v>7</v>
      </c>
      <c r="F1869" s="196" t="s">
        <v>11982</v>
      </c>
      <c r="G1869" s="382" t="s">
        <v>134</v>
      </c>
      <c r="H1869" s="461">
        <v>41.19</v>
      </c>
      <c r="I1869" s="891"/>
      <c r="J1869" s="461">
        <f>19275192/724.62*H1869</f>
        <v>1095671.0530760949</v>
      </c>
      <c r="K1869" s="486">
        <v>555253.06999999995</v>
      </c>
    </row>
    <row r="1870" spans="1:11" ht="15.75" customHeight="1" x14ac:dyDescent="0.2">
      <c r="A1870" s="384" t="s">
        <v>1914</v>
      </c>
      <c r="B1870" s="382" t="s">
        <v>308</v>
      </c>
      <c r="C1870" s="893"/>
      <c r="D1870" s="890"/>
      <c r="E1870" s="485">
        <v>18</v>
      </c>
      <c r="F1870" s="196" t="s">
        <v>2803</v>
      </c>
      <c r="G1870" s="382" t="s">
        <v>134</v>
      </c>
      <c r="H1870" s="461">
        <v>41.8</v>
      </c>
      <c r="I1870" s="891"/>
      <c r="J1870" s="461">
        <f>19275192/724.62*H1870</f>
        <v>1111897.3056222571</v>
      </c>
      <c r="K1870" s="486">
        <v>548689.79</v>
      </c>
    </row>
    <row r="1871" spans="1:11" ht="12.75" customHeight="1" x14ac:dyDescent="0.2">
      <c r="A1871" s="383" t="s">
        <v>1344</v>
      </c>
      <c r="B1871" s="382"/>
      <c r="C1871" s="856" t="s">
        <v>13261</v>
      </c>
      <c r="D1871" s="866">
        <v>16</v>
      </c>
      <c r="E1871" s="505"/>
      <c r="F1871" s="196"/>
      <c r="G1871" s="382" t="s">
        <v>3091</v>
      </c>
      <c r="H1871" s="486">
        <f>1143.7-1143.7</f>
        <v>0</v>
      </c>
      <c r="I1871" s="866">
        <v>2012</v>
      </c>
      <c r="J1871" s="486">
        <f>25329978-25329978</f>
        <v>0</v>
      </c>
      <c r="K1871" s="486"/>
    </row>
    <row r="1872" spans="1:11" ht="15" customHeight="1" x14ac:dyDescent="0.2">
      <c r="A1872" s="382" t="s">
        <v>1345</v>
      </c>
      <c r="B1872" s="382" t="s">
        <v>308</v>
      </c>
      <c r="C1872" s="857"/>
      <c r="D1872" s="867"/>
      <c r="E1872" s="505">
        <v>3</v>
      </c>
      <c r="F1872" s="196" t="s">
        <v>3095</v>
      </c>
      <c r="G1872" s="382" t="s">
        <v>143</v>
      </c>
      <c r="H1872" s="486">
        <v>55.1</v>
      </c>
      <c r="I1872" s="867"/>
      <c r="J1872" s="486">
        <f>25329978/1143.7*H1872</f>
        <v>1220321.577161843</v>
      </c>
      <c r="K1872" s="486">
        <v>627082.63</v>
      </c>
    </row>
    <row r="1873" spans="1:11" ht="24" customHeight="1" x14ac:dyDescent="0.2">
      <c r="A1873" s="382" t="s">
        <v>1915</v>
      </c>
      <c r="B1873" s="382" t="s">
        <v>12792</v>
      </c>
      <c r="C1873" s="857"/>
      <c r="D1873" s="867"/>
      <c r="E1873" s="505">
        <v>10</v>
      </c>
      <c r="F1873" s="196" t="s">
        <v>3628</v>
      </c>
      <c r="G1873" s="382" t="s">
        <v>143</v>
      </c>
      <c r="H1873" s="486">
        <v>55</v>
      </c>
      <c r="I1873" s="867"/>
      <c r="J1873" s="486">
        <v>976800</v>
      </c>
      <c r="K1873" s="486">
        <v>625944.55000000005</v>
      </c>
    </row>
    <row r="1874" spans="1:11" ht="15" customHeight="1" x14ac:dyDescent="0.2">
      <c r="A1874" s="382" t="s">
        <v>1916</v>
      </c>
      <c r="B1874" s="382" t="s">
        <v>308</v>
      </c>
      <c r="C1874" s="857"/>
      <c r="D1874" s="867"/>
      <c r="E1874" s="505">
        <v>14</v>
      </c>
      <c r="F1874" s="196" t="s">
        <v>11656</v>
      </c>
      <c r="G1874" s="382" t="s">
        <v>543</v>
      </c>
      <c r="H1874" s="486">
        <v>54</v>
      </c>
      <c r="I1874" s="867"/>
      <c r="J1874" s="486">
        <f>25329978/1143.7*H1874</f>
        <v>1195959.4404126955</v>
      </c>
      <c r="K1874" s="486">
        <v>402001.96556442417</v>
      </c>
    </row>
    <row r="1875" spans="1:11" ht="15" customHeight="1" x14ac:dyDescent="0.2">
      <c r="A1875" s="382" t="s">
        <v>3093</v>
      </c>
      <c r="B1875" s="382" t="s">
        <v>308</v>
      </c>
      <c r="C1875" s="857"/>
      <c r="D1875" s="867"/>
      <c r="E1875" s="505">
        <v>17</v>
      </c>
      <c r="F1875" s="196" t="s">
        <v>3092</v>
      </c>
      <c r="G1875" s="382" t="s">
        <v>543</v>
      </c>
      <c r="H1875" s="486">
        <f>50.7</f>
        <v>50.7</v>
      </c>
      <c r="I1875" s="867"/>
      <c r="J1875" s="486">
        <f>25329978/1143.7*H1875</f>
        <v>1122873.030165253</v>
      </c>
      <c r="K1875" s="486">
        <v>577007.06999999995</v>
      </c>
    </row>
    <row r="1876" spans="1:11" x14ac:dyDescent="0.2">
      <c r="A1876" s="382" t="s">
        <v>3094</v>
      </c>
      <c r="B1876" s="382" t="s">
        <v>308</v>
      </c>
      <c r="C1876" s="857"/>
      <c r="D1876" s="867"/>
      <c r="E1876" s="505">
        <v>18</v>
      </c>
      <c r="F1876" s="196" t="s">
        <v>5037</v>
      </c>
      <c r="G1876" s="382" t="s">
        <v>134</v>
      </c>
      <c r="H1876" s="486">
        <f>53.6</f>
        <v>53.6</v>
      </c>
      <c r="I1876" s="867"/>
      <c r="J1876" s="486">
        <f>25329978/1143.7*H1876</f>
        <v>1187100.4815948238</v>
      </c>
      <c r="K1876" s="486">
        <v>610011.42000000004</v>
      </c>
    </row>
    <row r="1877" spans="1:11" x14ac:dyDescent="0.2">
      <c r="A1877" s="382" t="s">
        <v>12699</v>
      </c>
      <c r="B1877" s="382" t="s">
        <v>308</v>
      </c>
      <c r="C1877" s="857"/>
      <c r="D1877" s="867"/>
      <c r="E1877" s="505">
        <v>21</v>
      </c>
      <c r="F1877" s="196" t="s">
        <v>12700</v>
      </c>
      <c r="G1877" s="382" t="s">
        <v>134</v>
      </c>
      <c r="H1877" s="560">
        <f>70</f>
        <v>70</v>
      </c>
      <c r="I1877" s="867"/>
      <c r="J1877" s="486">
        <v>796656.7</v>
      </c>
      <c r="K1877" s="486">
        <v>796656.7</v>
      </c>
    </row>
    <row r="1878" spans="1:11" ht="39" customHeight="1" x14ac:dyDescent="0.2">
      <c r="A1878" s="455" t="s">
        <v>1346</v>
      </c>
      <c r="B1878" s="613"/>
      <c r="C1878" s="862" t="s">
        <v>13262</v>
      </c>
      <c r="D1878" s="892">
        <v>8</v>
      </c>
      <c r="E1878" s="505"/>
      <c r="F1878" s="196" t="s">
        <v>389</v>
      </c>
      <c r="G1878" s="382" t="s">
        <v>3101</v>
      </c>
      <c r="H1878" s="486">
        <f>137.8-137.8</f>
        <v>0</v>
      </c>
      <c r="I1878" s="892">
        <v>2012</v>
      </c>
      <c r="J1878" s="486">
        <f>4389581-4389581</f>
        <v>0</v>
      </c>
      <c r="K1878" s="486"/>
    </row>
    <row r="1879" spans="1:11" x14ac:dyDescent="0.2">
      <c r="A1879" s="613" t="s">
        <v>3096</v>
      </c>
      <c r="B1879" s="613" t="s">
        <v>308</v>
      </c>
      <c r="C1879" s="862"/>
      <c r="D1879" s="892"/>
      <c r="E1879" s="505">
        <v>2</v>
      </c>
      <c r="F1879" s="40" t="s">
        <v>11983</v>
      </c>
      <c r="G1879" s="382" t="s">
        <v>143</v>
      </c>
      <c r="H1879" s="486">
        <v>34.9</v>
      </c>
      <c r="I1879" s="892"/>
      <c r="J1879" s="486">
        <f>4389581/137.8*H1879</f>
        <v>1111729.8759071117</v>
      </c>
      <c r="K1879" s="486">
        <v>501506.02</v>
      </c>
    </row>
    <row r="1880" spans="1:11" x14ac:dyDescent="0.2">
      <c r="A1880" s="613" t="s">
        <v>3097</v>
      </c>
      <c r="B1880" s="613" t="s">
        <v>308</v>
      </c>
      <c r="C1880" s="862"/>
      <c r="D1880" s="892"/>
      <c r="E1880" s="505">
        <v>3</v>
      </c>
      <c r="F1880" s="40" t="s">
        <v>11984</v>
      </c>
      <c r="G1880" s="382" t="s">
        <v>143</v>
      </c>
      <c r="H1880" s="486">
        <v>34.6</v>
      </c>
      <c r="I1880" s="892"/>
      <c r="J1880" s="486">
        <f>4389581/137.8*H1883</f>
        <v>1095802.5137880987</v>
      </c>
      <c r="K1880" s="486">
        <v>497195.08</v>
      </c>
    </row>
    <row r="1881" spans="1:11" x14ac:dyDescent="0.2">
      <c r="A1881" s="613" t="s">
        <v>3098</v>
      </c>
      <c r="B1881" s="613" t="s">
        <v>308</v>
      </c>
      <c r="C1881" s="862"/>
      <c r="D1881" s="892"/>
      <c r="E1881" s="505">
        <v>4</v>
      </c>
      <c r="F1881" s="40" t="s">
        <v>11985</v>
      </c>
      <c r="G1881" s="382" t="s">
        <v>143</v>
      </c>
      <c r="H1881" s="486">
        <v>34.5</v>
      </c>
      <c r="I1881" s="892"/>
      <c r="J1881" s="486">
        <f>4389581/137.81*H1884</f>
        <v>1089352.5157825993</v>
      </c>
      <c r="K1881" s="486">
        <v>495758.1</v>
      </c>
    </row>
    <row r="1882" spans="1:11" ht="36.75" customHeight="1" x14ac:dyDescent="0.2">
      <c r="A1882" s="455" t="s">
        <v>1347</v>
      </c>
      <c r="B1882" s="613"/>
      <c r="C1882" s="862" t="s">
        <v>13263</v>
      </c>
      <c r="D1882" s="892">
        <v>6</v>
      </c>
      <c r="E1882" s="505"/>
      <c r="F1882" s="196" t="s">
        <v>390</v>
      </c>
      <c r="G1882" s="382" t="s">
        <v>391</v>
      </c>
      <c r="H1882" s="486">
        <f>138.5-138.5</f>
        <v>0</v>
      </c>
      <c r="I1882" s="892">
        <v>2012</v>
      </c>
      <c r="J1882" s="486">
        <f>4389581-4389581</f>
        <v>0</v>
      </c>
      <c r="K1882" s="486"/>
    </row>
    <row r="1883" spans="1:11" ht="16.5" customHeight="1" x14ac:dyDescent="0.2">
      <c r="A1883" s="613" t="s">
        <v>3099</v>
      </c>
      <c r="B1883" s="613" t="s">
        <v>308</v>
      </c>
      <c r="C1883" s="862"/>
      <c r="D1883" s="892"/>
      <c r="E1883" s="505">
        <v>3</v>
      </c>
      <c r="F1883" s="196" t="s">
        <v>3893</v>
      </c>
      <c r="G1883" s="382" t="s">
        <v>143</v>
      </c>
      <c r="H1883" s="486">
        <v>34.4</v>
      </c>
      <c r="I1883" s="892"/>
      <c r="J1883" s="486">
        <f>4389581/138.5*H1883</f>
        <v>1090264.161732852</v>
      </c>
      <c r="K1883" s="486">
        <v>494321.12</v>
      </c>
    </row>
    <row r="1884" spans="1:11" ht="17.25" customHeight="1" x14ac:dyDescent="0.2">
      <c r="A1884" s="613" t="s">
        <v>3100</v>
      </c>
      <c r="B1884" s="613" t="s">
        <v>308</v>
      </c>
      <c r="C1884" s="862"/>
      <c r="D1884" s="892"/>
      <c r="E1884" s="505">
        <v>4</v>
      </c>
      <c r="F1884" s="196" t="s">
        <v>3894</v>
      </c>
      <c r="G1884" s="382" t="s">
        <v>143</v>
      </c>
      <c r="H1884" s="486">
        <v>34.200000000000003</v>
      </c>
      <c r="I1884" s="892"/>
      <c r="J1884" s="486">
        <f>4389581/138.5*H1884</f>
        <v>1083925.4166064982</v>
      </c>
      <c r="K1884" s="486">
        <v>491447.16</v>
      </c>
    </row>
    <row r="1885" spans="1:11" ht="25.5" customHeight="1" x14ac:dyDescent="0.2">
      <c r="A1885" s="456" t="s">
        <v>1348</v>
      </c>
      <c r="B1885" s="382"/>
      <c r="C1885" s="856" t="s">
        <v>13264</v>
      </c>
      <c r="D1885" s="866">
        <v>13</v>
      </c>
      <c r="E1885" s="382"/>
      <c r="F1885" s="382" t="s">
        <v>2764</v>
      </c>
      <c r="G1885" s="382" t="s">
        <v>2765</v>
      </c>
      <c r="H1885" s="486">
        <f>1135-1135</f>
        <v>0</v>
      </c>
      <c r="I1885" s="866">
        <v>2012</v>
      </c>
      <c r="J1885" s="486">
        <f>28513457-28513457</f>
        <v>0</v>
      </c>
      <c r="K1885" s="486"/>
    </row>
    <row r="1886" spans="1:11" x14ac:dyDescent="0.2">
      <c r="A1886" s="457" t="s">
        <v>2784</v>
      </c>
      <c r="B1886" s="382" t="s">
        <v>308</v>
      </c>
      <c r="C1886" s="857"/>
      <c r="D1886" s="867"/>
      <c r="E1886" s="505">
        <v>12</v>
      </c>
      <c r="F1886" s="196" t="s">
        <v>11986</v>
      </c>
      <c r="G1886" s="382"/>
      <c r="H1886" s="486">
        <v>59.2</v>
      </c>
      <c r="I1886" s="867"/>
      <c r="J1886" s="486">
        <f t="shared" ref="J1886:J1888" si="15">28513457/1135*H1886</f>
        <v>1487221.721938326</v>
      </c>
      <c r="K1886" s="486"/>
    </row>
    <row r="1887" spans="1:11" x14ac:dyDescent="0.2">
      <c r="A1887" s="457" t="s">
        <v>2785</v>
      </c>
      <c r="B1887" s="382" t="s">
        <v>308</v>
      </c>
      <c r="C1887" s="857"/>
      <c r="D1887" s="867"/>
      <c r="E1887" s="505">
        <v>13</v>
      </c>
      <c r="F1887" s="196" t="s">
        <v>4072</v>
      </c>
      <c r="G1887" s="382" t="s">
        <v>143</v>
      </c>
      <c r="H1887" s="486">
        <f>41.2</f>
        <v>41.2</v>
      </c>
      <c r="I1887" s="867"/>
      <c r="J1887" s="486">
        <f t="shared" si="15"/>
        <v>1035025.928105727</v>
      </c>
      <c r="K1887" s="486"/>
    </row>
    <row r="1888" spans="1:11" x14ac:dyDescent="0.2">
      <c r="A1888" s="457" t="s">
        <v>2786</v>
      </c>
      <c r="B1888" s="382" t="s">
        <v>308</v>
      </c>
      <c r="C1888" s="857"/>
      <c r="D1888" s="867"/>
      <c r="E1888" s="505">
        <v>19</v>
      </c>
      <c r="F1888" s="196" t="s">
        <v>2763</v>
      </c>
      <c r="G1888" s="382" t="s">
        <v>543</v>
      </c>
      <c r="H1888" s="486">
        <v>43.9</v>
      </c>
      <c r="I1888" s="867"/>
      <c r="J1888" s="486">
        <f t="shared" si="15"/>
        <v>1102855.2971806168</v>
      </c>
      <c r="K1888" s="486">
        <v>549365.04</v>
      </c>
    </row>
    <row r="1889" spans="1:11" ht="12.75" customHeight="1" x14ac:dyDescent="0.2">
      <c r="A1889" s="382" t="s">
        <v>12378</v>
      </c>
      <c r="B1889" s="382" t="s">
        <v>308</v>
      </c>
      <c r="C1889" s="857"/>
      <c r="D1889" s="867"/>
      <c r="E1889" s="505">
        <v>6</v>
      </c>
      <c r="F1889" s="196" t="s">
        <v>12379</v>
      </c>
      <c r="G1889" s="382" t="s">
        <v>543</v>
      </c>
      <c r="H1889" s="486">
        <v>43.7</v>
      </c>
      <c r="I1889" s="867"/>
      <c r="J1889" s="486">
        <v>1153053</v>
      </c>
      <c r="K1889" s="486">
        <v>546862.24</v>
      </c>
    </row>
    <row r="1890" spans="1:11" ht="12.75" customHeight="1" x14ac:dyDescent="0.2">
      <c r="A1890" s="382" t="s">
        <v>12484</v>
      </c>
      <c r="B1890" s="382" t="s">
        <v>308</v>
      </c>
      <c r="C1890" s="857"/>
      <c r="D1890" s="867"/>
      <c r="E1890" s="505">
        <v>7</v>
      </c>
      <c r="F1890" s="40" t="s">
        <v>12485</v>
      </c>
      <c r="G1890" s="382" t="s">
        <v>543</v>
      </c>
      <c r="H1890" s="560">
        <v>41.2</v>
      </c>
      <c r="I1890" s="867"/>
      <c r="J1890" s="486">
        <v>1153053</v>
      </c>
      <c r="K1890" s="486">
        <v>515577.21</v>
      </c>
    </row>
    <row r="1891" spans="1:11" ht="12.75" customHeight="1" x14ac:dyDescent="0.2">
      <c r="A1891" s="382" t="s">
        <v>13607</v>
      </c>
      <c r="B1891" s="382" t="s">
        <v>308</v>
      </c>
      <c r="C1891" s="858"/>
      <c r="D1891" s="868"/>
      <c r="E1891" s="505">
        <v>17</v>
      </c>
      <c r="F1891" s="196" t="s">
        <v>13608</v>
      </c>
      <c r="G1891" s="382" t="s">
        <v>543</v>
      </c>
      <c r="H1891" s="560">
        <f>41.3</f>
        <v>41.3</v>
      </c>
      <c r="I1891" s="868"/>
      <c r="J1891" s="486">
        <v>1200144</v>
      </c>
      <c r="K1891" s="486">
        <v>516828.61</v>
      </c>
    </row>
    <row r="1892" spans="1:11" ht="12.75" customHeight="1" x14ac:dyDescent="0.2">
      <c r="A1892" s="456" t="s">
        <v>3084</v>
      </c>
      <c r="B1892" s="481"/>
      <c r="C1892" s="862" t="s">
        <v>13265</v>
      </c>
      <c r="D1892" s="892" t="s">
        <v>3085</v>
      </c>
      <c r="E1892" s="505"/>
      <c r="F1892" s="196"/>
      <c r="G1892" s="382"/>
      <c r="H1892" s="297">
        <f>1042-1042</f>
        <v>0</v>
      </c>
      <c r="I1892" s="954">
        <v>2013</v>
      </c>
      <c r="J1892" s="297">
        <f>32390995-32390995</f>
        <v>0</v>
      </c>
      <c r="K1892" s="297">
        <v>27155742.420000002</v>
      </c>
    </row>
    <row r="1893" spans="1:11" ht="24.75" customHeight="1" x14ac:dyDescent="0.2">
      <c r="A1893" s="457" t="s">
        <v>3531</v>
      </c>
      <c r="B1893" s="481" t="s">
        <v>308</v>
      </c>
      <c r="C1893" s="862"/>
      <c r="D1893" s="892"/>
      <c r="E1893" s="361">
        <v>11</v>
      </c>
      <c r="F1893" s="196" t="s">
        <v>3611</v>
      </c>
      <c r="G1893" s="382" t="s">
        <v>143</v>
      </c>
      <c r="H1893" s="297">
        <v>52.3</v>
      </c>
      <c r="I1893" s="954"/>
      <c r="J1893" s="297">
        <v>1480011</v>
      </c>
      <c r="K1893" s="297">
        <v>592102.47</v>
      </c>
    </row>
    <row r="1894" spans="1:11" ht="24" customHeight="1" x14ac:dyDescent="0.2">
      <c r="A1894" s="456" t="s">
        <v>4078</v>
      </c>
      <c r="B1894" s="481" t="s">
        <v>4418</v>
      </c>
      <c r="C1894" s="877" t="s">
        <v>13266</v>
      </c>
      <c r="D1894" s="880">
        <v>42</v>
      </c>
      <c r="E1894" s="382" t="s">
        <v>4419</v>
      </c>
      <c r="F1894" s="382" t="s">
        <v>5697</v>
      </c>
      <c r="G1894" s="382"/>
      <c r="H1894" s="561">
        <f>810.3-H1895-H1896-H1897-H1898-H1899-H1900-H1901-H1902-H1903-H1904-H1905-H1906-H1907-H1908-H1909-H1910-H1911-H1912-H1913</f>
        <v>142.39999999999995</v>
      </c>
      <c r="I1894" s="948">
        <v>1974</v>
      </c>
      <c r="J1894" s="562">
        <f>369606.3-J1895-J1896-J1897-J1898-J1899-J1900-J1901-J1902-J1903-J1904-J1905-J1906-J1907-J1908-J1909-J1910-J1911-J1912-J1913</f>
        <v>64953.643243243278</v>
      </c>
      <c r="K1894" s="486"/>
    </row>
    <row r="1895" spans="1:11" x14ac:dyDescent="0.2">
      <c r="A1895" s="457" t="s">
        <v>4079</v>
      </c>
      <c r="B1895" s="481" t="s">
        <v>308</v>
      </c>
      <c r="C1895" s="878"/>
      <c r="D1895" s="881"/>
      <c r="E1895" s="505">
        <v>201</v>
      </c>
      <c r="F1895" s="385"/>
      <c r="G1895" s="385"/>
      <c r="H1895" s="494">
        <v>27.6</v>
      </c>
      <c r="I1895" s="949"/>
      <c r="J1895" s="486">
        <f>369606.3/810.3*H1895</f>
        <v>12589.32972972973</v>
      </c>
      <c r="K1895" s="486"/>
    </row>
    <row r="1896" spans="1:11" x14ac:dyDescent="0.2">
      <c r="A1896" s="457" t="s">
        <v>4423</v>
      </c>
      <c r="B1896" s="481" t="s">
        <v>308</v>
      </c>
      <c r="C1896" s="878"/>
      <c r="D1896" s="881"/>
      <c r="E1896" s="505">
        <v>202</v>
      </c>
      <c r="F1896" s="385"/>
      <c r="G1896" s="563"/>
      <c r="H1896" s="494">
        <v>46.5</v>
      </c>
      <c r="I1896" s="949"/>
      <c r="J1896" s="486">
        <f t="shared" ref="J1896:J1908" si="16">369606.3/810.3*H1896</f>
        <v>21210.283783783783</v>
      </c>
      <c r="K1896" s="486"/>
    </row>
    <row r="1897" spans="1:11" x14ac:dyDescent="0.2">
      <c r="A1897" s="457" t="s">
        <v>4424</v>
      </c>
      <c r="B1897" s="481" t="s">
        <v>308</v>
      </c>
      <c r="C1897" s="878"/>
      <c r="D1897" s="881"/>
      <c r="E1897" s="505">
        <v>203</v>
      </c>
      <c r="F1897" s="385"/>
      <c r="G1897" s="385"/>
      <c r="H1897" s="494">
        <v>23.6</v>
      </c>
      <c r="I1897" s="949"/>
      <c r="J1897" s="486">
        <f t="shared" si="16"/>
        <v>10764.78918918919</v>
      </c>
      <c r="K1897" s="486"/>
    </row>
    <row r="1898" spans="1:11" x14ac:dyDescent="0.2">
      <c r="A1898" s="457" t="s">
        <v>4425</v>
      </c>
      <c r="B1898" s="481" t="s">
        <v>308</v>
      </c>
      <c r="C1898" s="878"/>
      <c r="D1898" s="881"/>
      <c r="E1898" s="505">
        <v>204</v>
      </c>
      <c r="F1898" s="385"/>
      <c r="G1898" s="385"/>
      <c r="H1898" s="494">
        <v>30.3</v>
      </c>
      <c r="I1898" s="949"/>
      <c r="J1898" s="486">
        <f t="shared" si="16"/>
        <v>13820.894594594596</v>
      </c>
      <c r="K1898" s="486"/>
    </row>
    <row r="1899" spans="1:11" x14ac:dyDescent="0.2">
      <c r="A1899" s="457" t="s">
        <v>5278</v>
      </c>
      <c r="B1899" s="481" t="s">
        <v>308</v>
      </c>
      <c r="C1899" s="878"/>
      <c r="D1899" s="881"/>
      <c r="E1899" s="505">
        <v>205</v>
      </c>
      <c r="F1899" s="385"/>
      <c r="G1899" s="385"/>
      <c r="H1899" s="494">
        <v>29.2</v>
      </c>
      <c r="I1899" s="949"/>
      <c r="J1899" s="486">
        <f t="shared" si="16"/>
        <v>13319.145945945946</v>
      </c>
      <c r="K1899" s="486"/>
    </row>
    <row r="1900" spans="1:11" x14ac:dyDescent="0.2">
      <c r="A1900" s="457" t="s">
        <v>5279</v>
      </c>
      <c r="B1900" s="481" t="s">
        <v>308</v>
      </c>
      <c r="C1900" s="878"/>
      <c r="D1900" s="881"/>
      <c r="E1900" s="505">
        <v>206</v>
      </c>
      <c r="F1900" s="385"/>
      <c r="G1900" s="385"/>
      <c r="H1900" s="494">
        <v>29.2</v>
      </c>
      <c r="I1900" s="949"/>
      <c r="J1900" s="486">
        <f t="shared" si="16"/>
        <v>13319.145945945946</v>
      </c>
      <c r="K1900" s="486"/>
    </row>
    <row r="1901" spans="1:11" x14ac:dyDescent="0.2">
      <c r="A1901" s="457" t="s">
        <v>5280</v>
      </c>
      <c r="B1901" s="481" t="s">
        <v>308</v>
      </c>
      <c r="C1901" s="878"/>
      <c r="D1901" s="881"/>
      <c r="E1901" s="505">
        <v>208</v>
      </c>
      <c r="F1901" s="385"/>
      <c r="G1901" s="385"/>
      <c r="H1901" s="494">
        <v>46.3</v>
      </c>
      <c r="I1901" s="949"/>
      <c r="J1901" s="486">
        <f t="shared" si="16"/>
        <v>21119.056756756756</v>
      </c>
      <c r="K1901" s="499"/>
    </row>
    <row r="1902" spans="1:11" x14ac:dyDescent="0.2">
      <c r="A1902" s="457" t="s">
        <v>5281</v>
      </c>
      <c r="B1902" s="481" t="s">
        <v>308</v>
      </c>
      <c r="C1902" s="878"/>
      <c r="D1902" s="881"/>
      <c r="E1902" s="505">
        <v>302</v>
      </c>
      <c r="F1902" s="385"/>
      <c r="G1902" s="385"/>
      <c r="H1902" s="494">
        <v>22.6</v>
      </c>
      <c r="I1902" s="949"/>
      <c r="J1902" s="486">
        <f t="shared" si="16"/>
        <v>10308.654054054055</v>
      </c>
      <c r="K1902" s="486"/>
    </row>
    <row r="1903" spans="1:11" x14ac:dyDescent="0.2">
      <c r="A1903" s="457" t="s">
        <v>5282</v>
      </c>
      <c r="B1903" s="481" t="s">
        <v>308</v>
      </c>
      <c r="C1903" s="878"/>
      <c r="D1903" s="881"/>
      <c r="E1903" s="505">
        <v>306</v>
      </c>
      <c r="F1903" s="385"/>
      <c r="G1903" s="563"/>
      <c r="H1903" s="494">
        <v>65.400000000000006</v>
      </c>
      <c r="I1903" s="949"/>
      <c r="J1903" s="486">
        <f t="shared" si="16"/>
        <v>29831.237837837842</v>
      </c>
      <c r="K1903" s="558"/>
    </row>
    <row r="1904" spans="1:11" x14ac:dyDescent="0.2">
      <c r="A1904" s="457" t="s">
        <v>6234</v>
      </c>
      <c r="B1904" s="481" t="s">
        <v>308</v>
      </c>
      <c r="C1904" s="878"/>
      <c r="D1904" s="881"/>
      <c r="E1904" s="505">
        <v>209</v>
      </c>
      <c r="F1904" s="385"/>
      <c r="G1904" s="385"/>
      <c r="H1904" s="494">
        <v>46.8</v>
      </c>
      <c r="I1904" s="949"/>
      <c r="J1904" s="486">
        <f t="shared" si="16"/>
        <v>21347.124324324323</v>
      </c>
      <c r="K1904" s="558"/>
    </row>
    <row r="1905" spans="1:11" x14ac:dyDescent="0.2">
      <c r="A1905" s="457" t="s">
        <v>6235</v>
      </c>
      <c r="B1905" s="481" t="s">
        <v>308</v>
      </c>
      <c r="C1905" s="878"/>
      <c r="D1905" s="881"/>
      <c r="E1905" s="505">
        <v>308</v>
      </c>
      <c r="F1905" s="385"/>
      <c r="G1905" s="385"/>
      <c r="H1905" s="494">
        <v>62.7</v>
      </c>
      <c r="I1905" s="949"/>
      <c r="J1905" s="486">
        <f t="shared" si="16"/>
        <v>28599.672972972974</v>
      </c>
      <c r="K1905" s="558"/>
    </row>
    <row r="1906" spans="1:11" x14ac:dyDescent="0.2">
      <c r="A1906" s="457" t="s">
        <v>6259</v>
      </c>
      <c r="B1906" s="481" t="s">
        <v>308</v>
      </c>
      <c r="C1906" s="878"/>
      <c r="D1906" s="881"/>
      <c r="E1906" s="505">
        <v>210</v>
      </c>
      <c r="F1906" s="385"/>
      <c r="G1906" s="385"/>
      <c r="H1906" s="494"/>
      <c r="I1906" s="949"/>
      <c r="J1906" s="486"/>
      <c r="K1906" s="558"/>
    </row>
    <row r="1907" spans="1:11" x14ac:dyDescent="0.2">
      <c r="A1907" s="457" t="s">
        <v>6260</v>
      </c>
      <c r="B1907" s="481" t="s">
        <v>308</v>
      </c>
      <c r="C1907" s="878"/>
      <c r="D1907" s="881"/>
      <c r="E1907" s="505">
        <v>304</v>
      </c>
      <c r="F1907" s="385"/>
      <c r="G1907" s="385"/>
      <c r="H1907" s="494">
        <v>35.200000000000003</v>
      </c>
      <c r="I1907" s="949"/>
      <c r="J1907" s="486">
        <f t="shared" si="16"/>
        <v>16055.956756756759</v>
      </c>
      <c r="K1907" s="558"/>
    </row>
    <row r="1908" spans="1:11" x14ac:dyDescent="0.2">
      <c r="A1908" s="457" t="s">
        <v>6328</v>
      </c>
      <c r="B1908" s="481" t="s">
        <v>308</v>
      </c>
      <c r="C1908" s="878"/>
      <c r="D1908" s="881"/>
      <c r="E1908" s="505">
        <v>309</v>
      </c>
      <c r="F1908" s="385"/>
      <c r="G1908" s="385"/>
      <c r="H1908" s="494">
        <v>43.7</v>
      </c>
      <c r="I1908" s="949"/>
      <c r="J1908" s="486">
        <f t="shared" si="16"/>
        <v>19933.105405405408</v>
      </c>
      <c r="K1908" s="558"/>
    </row>
    <row r="1909" spans="1:11" x14ac:dyDescent="0.2">
      <c r="A1909" s="457" t="s">
        <v>7031</v>
      </c>
      <c r="B1909" s="481" t="s">
        <v>308</v>
      </c>
      <c r="C1909" s="878"/>
      <c r="D1909" s="881"/>
      <c r="E1909" s="505">
        <v>207</v>
      </c>
      <c r="F1909" s="196"/>
      <c r="G1909" s="385"/>
      <c r="H1909" s="494">
        <v>30.9</v>
      </c>
      <c r="I1909" s="949"/>
      <c r="J1909" s="486">
        <f>369606.3/810.3*H1909</f>
        <v>14094.575675675676</v>
      </c>
      <c r="K1909" s="558"/>
    </row>
    <row r="1910" spans="1:11" x14ac:dyDescent="0.2">
      <c r="A1910" s="457" t="s">
        <v>7427</v>
      </c>
      <c r="B1910" s="481" t="s">
        <v>308</v>
      </c>
      <c r="C1910" s="878"/>
      <c r="D1910" s="881"/>
      <c r="E1910" s="505">
        <v>303</v>
      </c>
      <c r="F1910" s="196"/>
      <c r="G1910" s="385"/>
      <c r="H1910" s="494">
        <v>22.4</v>
      </c>
      <c r="I1910" s="949"/>
      <c r="J1910" s="486">
        <f>369606.3/810.3*H1910</f>
        <v>10217.427027027026</v>
      </c>
      <c r="K1910" s="558"/>
    </row>
    <row r="1911" spans="1:11" x14ac:dyDescent="0.2">
      <c r="A1911" s="457" t="s">
        <v>8619</v>
      </c>
      <c r="B1911" s="481" t="s">
        <v>308</v>
      </c>
      <c r="C1911" s="878"/>
      <c r="D1911" s="881"/>
      <c r="E1911" s="505">
        <v>307</v>
      </c>
      <c r="F1911" s="196"/>
      <c r="G1911" s="385"/>
      <c r="H1911" s="494">
        <v>45.5</v>
      </c>
      <c r="I1911" s="949"/>
      <c r="J1911" s="486">
        <f>369606.3/810.3*H1911</f>
        <v>20754.14864864865</v>
      </c>
      <c r="K1911" s="558"/>
    </row>
    <row r="1912" spans="1:11" x14ac:dyDescent="0.2">
      <c r="A1912" s="457" t="s">
        <v>8804</v>
      </c>
      <c r="B1912" s="481" t="s">
        <v>308</v>
      </c>
      <c r="C1912" s="878"/>
      <c r="D1912" s="881"/>
      <c r="E1912" s="505">
        <v>301</v>
      </c>
      <c r="F1912" s="196"/>
      <c r="G1912" s="385"/>
      <c r="H1912" s="494">
        <v>23</v>
      </c>
      <c r="I1912" s="949"/>
      <c r="J1912" s="486">
        <f>369606.3/810.3*H1912</f>
        <v>10491.108108108108</v>
      </c>
      <c r="K1912" s="558"/>
    </row>
    <row r="1913" spans="1:11" x14ac:dyDescent="0.2">
      <c r="A1913" s="457" t="s">
        <v>8805</v>
      </c>
      <c r="B1913" s="481" t="s">
        <v>308</v>
      </c>
      <c r="C1913" s="879"/>
      <c r="D1913" s="881"/>
      <c r="E1913" s="505">
        <v>305</v>
      </c>
      <c r="F1913" s="196"/>
      <c r="G1913" s="385"/>
      <c r="H1913" s="494">
        <v>37</v>
      </c>
      <c r="I1913" s="949"/>
      <c r="J1913" s="486">
        <f>369606.3/810.3*H1913</f>
        <v>16877</v>
      </c>
      <c r="K1913" s="558"/>
    </row>
    <row r="1914" spans="1:11" ht="15" customHeight="1" x14ac:dyDescent="0.2">
      <c r="A1914" s="382" t="s">
        <v>12701</v>
      </c>
      <c r="B1914" s="382" t="s">
        <v>308</v>
      </c>
      <c r="C1914" s="877" t="s">
        <v>13449</v>
      </c>
      <c r="D1914" s="881"/>
      <c r="E1914" s="505">
        <v>102</v>
      </c>
      <c r="F1914" s="196" t="s">
        <v>12702</v>
      </c>
      <c r="G1914" s="382" t="s">
        <v>143</v>
      </c>
      <c r="H1914" s="564">
        <v>30.9</v>
      </c>
      <c r="I1914" s="949"/>
      <c r="J1914" s="486">
        <v>1079676.8999999999</v>
      </c>
      <c r="K1914" s="565">
        <v>592726.27</v>
      </c>
    </row>
    <row r="1915" spans="1:11" x14ac:dyDescent="0.2">
      <c r="A1915" s="382" t="s">
        <v>12703</v>
      </c>
      <c r="B1915" s="382" t="s">
        <v>308</v>
      </c>
      <c r="C1915" s="878"/>
      <c r="D1915" s="881"/>
      <c r="E1915" s="505">
        <v>103</v>
      </c>
      <c r="F1915" s="196" t="s">
        <v>12704</v>
      </c>
      <c r="G1915" s="382" t="s">
        <v>143</v>
      </c>
      <c r="H1915" s="564">
        <v>32</v>
      </c>
      <c r="I1915" s="949"/>
      <c r="J1915" s="486">
        <v>1118112</v>
      </c>
      <c r="K1915" s="565">
        <v>613826.56000000006</v>
      </c>
    </row>
    <row r="1916" spans="1:11" x14ac:dyDescent="0.2">
      <c r="A1916" s="382" t="s">
        <v>12705</v>
      </c>
      <c r="B1916" s="382" t="s">
        <v>308</v>
      </c>
      <c r="C1916" s="878"/>
      <c r="D1916" s="881"/>
      <c r="E1916" s="505">
        <v>104</v>
      </c>
      <c r="F1916" s="196" t="s">
        <v>12706</v>
      </c>
      <c r="G1916" s="382" t="s">
        <v>143</v>
      </c>
      <c r="H1916" s="564">
        <v>35.9</v>
      </c>
      <c r="I1916" s="949"/>
      <c r="J1916" s="486">
        <v>1153053</v>
      </c>
      <c r="K1916" s="565">
        <v>688636.67</v>
      </c>
    </row>
    <row r="1917" spans="1:11" x14ac:dyDescent="0.2">
      <c r="A1917" s="382" t="s">
        <v>12707</v>
      </c>
      <c r="B1917" s="382" t="s">
        <v>308</v>
      </c>
      <c r="C1917" s="878"/>
      <c r="D1917" s="881"/>
      <c r="E1917" s="505">
        <v>106</v>
      </c>
      <c r="F1917" s="196" t="s">
        <v>12708</v>
      </c>
      <c r="G1917" s="382" t="s">
        <v>143</v>
      </c>
      <c r="H1917" s="564">
        <v>32.200000000000003</v>
      </c>
      <c r="I1917" s="949"/>
      <c r="J1917" s="486">
        <v>1125100.2</v>
      </c>
      <c r="K1917" s="494">
        <v>617662.98</v>
      </c>
    </row>
    <row r="1918" spans="1:11" x14ac:dyDescent="0.2">
      <c r="A1918" s="382" t="s">
        <v>12709</v>
      </c>
      <c r="B1918" s="382" t="s">
        <v>308</v>
      </c>
      <c r="C1918" s="878"/>
      <c r="D1918" s="881"/>
      <c r="E1918" s="505">
        <v>107</v>
      </c>
      <c r="F1918" s="196" t="s">
        <v>12710</v>
      </c>
      <c r="G1918" s="382" t="s">
        <v>143</v>
      </c>
      <c r="H1918" s="564">
        <v>37.4</v>
      </c>
      <c r="I1918" s="949"/>
      <c r="J1918" s="486">
        <v>1153053</v>
      </c>
      <c r="K1918" s="494">
        <v>717409.79</v>
      </c>
    </row>
    <row r="1919" spans="1:11" x14ac:dyDescent="0.2">
      <c r="A1919" s="382" t="s">
        <v>12711</v>
      </c>
      <c r="B1919" s="382" t="s">
        <v>308</v>
      </c>
      <c r="C1919" s="878"/>
      <c r="D1919" s="881"/>
      <c r="E1919" s="505">
        <v>108</v>
      </c>
      <c r="F1919" s="196" t="s">
        <v>12712</v>
      </c>
      <c r="G1919" s="382" t="s">
        <v>143</v>
      </c>
      <c r="H1919" s="564">
        <v>28.4</v>
      </c>
      <c r="I1919" s="949"/>
      <c r="J1919" s="486">
        <v>992324.4</v>
      </c>
      <c r="K1919" s="494">
        <v>544771.06999999995</v>
      </c>
    </row>
    <row r="1920" spans="1:11" x14ac:dyDescent="0.2">
      <c r="A1920" s="382" t="s">
        <v>12713</v>
      </c>
      <c r="B1920" s="382" t="s">
        <v>308</v>
      </c>
      <c r="C1920" s="879"/>
      <c r="D1920" s="882"/>
      <c r="E1920" s="505">
        <v>109</v>
      </c>
      <c r="F1920" s="196" t="s">
        <v>12714</v>
      </c>
      <c r="G1920" s="382" t="s">
        <v>143</v>
      </c>
      <c r="H1920" s="564">
        <v>76.400000000000006</v>
      </c>
      <c r="I1920" s="950"/>
      <c r="J1920" s="486">
        <v>2669492.4</v>
      </c>
      <c r="K1920" s="494">
        <v>1465510.91</v>
      </c>
    </row>
    <row r="1921" spans="1:11" ht="12.75" customHeight="1" x14ac:dyDescent="0.2">
      <c r="A1921" s="456" t="s">
        <v>4997</v>
      </c>
      <c r="B1921" s="382"/>
      <c r="C1921" s="856" t="s">
        <v>13267</v>
      </c>
      <c r="D1921" s="866" t="s">
        <v>5005</v>
      </c>
      <c r="E1921" s="505"/>
      <c r="F1921" s="196"/>
      <c r="G1921" s="566" t="s">
        <v>5003</v>
      </c>
      <c r="H1921" s="296">
        <f>(226.2+232.9+286.4+317.9)-(226.2+232.9+286.4+317.9)</f>
        <v>0</v>
      </c>
      <c r="I1921" s="895">
        <v>2014</v>
      </c>
      <c r="J1921" s="297">
        <f>(6558472+6833752+9279304+8404032)-(6558472+6833752+9279304+8404032)</f>
        <v>0</v>
      </c>
      <c r="K1921" s="297"/>
    </row>
    <row r="1922" spans="1:11" ht="14.25" customHeight="1" x14ac:dyDescent="0.2">
      <c r="A1922" s="457" t="s">
        <v>4998</v>
      </c>
      <c r="B1922" s="382" t="s">
        <v>308</v>
      </c>
      <c r="C1922" s="857"/>
      <c r="D1922" s="867"/>
      <c r="E1922" s="505">
        <v>34</v>
      </c>
      <c r="F1922" s="196" t="s">
        <v>5004</v>
      </c>
      <c r="G1922" s="382" t="s">
        <v>543</v>
      </c>
      <c r="H1922" s="297">
        <v>46.1</v>
      </c>
      <c r="I1922" s="896"/>
      <c r="J1922" s="300">
        <v>1290501.8</v>
      </c>
      <c r="K1922" s="297">
        <v>484445.59</v>
      </c>
    </row>
    <row r="1923" spans="1:11" ht="12.75" customHeight="1" x14ac:dyDescent="0.2">
      <c r="A1923" s="457" t="s">
        <v>4999</v>
      </c>
      <c r="B1923" s="382" t="s">
        <v>308</v>
      </c>
      <c r="C1923" s="857"/>
      <c r="D1923" s="867"/>
      <c r="E1923" s="505">
        <v>35</v>
      </c>
      <c r="F1923" s="196" t="s">
        <v>5009</v>
      </c>
      <c r="G1923" s="382" t="s">
        <v>543</v>
      </c>
      <c r="H1923" s="297">
        <v>60.1</v>
      </c>
      <c r="I1923" s="896"/>
      <c r="J1923" s="300">
        <v>1703000.62</v>
      </c>
      <c r="K1923" s="297">
        <v>584632.97</v>
      </c>
    </row>
    <row r="1924" spans="1:11" x14ac:dyDescent="0.2">
      <c r="A1924" s="457" t="s">
        <v>5000</v>
      </c>
      <c r="B1924" s="382" t="s">
        <v>308</v>
      </c>
      <c r="C1924" s="857"/>
      <c r="D1924" s="867"/>
      <c r="E1924" s="505">
        <v>36</v>
      </c>
      <c r="F1924" s="196" t="s">
        <v>5010</v>
      </c>
      <c r="G1924" s="382" t="s">
        <v>543</v>
      </c>
      <c r="H1924" s="297">
        <v>59.1</v>
      </c>
      <c r="I1924" s="896"/>
      <c r="J1924" s="300">
        <v>1675178.58</v>
      </c>
      <c r="K1924" s="297">
        <v>574905.30000000005</v>
      </c>
    </row>
    <row r="1925" spans="1:11" ht="12" customHeight="1" x14ac:dyDescent="0.2">
      <c r="A1925" s="457" t="s">
        <v>5001</v>
      </c>
      <c r="B1925" s="382" t="s">
        <v>308</v>
      </c>
      <c r="C1925" s="857"/>
      <c r="D1925" s="867"/>
      <c r="E1925" s="505">
        <v>14</v>
      </c>
      <c r="F1925" s="196" t="s">
        <v>5011</v>
      </c>
      <c r="G1925" s="382" t="s">
        <v>133</v>
      </c>
      <c r="H1925" s="297">
        <v>48.3</v>
      </c>
      <c r="I1925" s="896"/>
      <c r="J1925" s="300">
        <v>1327205.8</v>
      </c>
      <c r="K1925" s="297">
        <v>469846.46</v>
      </c>
    </row>
    <row r="1926" spans="1:11" ht="12" customHeight="1" x14ac:dyDescent="0.2">
      <c r="A1926" s="457" t="s">
        <v>5002</v>
      </c>
      <c r="B1926" s="382" t="s">
        <v>308</v>
      </c>
      <c r="C1926" s="857"/>
      <c r="D1926" s="867"/>
      <c r="E1926" s="505">
        <v>16</v>
      </c>
      <c r="F1926" s="196" t="s">
        <v>5012</v>
      </c>
      <c r="G1926" s="382" t="s">
        <v>133</v>
      </c>
      <c r="H1926" s="297">
        <v>65</v>
      </c>
      <c r="I1926" s="896"/>
      <c r="J1926" s="300">
        <v>1849941.81</v>
      </c>
      <c r="K1926" s="297">
        <v>632298.55000000005</v>
      </c>
    </row>
    <row r="1927" spans="1:11" ht="12.75" customHeight="1" x14ac:dyDescent="0.2">
      <c r="A1927" s="456" t="s">
        <v>5479</v>
      </c>
      <c r="B1927" s="481"/>
      <c r="C1927" s="862" t="s">
        <v>13268</v>
      </c>
      <c r="D1927" s="863" t="s">
        <v>5484</v>
      </c>
      <c r="E1927" s="196"/>
      <c r="F1927" s="196" t="s">
        <v>5485</v>
      </c>
      <c r="G1927" s="196" t="s">
        <v>11657</v>
      </c>
      <c r="H1927" s="487">
        <f>1438.1-1438.1</f>
        <v>0</v>
      </c>
      <c r="I1927" s="886">
        <v>2014</v>
      </c>
      <c r="J1927" s="487">
        <f>42617488-42617488</f>
        <v>0</v>
      </c>
      <c r="K1927" s="297"/>
    </row>
    <row r="1928" spans="1:11" ht="12.75" customHeight="1" x14ac:dyDescent="0.2">
      <c r="A1928" s="457" t="s">
        <v>5480</v>
      </c>
      <c r="B1928" s="481" t="s">
        <v>308</v>
      </c>
      <c r="C1928" s="862"/>
      <c r="D1928" s="863"/>
      <c r="E1928" s="196">
        <v>70</v>
      </c>
      <c r="F1928" s="196" t="s">
        <v>5487</v>
      </c>
      <c r="G1928" s="196" t="s">
        <v>143</v>
      </c>
      <c r="H1928" s="300">
        <v>56.3</v>
      </c>
      <c r="I1928" s="887"/>
      <c r="J1928" s="300">
        <f>42617488/1438.1*H1928</f>
        <v>1668426.7953549824</v>
      </c>
      <c r="K1928" s="297">
        <v>1149632.49</v>
      </c>
    </row>
    <row r="1929" spans="1:11" ht="24" customHeight="1" x14ac:dyDescent="0.2">
      <c r="A1929" s="457" t="s">
        <v>5481</v>
      </c>
      <c r="B1929" s="481" t="s">
        <v>308</v>
      </c>
      <c r="C1929" s="862"/>
      <c r="D1929" s="863"/>
      <c r="E1929" s="196">
        <v>72</v>
      </c>
      <c r="F1929" s="196" t="s">
        <v>5488</v>
      </c>
      <c r="G1929" s="196" t="s">
        <v>143</v>
      </c>
      <c r="H1929" s="300">
        <v>40.5</v>
      </c>
      <c r="I1929" s="887"/>
      <c r="J1929" s="300">
        <f t="shared" ref="J1929:J1931" si="17">42617488/1438.1*H1929</f>
        <v>1200200.4478130867</v>
      </c>
      <c r="K1929" s="297">
        <v>827000.28</v>
      </c>
    </row>
    <row r="1930" spans="1:11" ht="15" customHeight="1" x14ac:dyDescent="0.2">
      <c r="A1930" s="457" t="s">
        <v>5482</v>
      </c>
      <c r="B1930" s="481" t="s">
        <v>308</v>
      </c>
      <c r="C1930" s="862"/>
      <c r="D1930" s="863"/>
      <c r="E1930" s="196">
        <v>104</v>
      </c>
      <c r="F1930" s="196" t="s">
        <v>5486</v>
      </c>
      <c r="G1930" s="196" t="s">
        <v>2770</v>
      </c>
      <c r="H1930" s="300">
        <v>40.4</v>
      </c>
      <c r="I1930" s="887"/>
      <c r="J1930" s="300">
        <f t="shared" si="17"/>
        <v>1197236.989917252</v>
      </c>
      <c r="K1930" s="297">
        <v>824958.3</v>
      </c>
    </row>
    <row r="1931" spans="1:11" ht="15.75" customHeight="1" x14ac:dyDescent="0.2">
      <c r="A1931" s="457" t="s">
        <v>5483</v>
      </c>
      <c r="B1931" s="481" t="s">
        <v>308</v>
      </c>
      <c r="C1931" s="862"/>
      <c r="D1931" s="863"/>
      <c r="E1931" s="196">
        <v>108</v>
      </c>
      <c r="F1931" s="196" t="s">
        <v>5548</v>
      </c>
      <c r="G1931" s="196" t="s">
        <v>2771</v>
      </c>
      <c r="H1931" s="300">
        <v>40.299999999999997</v>
      </c>
      <c r="I1931" s="888"/>
      <c r="J1931" s="300">
        <f t="shared" si="17"/>
        <v>1194273.532021417</v>
      </c>
      <c r="K1931" s="297">
        <v>822916.33</v>
      </c>
    </row>
    <row r="1932" spans="1:11" ht="15" customHeight="1" x14ac:dyDescent="0.2">
      <c r="A1932" s="458"/>
      <c r="B1932" s="481" t="s">
        <v>11658</v>
      </c>
      <c r="C1932" s="847" t="s">
        <v>13268</v>
      </c>
      <c r="D1932" s="859" t="s">
        <v>5484</v>
      </c>
      <c r="E1932" s="196"/>
      <c r="F1932" s="196" t="s">
        <v>6555</v>
      </c>
      <c r="G1932" s="196" t="s">
        <v>6556</v>
      </c>
      <c r="H1932" s="297">
        <f>4472-4472</f>
        <v>0</v>
      </c>
      <c r="I1932" s="895">
        <v>2015</v>
      </c>
      <c r="J1932" s="297"/>
      <c r="K1932" s="297">
        <v>91317166.719999999</v>
      </c>
    </row>
    <row r="1933" spans="1:11" ht="16.5" customHeight="1" x14ac:dyDescent="0.2">
      <c r="A1933" s="458" t="s">
        <v>6552</v>
      </c>
      <c r="B1933" s="481" t="s">
        <v>308</v>
      </c>
      <c r="C1933" s="848"/>
      <c r="D1933" s="860"/>
      <c r="E1933" s="196">
        <v>13</v>
      </c>
      <c r="F1933" s="196" t="s">
        <v>6557</v>
      </c>
      <c r="G1933" s="196" t="s">
        <v>134</v>
      </c>
      <c r="H1933" s="297">
        <v>55.5</v>
      </c>
      <c r="I1933" s="896"/>
      <c r="J1933" s="297">
        <f t="shared" ref="J1933:J1938" si="18">82462200/2747.4*H1933</f>
        <v>1665812.0768726796</v>
      </c>
      <c r="K1933" s="297">
        <v>1133296.68</v>
      </c>
    </row>
    <row r="1934" spans="1:11" ht="26.25" customHeight="1" x14ac:dyDescent="0.2">
      <c r="A1934" s="458" t="s">
        <v>6553</v>
      </c>
      <c r="B1934" s="481" t="s">
        <v>308</v>
      </c>
      <c r="C1934" s="848"/>
      <c r="D1934" s="860"/>
      <c r="E1934" s="196">
        <v>24</v>
      </c>
      <c r="F1934" s="196" t="s">
        <v>6558</v>
      </c>
      <c r="G1934" s="196" t="s">
        <v>3077</v>
      </c>
      <c r="H1934" s="297">
        <v>56.9</v>
      </c>
      <c r="I1934" s="896"/>
      <c r="J1934" s="297">
        <f t="shared" si="18"/>
        <v>1707832.5616946931</v>
      </c>
      <c r="K1934" s="297">
        <v>1161884.3400000001</v>
      </c>
    </row>
    <row r="1935" spans="1:11" x14ac:dyDescent="0.2">
      <c r="A1935" s="458" t="s">
        <v>6554</v>
      </c>
      <c r="B1935" s="481" t="s">
        <v>308</v>
      </c>
      <c r="C1935" s="848"/>
      <c r="D1935" s="860"/>
      <c r="E1935" s="196">
        <v>32</v>
      </c>
      <c r="F1935" s="196" t="s">
        <v>11659</v>
      </c>
      <c r="G1935" s="196" t="s">
        <v>2769</v>
      </c>
      <c r="H1935" s="297">
        <v>56.6</v>
      </c>
      <c r="I1935" s="896"/>
      <c r="J1935" s="297">
        <f t="shared" si="18"/>
        <v>1698828.172089976</v>
      </c>
      <c r="K1935" s="297">
        <v>1155758.42</v>
      </c>
    </row>
    <row r="1936" spans="1:11" ht="12.75" customHeight="1" x14ac:dyDescent="0.2">
      <c r="A1936" s="458" t="s">
        <v>6559</v>
      </c>
      <c r="B1936" s="481" t="s">
        <v>308</v>
      </c>
      <c r="C1936" s="848"/>
      <c r="D1936" s="860"/>
      <c r="E1936" s="196">
        <v>66</v>
      </c>
      <c r="F1936" s="196" t="s">
        <v>6562</v>
      </c>
      <c r="G1936" s="196" t="s">
        <v>2770</v>
      </c>
      <c r="H1936" s="297">
        <v>81.5</v>
      </c>
      <c r="I1936" s="896"/>
      <c r="J1936" s="297">
        <f t="shared" si="18"/>
        <v>2446192.5092815026</v>
      </c>
      <c r="K1936" s="297">
        <v>1664210.44</v>
      </c>
    </row>
    <row r="1937" spans="1:11" x14ac:dyDescent="0.2">
      <c r="A1937" s="458" t="s">
        <v>6560</v>
      </c>
      <c r="B1937" s="481" t="s">
        <v>308</v>
      </c>
      <c r="C1937" s="848"/>
      <c r="D1937" s="860"/>
      <c r="E1937" s="196">
        <v>67</v>
      </c>
      <c r="F1937" s="196" t="s">
        <v>6563</v>
      </c>
      <c r="G1937" s="196" t="s">
        <v>2771</v>
      </c>
      <c r="H1937" s="297">
        <v>56.2</v>
      </c>
      <c r="I1937" s="896"/>
      <c r="J1937" s="297">
        <f t="shared" si="18"/>
        <v>1686822.3192836866</v>
      </c>
      <c r="K1937" s="297">
        <v>1147590.51</v>
      </c>
    </row>
    <row r="1938" spans="1:11" x14ac:dyDescent="0.2">
      <c r="A1938" s="458" t="s">
        <v>6561</v>
      </c>
      <c r="B1938" s="481" t="s">
        <v>308</v>
      </c>
      <c r="C1938" s="848"/>
      <c r="D1938" s="860"/>
      <c r="E1938" s="196">
        <v>68</v>
      </c>
      <c r="F1938" s="196" t="s">
        <v>6564</v>
      </c>
      <c r="G1938" s="196" t="s">
        <v>2771</v>
      </c>
      <c r="H1938" s="297">
        <v>57</v>
      </c>
      <c r="I1938" s="896"/>
      <c r="J1938" s="297">
        <f t="shared" si="18"/>
        <v>1710834.0248962655</v>
      </c>
      <c r="K1938" s="297">
        <v>1163926.32</v>
      </c>
    </row>
    <row r="1939" spans="1:11" ht="48" x14ac:dyDescent="0.2">
      <c r="A1939" s="456" t="s">
        <v>5491</v>
      </c>
      <c r="B1939" s="382"/>
      <c r="C1939" s="862" t="s">
        <v>13269</v>
      </c>
      <c r="D1939" s="863" t="s">
        <v>5493</v>
      </c>
      <c r="E1939" s="196"/>
      <c r="F1939" s="196" t="s">
        <v>5502</v>
      </c>
      <c r="G1939" s="196" t="s">
        <v>5507</v>
      </c>
      <c r="H1939" s="297">
        <f>138.5-138.5</f>
        <v>0</v>
      </c>
      <c r="I1939" s="954">
        <v>2014</v>
      </c>
      <c r="J1939" s="297">
        <f>4166496-4166496</f>
        <v>0</v>
      </c>
      <c r="K1939" s="297"/>
    </row>
    <row r="1940" spans="1:11" ht="12.75" customHeight="1" x14ac:dyDescent="0.2">
      <c r="A1940" s="457" t="s">
        <v>5492</v>
      </c>
      <c r="B1940" s="382" t="s">
        <v>308</v>
      </c>
      <c r="C1940" s="862"/>
      <c r="D1940" s="863"/>
      <c r="E1940" s="196">
        <v>1</v>
      </c>
      <c r="F1940" s="196" t="s">
        <v>11660</v>
      </c>
      <c r="G1940" s="196" t="s">
        <v>143</v>
      </c>
      <c r="H1940" s="297">
        <v>34.6</v>
      </c>
      <c r="I1940" s="954"/>
      <c r="J1940" s="297">
        <f>4166496/138.5*H1940</f>
        <v>1040871.9249097473</v>
      </c>
      <c r="K1940" s="297">
        <v>497195.08</v>
      </c>
    </row>
    <row r="1941" spans="1:11" ht="36.75" customHeight="1" x14ac:dyDescent="0.2">
      <c r="A1941" s="457" t="s">
        <v>5494</v>
      </c>
      <c r="B1941" s="382" t="s">
        <v>308</v>
      </c>
      <c r="C1941" s="862"/>
      <c r="D1941" s="863"/>
      <c r="E1941" s="196">
        <v>2</v>
      </c>
      <c r="F1941" s="196" t="s">
        <v>5504</v>
      </c>
      <c r="G1941" s="196" t="s">
        <v>143</v>
      </c>
      <c r="H1941" s="297">
        <v>34.6</v>
      </c>
      <c r="I1941" s="954"/>
      <c r="J1941" s="297">
        <f>4166496/138.5*H1941</f>
        <v>1040871.9249097473</v>
      </c>
      <c r="K1941" s="297">
        <v>497195.08</v>
      </c>
    </row>
    <row r="1942" spans="1:11" ht="15" customHeight="1" x14ac:dyDescent="0.2">
      <c r="A1942" s="457" t="s">
        <v>5495</v>
      </c>
      <c r="B1942" s="382" t="s">
        <v>308</v>
      </c>
      <c r="C1942" s="862"/>
      <c r="D1942" s="863"/>
      <c r="E1942" s="196">
        <v>3</v>
      </c>
      <c r="F1942" s="196" t="s">
        <v>5505</v>
      </c>
      <c r="G1942" s="196" t="s">
        <v>143</v>
      </c>
      <c r="H1942" s="297">
        <v>34.6</v>
      </c>
      <c r="I1942" s="954"/>
      <c r="J1942" s="297">
        <f>4166496/138.5*H1942</f>
        <v>1040871.9249097473</v>
      </c>
      <c r="K1942" s="297">
        <v>497195.08</v>
      </c>
    </row>
    <row r="1943" spans="1:11" x14ac:dyDescent="0.2">
      <c r="A1943" s="457" t="s">
        <v>5496</v>
      </c>
      <c r="B1943" s="382" t="s">
        <v>308</v>
      </c>
      <c r="C1943" s="862"/>
      <c r="D1943" s="863"/>
      <c r="E1943" s="196">
        <v>4</v>
      </c>
      <c r="F1943" s="196" t="s">
        <v>5506</v>
      </c>
      <c r="G1943" s="196" t="s">
        <v>143</v>
      </c>
      <c r="H1943" s="297">
        <v>34.700000000000003</v>
      </c>
      <c r="I1943" s="954"/>
      <c r="J1943" s="297">
        <f>4166496/138.5*H1943</f>
        <v>1043880.2252707582</v>
      </c>
      <c r="K1943" s="297">
        <v>498632.06</v>
      </c>
    </row>
    <row r="1944" spans="1:11" ht="48" x14ac:dyDescent="0.2">
      <c r="A1944" s="456" t="s">
        <v>5497</v>
      </c>
      <c r="B1944" s="382"/>
      <c r="C1944" s="862" t="s">
        <v>13270</v>
      </c>
      <c r="D1944" s="863" t="s">
        <v>5501</v>
      </c>
      <c r="E1944" s="505"/>
      <c r="F1944" s="196" t="s">
        <v>5503</v>
      </c>
      <c r="G1944" s="196" t="s">
        <v>5507</v>
      </c>
      <c r="H1944" s="297">
        <f>138.2-138.2</f>
        <v>0</v>
      </c>
      <c r="I1944" s="954">
        <v>2014</v>
      </c>
      <c r="J1944" s="297">
        <f>4166496-4166496</f>
        <v>0</v>
      </c>
      <c r="K1944" s="297"/>
    </row>
    <row r="1945" spans="1:11" x14ac:dyDescent="0.2">
      <c r="A1945" s="457" t="s">
        <v>5498</v>
      </c>
      <c r="B1945" s="382" t="s">
        <v>308</v>
      </c>
      <c r="C1945" s="862"/>
      <c r="D1945" s="863"/>
      <c r="E1945" s="196">
        <v>1</v>
      </c>
      <c r="F1945" s="196" t="s">
        <v>5508</v>
      </c>
      <c r="G1945" s="196" t="s">
        <v>143</v>
      </c>
      <c r="H1945" s="297">
        <v>34.200000000000003</v>
      </c>
      <c r="I1945" s="954"/>
      <c r="J1945" s="487">
        <f>(4136421.06+1177584.28)/138.2*H1945</f>
        <v>1315043.2896382059</v>
      </c>
      <c r="K1945" s="297">
        <v>491447.16</v>
      </c>
    </row>
    <row r="1946" spans="1:11" x14ac:dyDescent="0.2">
      <c r="A1946" s="457" t="s">
        <v>5499</v>
      </c>
      <c r="B1946" s="382" t="s">
        <v>308</v>
      </c>
      <c r="C1946" s="862"/>
      <c r="D1946" s="863"/>
      <c r="E1946" s="196">
        <v>3</v>
      </c>
      <c r="F1946" s="196" t="s">
        <v>5509</v>
      </c>
      <c r="G1946" s="196" t="s">
        <v>143</v>
      </c>
      <c r="H1946" s="297">
        <v>34.6</v>
      </c>
      <c r="I1946" s="954"/>
      <c r="J1946" s="487">
        <f>(4136421.06+1177584.28)/138.2*H1946</f>
        <v>1330423.9129088281</v>
      </c>
      <c r="K1946" s="297">
        <v>497195.08</v>
      </c>
    </row>
    <row r="1947" spans="1:11" x14ac:dyDescent="0.2">
      <c r="A1947" s="457" t="s">
        <v>5500</v>
      </c>
      <c r="B1947" s="382" t="s">
        <v>308</v>
      </c>
      <c r="C1947" s="862"/>
      <c r="D1947" s="863"/>
      <c r="E1947" s="196">
        <v>4</v>
      </c>
      <c r="F1947" s="196" t="s">
        <v>5510</v>
      </c>
      <c r="G1947" s="196" t="s">
        <v>143</v>
      </c>
      <c r="H1947" s="297">
        <v>34.799999999999997</v>
      </c>
      <c r="I1947" s="954"/>
      <c r="J1947" s="487">
        <f>(4136421.06+1177584.28)/138.2*H1947</f>
        <v>1338114.2245441391</v>
      </c>
      <c r="K1947" s="297">
        <v>500069.04</v>
      </c>
    </row>
    <row r="1948" spans="1:11" ht="13.5" customHeight="1" x14ac:dyDescent="0.2">
      <c r="A1948" s="459" t="s">
        <v>5748</v>
      </c>
      <c r="B1948" s="481"/>
      <c r="C1948" s="856" t="s">
        <v>13271</v>
      </c>
      <c r="D1948" s="859" t="s">
        <v>383</v>
      </c>
      <c r="E1948" s="196"/>
      <c r="F1948" s="196" t="s">
        <v>5756</v>
      </c>
      <c r="G1948" s="196" t="s">
        <v>5757</v>
      </c>
      <c r="H1948" s="297">
        <f>2100.4-2100.4</f>
        <v>0</v>
      </c>
      <c r="I1948" s="895">
        <v>2014</v>
      </c>
      <c r="J1948" s="297"/>
      <c r="K1948" s="297">
        <v>18055500.489999998</v>
      </c>
    </row>
    <row r="1949" spans="1:11" x14ac:dyDescent="0.2">
      <c r="A1949" s="458" t="s">
        <v>5749</v>
      </c>
      <c r="B1949" s="481" t="s">
        <v>308</v>
      </c>
      <c r="C1949" s="857"/>
      <c r="D1949" s="860"/>
      <c r="E1949" s="196">
        <v>4</v>
      </c>
      <c r="F1949" s="196" t="s">
        <v>11661</v>
      </c>
      <c r="G1949" s="196" t="s">
        <v>543</v>
      </c>
      <c r="H1949" s="297">
        <v>53.9</v>
      </c>
      <c r="I1949" s="896"/>
      <c r="J1949" s="487">
        <f>14004900/518.7 *H1949</f>
        <v>1455299.9999999998</v>
      </c>
      <c r="K1949" s="297">
        <v>463336.26</v>
      </c>
    </row>
    <row r="1950" spans="1:11" ht="33.75" customHeight="1" x14ac:dyDescent="0.2">
      <c r="A1950" s="458" t="s">
        <v>5750</v>
      </c>
      <c r="B1950" s="481" t="s">
        <v>308</v>
      </c>
      <c r="C1950" s="857"/>
      <c r="D1950" s="860"/>
      <c r="E1950" s="196">
        <v>6</v>
      </c>
      <c r="F1950" s="196" t="s">
        <v>5758</v>
      </c>
      <c r="G1950" s="196" t="s">
        <v>543</v>
      </c>
      <c r="H1950" s="297">
        <v>45.2</v>
      </c>
      <c r="I1950" s="896"/>
      <c r="J1950" s="487">
        <f>14004900/518.7 *H1950</f>
        <v>1220400</v>
      </c>
      <c r="K1950" s="297">
        <v>388549.14</v>
      </c>
    </row>
    <row r="1951" spans="1:11" ht="15.75" customHeight="1" x14ac:dyDescent="0.2">
      <c r="A1951" s="458" t="s">
        <v>5751</v>
      </c>
      <c r="B1951" s="481" t="s">
        <v>308</v>
      </c>
      <c r="C1951" s="857"/>
      <c r="D1951" s="860"/>
      <c r="E1951" s="196">
        <v>7</v>
      </c>
      <c r="F1951" s="196" t="s">
        <v>5759</v>
      </c>
      <c r="G1951" s="196" t="s">
        <v>543</v>
      </c>
      <c r="H1951" s="297">
        <v>64.099999999999994</v>
      </c>
      <c r="I1951" s="896"/>
      <c r="J1951" s="487">
        <f>14004900/518.7 *H1951</f>
        <v>1730699.9999999995</v>
      </c>
      <c r="K1951" s="297">
        <v>551017.69999999995</v>
      </c>
    </row>
    <row r="1952" spans="1:11" ht="13.5" customHeight="1" x14ac:dyDescent="0.2">
      <c r="A1952" s="458" t="s">
        <v>5752</v>
      </c>
      <c r="B1952" s="481" t="s">
        <v>308</v>
      </c>
      <c r="C1952" s="857"/>
      <c r="D1952" s="860"/>
      <c r="E1952" s="196">
        <v>15</v>
      </c>
      <c r="F1952" s="196" t="s">
        <v>11662</v>
      </c>
      <c r="G1952" s="196" t="s">
        <v>538</v>
      </c>
      <c r="H1952" s="297">
        <v>30.4</v>
      </c>
      <c r="I1952" s="896"/>
      <c r="J1952" s="487">
        <f>2641350.6/95.8*H1952</f>
        <v>838173.88559498952</v>
      </c>
      <c r="K1952" s="297">
        <v>261325.09</v>
      </c>
    </row>
    <row r="1953" spans="1:11" ht="12.75" customHeight="1" x14ac:dyDescent="0.2">
      <c r="A1953" s="458" t="s">
        <v>5753</v>
      </c>
      <c r="B1953" s="481" t="s">
        <v>308</v>
      </c>
      <c r="C1953" s="857"/>
      <c r="D1953" s="860"/>
      <c r="E1953" s="196">
        <v>23</v>
      </c>
      <c r="F1953" s="196" t="s">
        <v>5761</v>
      </c>
      <c r="G1953" s="196" t="s">
        <v>543</v>
      </c>
      <c r="H1953" s="297">
        <v>56.2</v>
      </c>
      <c r="I1953" s="896"/>
      <c r="J1953" s="487">
        <f t="shared" ref="J1953:J1955" si="19">14004900/518.7 *H1953</f>
        <v>1517399.9999999998</v>
      </c>
      <c r="K1953" s="297">
        <v>483107.56</v>
      </c>
    </row>
    <row r="1954" spans="1:11" x14ac:dyDescent="0.2">
      <c r="A1954" s="458" t="s">
        <v>5754</v>
      </c>
      <c r="B1954" s="481" t="s">
        <v>308</v>
      </c>
      <c r="C1954" s="857"/>
      <c r="D1954" s="860"/>
      <c r="E1954" s="196">
        <v>24</v>
      </c>
      <c r="F1954" s="196" t="s">
        <v>5760</v>
      </c>
      <c r="G1954" s="196" t="s">
        <v>543</v>
      </c>
      <c r="H1954" s="297">
        <v>45.5</v>
      </c>
      <c r="I1954" s="896"/>
      <c r="J1954" s="487">
        <f t="shared" si="19"/>
        <v>1228499.9999999998</v>
      </c>
      <c r="K1954" s="297">
        <v>391128.01</v>
      </c>
    </row>
    <row r="1955" spans="1:11" x14ac:dyDescent="0.2">
      <c r="A1955" s="458" t="s">
        <v>5755</v>
      </c>
      <c r="B1955" s="481" t="s">
        <v>308</v>
      </c>
      <c r="C1955" s="857"/>
      <c r="D1955" s="860"/>
      <c r="E1955" s="196">
        <v>29</v>
      </c>
      <c r="F1955" s="196" t="s">
        <v>5762</v>
      </c>
      <c r="G1955" s="196" t="s">
        <v>134</v>
      </c>
      <c r="H1955" s="297">
        <v>43.9</v>
      </c>
      <c r="I1955" s="896"/>
      <c r="J1955" s="487">
        <f t="shared" si="19"/>
        <v>1185299.9999999998</v>
      </c>
      <c r="K1955" s="297">
        <v>377374.06</v>
      </c>
    </row>
    <row r="1956" spans="1:11" ht="13.5" customHeight="1" x14ac:dyDescent="0.2">
      <c r="A1956" s="467" t="s">
        <v>12380</v>
      </c>
      <c r="B1956" s="467" t="s">
        <v>308</v>
      </c>
      <c r="C1956" s="857"/>
      <c r="D1956" s="860"/>
      <c r="E1956" s="40">
        <v>1</v>
      </c>
      <c r="F1956" s="2" t="s">
        <v>12381</v>
      </c>
      <c r="G1956" s="2" t="s">
        <v>143</v>
      </c>
      <c r="H1956" s="487">
        <v>34.4</v>
      </c>
      <c r="I1956" s="896"/>
      <c r="J1956" s="487">
        <v>1153053</v>
      </c>
      <c r="K1956" s="487">
        <v>295709.96999999997</v>
      </c>
    </row>
    <row r="1957" spans="1:11" ht="14.25" customHeight="1" x14ac:dyDescent="0.2">
      <c r="A1957" s="467" t="s">
        <v>12382</v>
      </c>
      <c r="B1957" s="467" t="s">
        <v>308</v>
      </c>
      <c r="C1957" s="857"/>
      <c r="D1957" s="860"/>
      <c r="E1957" s="40">
        <v>2</v>
      </c>
      <c r="F1957" s="2" t="s">
        <v>12383</v>
      </c>
      <c r="G1957" s="2" t="s">
        <v>143</v>
      </c>
      <c r="H1957" s="487">
        <v>47.5</v>
      </c>
      <c r="I1957" s="896"/>
      <c r="J1957" s="487">
        <v>1153053</v>
      </c>
      <c r="K1957" s="487">
        <v>408320.45</v>
      </c>
    </row>
    <row r="1958" spans="1:11" ht="14.25" customHeight="1" x14ac:dyDescent="0.2">
      <c r="A1958" s="382" t="s">
        <v>12486</v>
      </c>
      <c r="B1958" s="382" t="s">
        <v>13272</v>
      </c>
      <c r="C1958" s="857"/>
      <c r="D1958" s="860"/>
      <c r="E1958" s="40">
        <v>19</v>
      </c>
      <c r="F1958" s="2" t="s">
        <v>13273</v>
      </c>
      <c r="G1958" s="2" t="s">
        <v>11786</v>
      </c>
      <c r="H1958" s="487">
        <v>54.3</v>
      </c>
      <c r="I1958" s="896"/>
      <c r="J1958" s="487">
        <v>1153053</v>
      </c>
      <c r="K1958" s="487">
        <v>466774.75</v>
      </c>
    </row>
    <row r="1959" spans="1:11" ht="15.75" customHeight="1" x14ac:dyDescent="0.2">
      <c r="A1959" s="382" t="s">
        <v>12715</v>
      </c>
      <c r="B1959" s="382" t="s">
        <v>13272</v>
      </c>
      <c r="C1959" s="857"/>
      <c r="D1959" s="860"/>
      <c r="E1959" s="40">
        <v>14</v>
      </c>
      <c r="F1959" s="2" t="s">
        <v>12716</v>
      </c>
      <c r="G1959" s="2" t="s">
        <v>538</v>
      </c>
      <c r="H1959" s="487">
        <v>48.8</v>
      </c>
      <c r="I1959" s="896"/>
      <c r="J1959" s="487">
        <v>1153053</v>
      </c>
      <c r="K1959" s="487">
        <v>419495.54</v>
      </c>
    </row>
    <row r="1960" spans="1:11" ht="15.75" customHeight="1" x14ac:dyDescent="0.2">
      <c r="A1960" s="382" t="s">
        <v>12717</v>
      </c>
      <c r="B1960" s="382" t="s">
        <v>308</v>
      </c>
      <c r="C1960" s="858"/>
      <c r="D1960" s="861"/>
      <c r="E1960" s="40">
        <v>16</v>
      </c>
      <c r="F1960" s="2" t="s">
        <v>12718</v>
      </c>
      <c r="G1960" s="2" t="s">
        <v>538</v>
      </c>
      <c r="H1960" s="487">
        <v>45.8</v>
      </c>
      <c r="I1960" s="897"/>
      <c r="J1960" s="487">
        <v>1327758</v>
      </c>
      <c r="K1960" s="487">
        <v>393706.88</v>
      </c>
    </row>
    <row r="1961" spans="1:11" ht="27" customHeight="1" x14ac:dyDescent="0.2">
      <c r="A1961" s="459" t="s">
        <v>6168</v>
      </c>
      <c r="B1961" s="481"/>
      <c r="C1961" s="856" t="s">
        <v>13274</v>
      </c>
      <c r="D1961" s="859" t="s">
        <v>6183</v>
      </c>
      <c r="E1961" s="196"/>
      <c r="F1961" s="196" t="s">
        <v>6184</v>
      </c>
      <c r="G1961" s="196" t="s">
        <v>6209</v>
      </c>
      <c r="H1961" s="297">
        <f>1014.7-1014.7</f>
        <v>0</v>
      </c>
      <c r="I1961" s="895">
        <v>2015</v>
      </c>
      <c r="J1961" s="297">
        <f>25659600+1006200-(25659600+1006200)</f>
        <v>0</v>
      </c>
      <c r="K1961" s="297"/>
    </row>
    <row r="1962" spans="1:11" ht="15.75" customHeight="1" x14ac:dyDescent="0.2">
      <c r="A1962" s="458" t="s">
        <v>6169</v>
      </c>
      <c r="B1962" s="382" t="s">
        <v>308</v>
      </c>
      <c r="C1962" s="857"/>
      <c r="D1962" s="860"/>
      <c r="E1962" s="196">
        <v>1</v>
      </c>
      <c r="F1962" s="196" t="s">
        <v>6211</v>
      </c>
      <c r="G1962" s="196" t="s">
        <v>143</v>
      </c>
      <c r="H1962" s="297">
        <v>34.200000000000003</v>
      </c>
      <c r="I1962" s="896"/>
      <c r="J1962" s="297">
        <f>26665800/1014.7*H1962</f>
        <v>898758.60845570115</v>
      </c>
      <c r="K1962" s="297">
        <v>561358.46</v>
      </c>
    </row>
    <row r="1963" spans="1:11" ht="15.75" customHeight="1" x14ac:dyDescent="0.2">
      <c r="A1963" s="458" t="s">
        <v>6170</v>
      </c>
      <c r="B1963" s="481" t="s">
        <v>308</v>
      </c>
      <c r="C1963" s="857"/>
      <c r="D1963" s="860"/>
      <c r="E1963" s="505">
        <v>2</v>
      </c>
      <c r="F1963" s="196" t="s">
        <v>6190</v>
      </c>
      <c r="G1963" s="196" t="s">
        <v>143</v>
      </c>
      <c r="H1963" s="486">
        <v>48.9</v>
      </c>
      <c r="I1963" s="896"/>
      <c r="J1963" s="297">
        <f t="shared" ref="J1963:J1977" si="20">26665800/1014.7*H1963</f>
        <v>1285067.1331428008</v>
      </c>
      <c r="K1963" s="297">
        <v>802644.11</v>
      </c>
    </row>
    <row r="1964" spans="1:11" ht="24" customHeight="1" x14ac:dyDescent="0.2">
      <c r="A1964" s="458" t="s">
        <v>6171</v>
      </c>
      <c r="B1964" s="481" t="s">
        <v>308</v>
      </c>
      <c r="C1964" s="857"/>
      <c r="D1964" s="860"/>
      <c r="E1964" s="505">
        <v>3</v>
      </c>
      <c r="F1964" s="196" t="s">
        <v>11663</v>
      </c>
      <c r="G1964" s="196" t="s">
        <v>143</v>
      </c>
      <c r="H1964" s="486">
        <v>33.700000000000003</v>
      </c>
      <c r="I1964" s="896"/>
      <c r="J1964" s="297">
        <f t="shared" si="20"/>
        <v>885618.86271804478</v>
      </c>
      <c r="K1964" s="297">
        <v>553151.46</v>
      </c>
    </row>
    <row r="1965" spans="1:11" ht="12.75" customHeight="1" x14ac:dyDescent="0.2">
      <c r="A1965" s="458" t="s">
        <v>6172</v>
      </c>
      <c r="B1965" s="481" t="s">
        <v>308</v>
      </c>
      <c r="C1965" s="857"/>
      <c r="D1965" s="860"/>
      <c r="E1965" s="196">
        <v>4</v>
      </c>
      <c r="F1965" s="196" t="s">
        <v>6191</v>
      </c>
      <c r="G1965" s="196" t="s">
        <v>143</v>
      </c>
      <c r="H1965" s="486">
        <v>33.5</v>
      </c>
      <c r="I1965" s="896"/>
      <c r="J1965" s="297">
        <f t="shared" si="20"/>
        <v>880362.96442298207</v>
      </c>
      <c r="K1965" s="297">
        <v>549868.67000000004</v>
      </c>
    </row>
    <row r="1966" spans="1:11" ht="12.75" customHeight="1" x14ac:dyDescent="0.2">
      <c r="A1966" s="458" t="s">
        <v>6173</v>
      </c>
      <c r="B1966" s="481" t="s">
        <v>308</v>
      </c>
      <c r="C1966" s="857"/>
      <c r="D1966" s="860"/>
      <c r="E1966" s="505">
        <v>6</v>
      </c>
      <c r="F1966" s="196" t="s">
        <v>6193</v>
      </c>
      <c r="G1966" s="196" t="s">
        <v>543</v>
      </c>
      <c r="H1966" s="486">
        <v>48</v>
      </c>
      <c r="I1966" s="896"/>
      <c r="J1966" s="297">
        <f t="shared" si="20"/>
        <v>1261415.5908150191</v>
      </c>
      <c r="K1966" s="297">
        <v>787871.52</v>
      </c>
    </row>
    <row r="1967" spans="1:11" ht="12.75" customHeight="1" x14ac:dyDescent="0.2">
      <c r="A1967" s="458" t="s">
        <v>6174</v>
      </c>
      <c r="B1967" s="481" t="s">
        <v>5903</v>
      </c>
      <c r="C1967" s="857"/>
      <c r="D1967" s="860"/>
      <c r="E1967" s="567">
        <v>7</v>
      </c>
      <c r="F1967" s="464" t="s">
        <v>6194</v>
      </c>
      <c r="G1967" s="196" t="s">
        <v>543</v>
      </c>
      <c r="H1967" s="486">
        <v>33.6</v>
      </c>
      <c r="I1967" s="896"/>
      <c r="J1967" s="297">
        <v>1041348</v>
      </c>
      <c r="K1967" s="297"/>
    </row>
    <row r="1968" spans="1:11" ht="12.75" customHeight="1" x14ac:dyDescent="0.2">
      <c r="A1968" s="458" t="s">
        <v>6175</v>
      </c>
      <c r="B1968" s="481" t="s">
        <v>308</v>
      </c>
      <c r="C1968" s="857"/>
      <c r="D1968" s="860"/>
      <c r="E1968" s="505">
        <v>8</v>
      </c>
      <c r="F1968" s="196" t="s">
        <v>6185</v>
      </c>
      <c r="G1968" s="196" t="s">
        <v>543</v>
      </c>
      <c r="H1968" s="486">
        <v>34</v>
      </c>
      <c r="I1968" s="896"/>
      <c r="J1968" s="297">
        <f t="shared" si="20"/>
        <v>893502.71016063855</v>
      </c>
      <c r="K1968" s="297">
        <v>558075.66</v>
      </c>
    </row>
    <row r="1969" spans="1:11" ht="12.75" customHeight="1" x14ac:dyDescent="0.2">
      <c r="A1969" s="458" t="s">
        <v>6176</v>
      </c>
      <c r="B1969" s="481" t="s">
        <v>308</v>
      </c>
      <c r="C1969" s="857"/>
      <c r="D1969" s="860"/>
      <c r="E1969" s="505">
        <v>9</v>
      </c>
      <c r="F1969" s="196" t="s">
        <v>6188</v>
      </c>
      <c r="G1969" s="196" t="s">
        <v>134</v>
      </c>
      <c r="H1969" s="486">
        <v>34</v>
      </c>
      <c r="I1969" s="896"/>
      <c r="J1969" s="297">
        <f t="shared" si="20"/>
        <v>893502.71016063855</v>
      </c>
      <c r="K1969" s="297">
        <v>558075.66</v>
      </c>
    </row>
    <row r="1970" spans="1:11" ht="12.75" customHeight="1" x14ac:dyDescent="0.2">
      <c r="A1970" s="458" t="s">
        <v>11987</v>
      </c>
      <c r="B1970" s="481" t="s">
        <v>308</v>
      </c>
      <c r="C1970" s="857"/>
      <c r="D1970" s="860"/>
      <c r="E1970" s="505">
        <v>11</v>
      </c>
      <c r="F1970" s="196" t="s">
        <v>11988</v>
      </c>
      <c r="G1970" s="2" t="s">
        <v>134</v>
      </c>
      <c r="H1970" s="494">
        <v>33.799999999999997</v>
      </c>
      <c r="I1970" s="896"/>
      <c r="J1970" s="487">
        <v>1041348</v>
      </c>
      <c r="K1970" s="487">
        <v>554792.86</v>
      </c>
    </row>
    <row r="1971" spans="1:11" ht="12.75" customHeight="1" x14ac:dyDescent="0.2">
      <c r="A1971" s="458" t="s">
        <v>6177</v>
      </c>
      <c r="B1971" s="481" t="s">
        <v>308</v>
      </c>
      <c r="C1971" s="857"/>
      <c r="D1971" s="860"/>
      <c r="E1971" s="505">
        <v>12</v>
      </c>
      <c r="F1971" s="196" t="s">
        <v>11989</v>
      </c>
      <c r="G1971" s="196" t="s">
        <v>134</v>
      </c>
      <c r="H1971" s="486">
        <v>34.299999999999997</v>
      </c>
      <c r="I1971" s="896"/>
      <c r="J1971" s="297">
        <f t="shared" si="20"/>
        <v>901386.55760323233</v>
      </c>
      <c r="K1971" s="297">
        <v>562999.86</v>
      </c>
    </row>
    <row r="1972" spans="1:11" ht="12.75" customHeight="1" x14ac:dyDescent="0.2">
      <c r="A1972" s="458" t="s">
        <v>6178</v>
      </c>
      <c r="B1972" s="481" t="s">
        <v>308</v>
      </c>
      <c r="C1972" s="857"/>
      <c r="D1972" s="860"/>
      <c r="E1972" s="505">
        <v>14</v>
      </c>
      <c r="F1972" s="196" t="s">
        <v>6187</v>
      </c>
      <c r="G1972" s="196" t="s">
        <v>143</v>
      </c>
      <c r="H1972" s="486">
        <v>47.1</v>
      </c>
      <c r="I1972" s="896"/>
      <c r="J1972" s="297">
        <f t="shared" si="20"/>
        <v>1237764.0484872374</v>
      </c>
      <c r="K1972" s="297">
        <v>778023.13</v>
      </c>
    </row>
    <row r="1973" spans="1:11" ht="12.75" customHeight="1" x14ac:dyDescent="0.2">
      <c r="A1973" s="458" t="s">
        <v>6179</v>
      </c>
      <c r="B1973" s="481" t="s">
        <v>308</v>
      </c>
      <c r="C1973" s="857"/>
      <c r="D1973" s="860"/>
      <c r="E1973" s="505">
        <v>15</v>
      </c>
      <c r="F1973" s="196" t="s">
        <v>6186</v>
      </c>
      <c r="G1973" s="196" t="s">
        <v>143</v>
      </c>
      <c r="H1973" s="486">
        <v>34.299999999999997</v>
      </c>
      <c r="I1973" s="896"/>
      <c r="J1973" s="297">
        <f t="shared" si="20"/>
        <v>901386.55760323233</v>
      </c>
      <c r="K1973" s="297">
        <v>562999.86</v>
      </c>
    </row>
    <row r="1974" spans="1:11" ht="12.75" customHeight="1" x14ac:dyDescent="0.2">
      <c r="A1974" s="458" t="s">
        <v>6180</v>
      </c>
      <c r="B1974" s="553" t="s">
        <v>5903</v>
      </c>
      <c r="C1974" s="857"/>
      <c r="D1974" s="860"/>
      <c r="E1974" s="567">
        <v>16</v>
      </c>
      <c r="F1974" s="464" t="s">
        <v>6195</v>
      </c>
      <c r="G1974" s="196" t="s">
        <v>143</v>
      </c>
      <c r="H1974" s="486">
        <v>34.1</v>
      </c>
      <c r="I1974" s="896"/>
      <c r="J1974" s="297">
        <v>932006.46</v>
      </c>
      <c r="K1974" s="297"/>
    </row>
    <row r="1975" spans="1:11" ht="12.75" customHeight="1" x14ac:dyDescent="0.2">
      <c r="A1975" s="458" t="s">
        <v>11990</v>
      </c>
      <c r="B1975" s="553" t="s">
        <v>5903</v>
      </c>
      <c r="C1975" s="857"/>
      <c r="D1975" s="860"/>
      <c r="E1975" s="567">
        <v>17</v>
      </c>
      <c r="F1975" s="464" t="s">
        <v>11991</v>
      </c>
      <c r="G1975" s="2" t="s">
        <v>543</v>
      </c>
      <c r="H1975" s="494">
        <v>34</v>
      </c>
      <c r="I1975" s="896"/>
      <c r="J1975" s="487">
        <v>1041348</v>
      </c>
      <c r="K1975" s="487">
        <v>558075.66</v>
      </c>
    </row>
    <row r="1976" spans="1:11" ht="12.75" customHeight="1" x14ac:dyDescent="0.2">
      <c r="A1976" s="458" t="s">
        <v>6181</v>
      </c>
      <c r="B1976" s="481" t="s">
        <v>308</v>
      </c>
      <c r="C1976" s="857"/>
      <c r="D1976" s="860"/>
      <c r="E1976" s="196">
        <v>19</v>
      </c>
      <c r="F1976" s="196" t="s">
        <v>6189</v>
      </c>
      <c r="G1976" s="196" t="s">
        <v>543</v>
      </c>
      <c r="H1976" s="486">
        <v>69.099999999999994</v>
      </c>
      <c r="I1976" s="896"/>
      <c r="J1976" s="297">
        <f t="shared" si="20"/>
        <v>1815912.8609441211</v>
      </c>
      <c r="K1976" s="297">
        <v>1134206.71</v>
      </c>
    </row>
    <row r="1977" spans="1:11" ht="12.75" customHeight="1" x14ac:dyDescent="0.2">
      <c r="A1977" s="458" t="s">
        <v>6182</v>
      </c>
      <c r="B1977" s="481" t="s">
        <v>308</v>
      </c>
      <c r="C1977" s="857"/>
      <c r="D1977" s="860"/>
      <c r="E1977" s="505">
        <v>21</v>
      </c>
      <c r="F1977" s="196" t="s">
        <v>6192</v>
      </c>
      <c r="G1977" s="196" t="s">
        <v>134</v>
      </c>
      <c r="H1977" s="486">
        <v>50.8</v>
      </c>
      <c r="I1977" s="896"/>
      <c r="J1977" s="297">
        <f t="shared" si="20"/>
        <v>1334998.1669458952</v>
      </c>
      <c r="K1977" s="297">
        <v>833830.69</v>
      </c>
    </row>
    <row r="1978" spans="1:11" ht="12.75" customHeight="1" x14ac:dyDescent="0.2">
      <c r="A1978" s="467" t="s">
        <v>13632</v>
      </c>
      <c r="B1978" s="467" t="s">
        <v>308</v>
      </c>
      <c r="C1978" s="858"/>
      <c r="D1978" s="861"/>
      <c r="E1978" s="505">
        <v>20</v>
      </c>
      <c r="F1978" s="223" t="s">
        <v>13633</v>
      </c>
      <c r="G1978" s="223" t="s">
        <v>134</v>
      </c>
      <c r="H1978" s="463">
        <v>33.799999999999997</v>
      </c>
      <c r="I1978" s="897"/>
      <c r="J1978" s="679">
        <v>924000</v>
      </c>
      <c r="K1978" s="679">
        <v>554792.86</v>
      </c>
    </row>
    <row r="1979" spans="1:11" ht="12.75" customHeight="1" x14ac:dyDescent="0.2">
      <c r="A1979" s="459" t="s">
        <v>6200</v>
      </c>
      <c r="B1979" s="481"/>
      <c r="C1979" s="847" t="s">
        <v>13275</v>
      </c>
      <c r="D1979" s="859" t="s">
        <v>6183</v>
      </c>
      <c r="E1979" s="196"/>
      <c r="F1979" s="223" t="s">
        <v>6210</v>
      </c>
      <c r="G1979" s="223" t="s">
        <v>6208</v>
      </c>
      <c r="H1979" s="300">
        <f>715.8+26.4-742.2</f>
        <v>0</v>
      </c>
      <c r="I1979" s="886">
        <v>2015</v>
      </c>
      <c r="J1979" s="300">
        <f>21474000+792000-22266000</f>
        <v>0</v>
      </c>
      <c r="K1979" s="300">
        <v>11126063.779999999</v>
      </c>
    </row>
    <row r="1980" spans="1:11" ht="12.75" customHeight="1" x14ac:dyDescent="0.2">
      <c r="A1980" s="458" t="s">
        <v>6201</v>
      </c>
      <c r="B1980" s="481" t="s">
        <v>308</v>
      </c>
      <c r="C1980" s="848"/>
      <c r="D1980" s="860"/>
      <c r="E1980" s="382">
        <v>3</v>
      </c>
      <c r="F1980" s="223" t="s">
        <v>6212</v>
      </c>
      <c r="G1980" s="223" t="s">
        <v>143</v>
      </c>
      <c r="H1980" s="300">
        <v>25.9</v>
      </c>
      <c r="I1980" s="887"/>
      <c r="J1980" s="300">
        <f t="shared" ref="J1980:J1986" si="21">21474000/715.8*H1980</f>
        <v>777000</v>
      </c>
      <c r="K1980" s="300">
        <v>339977.65</v>
      </c>
    </row>
    <row r="1981" spans="1:11" x14ac:dyDescent="0.2">
      <c r="A1981" s="458" t="s">
        <v>6202</v>
      </c>
      <c r="B1981" s="481" t="s">
        <v>308</v>
      </c>
      <c r="C1981" s="848"/>
      <c r="D1981" s="860"/>
      <c r="E1981" s="382">
        <v>4</v>
      </c>
      <c r="F1981" s="223" t="s">
        <v>6213</v>
      </c>
      <c r="G1981" s="223" t="s">
        <v>143</v>
      </c>
      <c r="H1981" s="300">
        <v>39.5</v>
      </c>
      <c r="I1981" s="887"/>
      <c r="J1981" s="300">
        <f t="shared" si="21"/>
        <v>1185000.0000000002</v>
      </c>
      <c r="K1981" s="300">
        <v>518498.73</v>
      </c>
    </row>
    <row r="1982" spans="1:11" ht="12.75" customHeight="1" x14ac:dyDescent="0.2">
      <c r="A1982" s="458" t="s">
        <v>6203</v>
      </c>
      <c r="B1982" s="481" t="s">
        <v>308</v>
      </c>
      <c r="C1982" s="848"/>
      <c r="D1982" s="860"/>
      <c r="E1982" s="382">
        <v>5</v>
      </c>
      <c r="F1982" s="223" t="s">
        <v>6215</v>
      </c>
      <c r="G1982" s="223" t="s">
        <v>543</v>
      </c>
      <c r="H1982" s="300">
        <v>31.9</v>
      </c>
      <c r="I1982" s="887"/>
      <c r="J1982" s="300">
        <f t="shared" si="21"/>
        <v>957000.00000000012</v>
      </c>
      <c r="K1982" s="300">
        <v>418736.95</v>
      </c>
    </row>
    <row r="1983" spans="1:11" x14ac:dyDescent="0.2">
      <c r="A1983" s="458" t="s">
        <v>6204</v>
      </c>
      <c r="B1983" s="481" t="s">
        <v>308</v>
      </c>
      <c r="C1983" s="848"/>
      <c r="D1983" s="860"/>
      <c r="E1983" s="382">
        <v>7</v>
      </c>
      <c r="F1983" s="223" t="s">
        <v>6216</v>
      </c>
      <c r="G1983" s="223" t="s">
        <v>543</v>
      </c>
      <c r="H1983" s="300">
        <v>25.9</v>
      </c>
      <c r="I1983" s="887"/>
      <c r="J1983" s="300">
        <f t="shared" si="21"/>
        <v>777000</v>
      </c>
      <c r="K1983" s="300">
        <v>339977.65</v>
      </c>
    </row>
    <row r="1984" spans="1:11" x14ac:dyDescent="0.2">
      <c r="A1984" s="458" t="s">
        <v>6205</v>
      </c>
      <c r="B1984" s="481" t="s">
        <v>308</v>
      </c>
      <c r="C1984" s="848"/>
      <c r="D1984" s="860"/>
      <c r="E1984" s="382">
        <v>13</v>
      </c>
      <c r="F1984" s="223" t="s">
        <v>6214</v>
      </c>
      <c r="G1984" s="223" t="s">
        <v>143</v>
      </c>
      <c r="H1984" s="300">
        <v>39.5</v>
      </c>
      <c r="I1984" s="887"/>
      <c r="J1984" s="300">
        <f t="shared" si="21"/>
        <v>1185000.0000000002</v>
      </c>
      <c r="K1984" s="300">
        <v>518498.73</v>
      </c>
    </row>
    <row r="1985" spans="1:11" x14ac:dyDescent="0.2">
      <c r="A1985" s="458" t="s">
        <v>6206</v>
      </c>
      <c r="B1985" s="481" t="s">
        <v>308</v>
      </c>
      <c r="C1985" s="848"/>
      <c r="D1985" s="860"/>
      <c r="E1985" s="382">
        <v>19</v>
      </c>
      <c r="F1985" s="223" t="s">
        <v>6217</v>
      </c>
      <c r="G1985" s="223" t="s">
        <v>543</v>
      </c>
      <c r="H1985" s="300">
        <v>26.4</v>
      </c>
      <c r="I1985" s="887"/>
      <c r="J1985" s="300">
        <f t="shared" si="21"/>
        <v>792000</v>
      </c>
      <c r="K1985" s="300">
        <v>346540.92</v>
      </c>
    </row>
    <row r="1986" spans="1:11" ht="13.5" customHeight="1" x14ac:dyDescent="0.2">
      <c r="A1986" s="458" t="s">
        <v>6207</v>
      </c>
      <c r="B1986" s="481" t="s">
        <v>308</v>
      </c>
      <c r="C1986" s="848"/>
      <c r="D1986" s="860"/>
      <c r="E1986" s="382">
        <v>21</v>
      </c>
      <c r="F1986" s="223" t="s">
        <v>6218</v>
      </c>
      <c r="G1986" s="223" t="s">
        <v>134</v>
      </c>
      <c r="H1986" s="300">
        <v>39.5</v>
      </c>
      <c r="I1986" s="887"/>
      <c r="J1986" s="300">
        <f t="shared" si="21"/>
        <v>1185000.0000000002</v>
      </c>
      <c r="K1986" s="300">
        <v>518498.73</v>
      </c>
    </row>
    <row r="1987" spans="1:11" ht="13.5" customHeight="1" x14ac:dyDescent="0.2">
      <c r="A1987" s="482" t="s">
        <v>14254</v>
      </c>
      <c r="B1987" s="196" t="s">
        <v>12407</v>
      </c>
      <c r="C1987" s="848"/>
      <c r="D1987" s="860"/>
      <c r="E1987" s="382">
        <v>22</v>
      </c>
      <c r="F1987" s="2" t="s">
        <v>14255</v>
      </c>
      <c r="G1987" s="2" t="s">
        <v>134</v>
      </c>
      <c r="H1987" s="487">
        <f>25.9</f>
        <v>25.9</v>
      </c>
      <c r="I1987" s="887"/>
      <c r="J1987" s="487">
        <v>1045264.59</v>
      </c>
      <c r="K1987" s="487">
        <v>339977.65</v>
      </c>
    </row>
    <row r="1988" spans="1:11" ht="13.5" customHeight="1" x14ac:dyDescent="0.2">
      <c r="A1988" s="760" t="s">
        <v>14256</v>
      </c>
      <c r="B1988" s="760" t="s">
        <v>308</v>
      </c>
      <c r="C1988" s="848"/>
      <c r="D1988" s="860"/>
      <c r="E1988" s="761">
        <v>20</v>
      </c>
      <c r="F1988" s="762" t="s">
        <v>14257</v>
      </c>
      <c r="G1988" s="762" t="s">
        <v>543</v>
      </c>
      <c r="H1988" s="763">
        <v>26.4</v>
      </c>
      <c r="I1988" s="887"/>
      <c r="J1988" s="764">
        <v>775105</v>
      </c>
      <c r="K1988" s="764">
        <v>346540.92</v>
      </c>
    </row>
    <row r="1989" spans="1:11" ht="13.5" customHeight="1" x14ac:dyDescent="0.2">
      <c r="A1989" s="760" t="s">
        <v>14715</v>
      </c>
      <c r="B1989" s="760" t="s">
        <v>308</v>
      </c>
      <c r="C1989" s="849"/>
      <c r="D1989" s="861"/>
      <c r="E1989" s="768">
        <v>10</v>
      </c>
      <c r="F1989" s="762" t="s">
        <v>14716</v>
      </c>
      <c r="G1989" s="762" t="s">
        <v>134</v>
      </c>
      <c r="H1989" s="763">
        <v>31.9</v>
      </c>
      <c r="I1989" s="888"/>
      <c r="J1989" s="764">
        <v>1031039.9</v>
      </c>
      <c r="K1989" s="764">
        <v>418736.95</v>
      </c>
    </row>
    <row r="1990" spans="1:11" ht="36" x14ac:dyDescent="0.2">
      <c r="A1990" s="459" t="s">
        <v>6236</v>
      </c>
      <c r="B1990" s="481"/>
      <c r="C1990" s="856" t="s">
        <v>13276</v>
      </c>
      <c r="D1990" s="859" t="s">
        <v>357</v>
      </c>
      <c r="E1990" s="196"/>
      <c r="F1990" s="196" t="s">
        <v>6238</v>
      </c>
      <c r="G1990" s="196" t="s">
        <v>6208</v>
      </c>
      <c r="H1990" s="297">
        <f>832.4+63-(832.4+63)</f>
        <v>0</v>
      </c>
      <c r="I1990" s="895">
        <v>2015</v>
      </c>
      <c r="J1990" s="297">
        <f>24561300+1843800-26405100</f>
        <v>0</v>
      </c>
      <c r="K1990" s="297">
        <v>11990192.68</v>
      </c>
    </row>
    <row r="1991" spans="1:11" x14ac:dyDescent="0.2">
      <c r="A1991" s="458" t="s">
        <v>6237</v>
      </c>
      <c r="B1991" s="481" t="s">
        <v>308</v>
      </c>
      <c r="C1991" s="857"/>
      <c r="D1991" s="860"/>
      <c r="E1991" s="382">
        <v>7</v>
      </c>
      <c r="F1991" s="196" t="s">
        <v>6239</v>
      </c>
      <c r="G1991" s="196" t="s">
        <v>143</v>
      </c>
      <c r="H1991" s="297">
        <v>80.2</v>
      </c>
      <c r="I1991" s="896"/>
      <c r="J1991" s="297">
        <f t="shared" ref="J1991" si="22">24561300/832.4*H1991</f>
        <v>2366429.9135031239</v>
      </c>
      <c r="K1991" s="297">
        <v>970738.39</v>
      </c>
    </row>
    <row r="1992" spans="1:11" ht="15" customHeight="1" x14ac:dyDescent="0.2">
      <c r="A1992" s="459" t="s">
        <v>6241</v>
      </c>
      <c r="B1992" s="481"/>
      <c r="C1992" s="856" t="s">
        <v>13277</v>
      </c>
      <c r="D1992" s="859" t="s">
        <v>6244</v>
      </c>
      <c r="E1992" s="196"/>
      <c r="F1992" s="196" t="s">
        <v>6245</v>
      </c>
      <c r="G1992" s="196" t="s">
        <v>6208</v>
      </c>
      <c r="H1992" s="486">
        <f>797+34.7-(797+34.7)</f>
        <v>0</v>
      </c>
      <c r="I1992" s="895">
        <v>2015</v>
      </c>
      <c r="J1992" s="486">
        <f>23832000+1041000-24873000</f>
        <v>0</v>
      </c>
      <c r="K1992" s="297">
        <v>12139433.439999999</v>
      </c>
    </row>
    <row r="1993" spans="1:11" ht="25.5" customHeight="1" x14ac:dyDescent="0.2">
      <c r="A1993" s="458" t="s">
        <v>6242</v>
      </c>
      <c r="B1993" s="481" t="s">
        <v>308</v>
      </c>
      <c r="C1993" s="857"/>
      <c r="D1993" s="860"/>
      <c r="E1993" s="196">
        <v>2</v>
      </c>
      <c r="F1993" s="196" t="s">
        <v>6246</v>
      </c>
      <c r="G1993" s="196" t="s">
        <v>143</v>
      </c>
      <c r="H1993" s="486">
        <v>58.6</v>
      </c>
      <c r="I1993" s="896"/>
      <c r="J1993" s="486">
        <f>23832000/797*H1993</f>
        <v>1752264.9937264745</v>
      </c>
      <c r="K1993" s="297">
        <v>769215.84</v>
      </c>
    </row>
    <row r="1994" spans="1:11" ht="13.5" customHeight="1" x14ac:dyDescent="0.2">
      <c r="A1994" s="458" t="s">
        <v>6243</v>
      </c>
      <c r="B1994" s="481" t="s">
        <v>308</v>
      </c>
      <c r="C1994" s="858"/>
      <c r="D1994" s="861"/>
      <c r="E1994" s="40">
        <v>11</v>
      </c>
      <c r="F1994" s="2" t="s">
        <v>11992</v>
      </c>
      <c r="G1994" s="2" t="s">
        <v>11993</v>
      </c>
      <c r="H1994" s="494">
        <v>34.700000000000003</v>
      </c>
      <c r="I1994" s="897"/>
      <c r="J1994" s="494">
        <v>1063227</v>
      </c>
      <c r="K1994" s="494">
        <v>455491.29</v>
      </c>
    </row>
    <row r="1995" spans="1:11" ht="17.25" customHeight="1" x14ac:dyDescent="0.2">
      <c r="A1995" s="456" t="s">
        <v>6860</v>
      </c>
      <c r="B1995" s="385" t="s">
        <v>8235</v>
      </c>
      <c r="C1995" s="847" t="s">
        <v>14711</v>
      </c>
      <c r="D1995" s="866">
        <v>5</v>
      </c>
      <c r="E1995" s="505"/>
      <c r="F1995" s="196" t="s">
        <v>6874</v>
      </c>
      <c r="G1995" s="196" t="s">
        <v>5507</v>
      </c>
      <c r="H1995" s="486">
        <f>104.6-104.6</f>
        <v>0</v>
      </c>
      <c r="I1995" s="866">
        <v>2015</v>
      </c>
      <c r="J1995" s="486">
        <f>(3102315.78+1041348)-(3102315.78+1041348)</f>
        <v>0</v>
      </c>
      <c r="K1995" s="297">
        <v>1885317.76</v>
      </c>
    </row>
    <row r="1996" spans="1:11" ht="12.75" customHeight="1" x14ac:dyDescent="0.2">
      <c r="A1996" s="457" t="s">
        <v>6861</v>
      </c>
      <c r="B1996" s="382" t="s">
        <v>308</v>
      </c>
      <c r="C1996" s="848"/>
      <c r="D1996" s="867"/>
      <c r="E1996" s="505">
        <v>1</v>
      </c>
      <c r="F1996" s="196" t="s">
        <v>11664</v>
      </c>
      <c r="G1996" s="382" t="s">
        <v>143</v>
      </c>
      <c r="H1996" s="486">
        <v>34.700000000000003</v>
      </c>
      <c r="I1996" s="867"/>
      <c r="J1996" s="297">
        <f>3102315.78/104.6*H1996</f>
        <v>1029162.1182217973</v>
      </c>
      <c r="K1996" s="297">
        <v>498632.06</v>
      </c>
    </row>
    <row r="1997" spans="1:11" x14ac:dyDescent="0.2">
      <c r="A1997" s="457" t="s">
        <v>6862</v>
      </c>
      <c r="B1997" s="382" t="s">
        <v>308</v>
      </c>
      <c r="C1997" s="848"/>
      <c r="D1997" s="867"/>
      <c r="E1997" s="505">
        <v>2</v>
      </c>
      <c r="F1997" s="196" t="s">
        <v>6875</v>
      </c>
      <c r="G1997" s="382" t="s">
        <v>143</v>
      </c>
      <c r="H1997" s="486">
        <v>34.9</v>
      </c>
      <c r="I1997" s="867"/>
      <c r="J1997" s="297">
        <f>3102315.78/104.6*H1997</f>
        <v>1035093.8883556405</v>
      </c>
      <c r="K1997" s="297">
        <v>501506.02</v>
      </c>
    </row>
    <row r="1998" spans="1:11" ht="15.75" customHeight="1" x14ac:dyDescent="0.2">
      <c r="A1998" s="457" t="s">
        <v>6863</v>
      </c>
      <c r="B1998" s="382" t="s">
        <v>308</v>
      </c>
      <c r="C1998" s="848"/>
      <c r="D1998" s="867"/>
      <c r="E1998" s="505">
        <v>3</v>
      </c>
      <c r="F1998" s="196" t="s">
        <v>6876</v>
      </c>
      <c r="G1998" s="382" t="s">
        <v>143</v>
      </c>
      <c r="H1998" s="486">
        <v>35</v>
      </c>
      <c r="I1998" s="867"/>
      <c r="J1998" s="297">
        <f>3102315.78/104.6*H1998</f>
        <v>1038059.7734225621</v>
      </c>
      <c r="K1998" s="297">
        <v>502943</v>
      </c>
    </row>
    <row r="1999" spans="1:11" ht="35.25" customHeight="1" x14ac:dyDescent="0.2">
      <c r="A1999" s="457" t="s">
        <v>8445</v>
      </c>
      <c r="B1999" s="382" t="s">
        <v>308</v>
      </c>
      <c r="C1999" s="849"/>
      <c r="D1999" s="868"/>
      <c r="E1999" s="505">
        <v>4</v>
      </c>
      <c r="F1999" s="196" t="s">
        <v>8446</v>
      </c>
      <c r="G1999" s="382" t="s">
        <v>143</v>
      </c>
      <c r="H1999" s="486">
        <v>34.700000000000003</v>
      </c>
      <c r="I1999" s="868"/>
      <c r="J1999" s="297">
        <v>1041348</v>
      </c>
      <c r="K1999" s="297">
        <v>498632.06</v>
      </c>
    </row>
    <row r="2000" spans="1:11" ht="48" x14ac:dyDescent="0.2">
      <c r="A2000" s="456" t="s">
        <v>6864</v>
      </c>
      <c r="B2000" s="385" t="s">
        <v>8235</v>
      </c>
      <c r="C2000" s="847" t="s">
        <v>14712</v>
      </c>
      <c r="D2000" s="866">
        <v>7</v>
      </c>
      <c r="E2000" s="505"/>
      <c r="F2000" s="196" t="s">
        <v>6877</v>
      </c>
      <c r="G2000" s="196" t="s">
        <v>5507</v>
      </c>
      <c r="H2000" s="486">
        <f>138.4-138.4</f>
        <v>0</v>
      </c>
      <c r="I2000" s="866">
        <v>2015</v>
      </c>
      <c r="J2000" s="297">
        <f>4136421.05-4136421.05</f>
        <v>0</v>
      </c>
      <c r="K2000" s="297">
        <v>1980158.44</v>
      </c>
    </row>
    <row r="2001" spans="1:11" x14ac:dyDescent="0.2">
      <c r="A2001" s="457" t="s">
        <v>6865</v>
      </c>
      <c r="B2001" s="382" t="s">
        <v>308</v>
      </c>
      <c r="C2001" s="848"/>
      <c r="D2001" s="867"/>
      <c r="E2001" s="505">
        <v>1</v>
      </c>
      <c r="F2001" s="196" t="s">
        <v>6879</v>
      </c>
      <c r="G2001" s="382" t="s">
        <v>143</v>
      </c>
      <c r="H2001" s="486">
        <v>34.6</v>
      </c>
      <c r="I2001" s="867"/>
      <c r="J2001" s="297">
        <f>4136421.05/137.8*H2001</f>
        <v>1038607.8978955006</v>
      </c>
      <c r="K2001" s="297">
        <v>497195.08</v>
      </c>
    </row>
    <row r="2002" spans="1:11" x14ac:dyDescent="0.2">
      <c r="A2002" s="457" t="s">
        <v>6868</v>
      </c>
      <c r="B2002" s="382" t="s">
        <v>308</v>
      </c>
      <c r="C2002" s="848"/>
      <c r="D2002" s="867"/>
      <c r="E2002" s="505">
        <v>2</v>
      </c>
      <c r="F2002" s="196" t="s">
        <v>6880</v>
      </c>
      <c r="G2002" s="382" t="s">
        <v>143</v>
      </c>
      <c r="H2002" s="486">
        <v>34.6</v>
      </c>
      <c r="I2002" s="867"/>
      <c r="J2002" s="297">
        <f>4136421.05/137.8*H2002</f>
        <v>1038607.8978955006</v>
      </c>
      <c r="K2002" s="297">
        <v>497195.08</v>
      </c>
    </row>
    <row r="2003" spans="1:11" x14ac:dyDescent="0.2">
      <c r="A2003" s="457" t="s">
        <v>6869</v>
      </c>
      <c r="B2003" s="382" t="s">
        <v>308</v>
      </c>
      <c r="C2003" s="848"/>
      <c r="D2003" s="867"/>
      <c r="E2003" s="505">
        <v>3</v>
      </c>
      <c r="F2003" s="196" t="s">
        <v>6881</v>
      </c>
      <c r="G2003" s="382" t="s">
        <v>143</v>
      </c>
      <c r="H2003" s="486">
        <v>34.6</v>
      </c>
      <c r="I2003" s="867"/>
      <c r="J2003" s="297">
        <f>4136421.05/137.8*H2003</f>
        <v>1038607.8978955006</v>
      </c>
      <c r="K2003" s="297">
        <v>497195.08</v>
      </c>
    </row>
    <row r="2004" spans="1:11" ht="36.75" customHeight="1" x14ac:dyDescent="0.2">
      <c r="A2004" s="457" t="s">
        <v>6870</v>
      </c>
      <c r="B2004" s="382" t="s">
        <v>308</v>
      </c>
      <c r="C2004" s="849"/>
      <c r="D2004" s="868"/>
      <c r="E2004" s="505">
        <v>4</v>
      </c>
      <c r="F2004" s="196" t="s">
        <v>6878</v>
      </c>
      <c r="G2004" s="382" t="s">
        <v>143</v>
      </c>
      <c r="H2004" s="486">
        <v>34</v>
      </c>
      <c r="I2004" s="868"/>
      <c r="J2004" s="297">
        <v>1020597.35</v>
      </c>
      <c r="K2004" s="297">
        <v>488573.2</v>
      </c>
    </row>
    <row r="2005" spans="1:11" ht="48" x14ac:dyDescent="0.2">
      <c r="A2005" s="456" t="s">
        <v>6866</v>
      </c>
      <c r="B2005" s="385" t="s">
        <v>8235</v>
      </c>
      <c r="C2005" s="847" t="s">
        <v>14710</v>
      </c>
      <c r="D2005" s="866">
        <v>9</v>
      </c>
      <c r="E2005" s="505"/>
      <c r="F2005" s="196" t="s">
        <v>6882</v>
      </c>
      <c r="G2005" s="196" t="s">
        <v>5507</v>
      </c>
      <c r="H2005" s="486">
        <f>137.2-137.2</f>
        <v>0</v>
      </c>
      <c r="I2005" s="866">
        <v>2015</v>
      </c>
      <c r="J2005" s="297">
        <f>4136421.05-4136421.05</f>
        <v>0</v>
      </c>
      <c r="K2005" s="297">
        <v>1971536.56</v>
      </c>
    </row>
    <row r="2006" spans="1:11" x14ac:dyDescent="0.2">
      <c r="A2006" s="457" t="s">
        <v>6867</v>
      </c>
      <c r="B2006" s="382" t="s">
        <v>308</v>
      </c>
      <c r="C2006" s="848"/>
      <c r="D2006" s="867"/>
      <c r="E2006" s="505">
        <v>1</v>
      </c>
      <c r="F2006" s="196" t="s">
        <v>6885</v>
      </c>
      <c r="G2006" s="382" t="s">
        <v>143</v>
      </c>
      <c r="H2006" s="486">
        <v>34.200000000000003</v>
      </c>
      <c r="I2006" s="867"/>
      <c r="J2006" s="297">
        <f>4136421.05/137.2*H2006</f>
        <v>1031090.3783527698</v>
      </c>
      <c r="K2006" s="297">
        <v>491447.16</v>
      </c>
    </row>
    <row r="2007" spans="1:11" x14ac:dyDescent="0.2">
      <c r="A2007" s="457" t="s">
        <v>6871</v>
      </c>
      <c r="B2007" s="382" t="s">
        <v>308</v>
      </c>
      <c r="C2007" s="848"/>
      <c r="D2007" s="867"/>
      <c r="E2007" s="505">
        <v>2</v>
      </c>
      <c r="F2007" s="196" t="s">
        <v>6886</v>
      </c>
      <c r="G2007" s="382" t="s">
        <v>143</v>
      </c>
      <c r="H2007" s="486">
        <v>34.4</v>
      </c>
      <c r="I2007" s="867"/>
      <c r="J2007" s="297">
        <f>4136421.05/137.2*H2007</f>
        <v>1037120.1466472303</v>
      </c>
      <c r="K2007" s="297">
        <v>494321.12</v>
      </c>
    </row>
    <row r="2008" spans="1:11" x14ac:dyDescent="0.2">
      <c r="A2008" s="457" t="s">
        <v>6872</v>
      </c>
      <c r="B2008" s="382" t="s">
        <v>308</v>
      </c>
      <c r="C2008" s="848"/>
      <c r="D2008" s="867"/>
      <c r="E2008" s="505">
        <v>3</v>
      </c>
      <c r="F2008" s="196" t="s">
        <v>6884</v>
      </c>
      <c r="G2008" s="382" t="s">
        <v>143</v>
      </c>
      <c r="H2008" s="486">
        <v>34.4</v>
      </c>
      <c r="I2008" s="867"/>
      <c r="J2008" s="297">
        <f>4136421.05/137.2*H2008</f>
        <v>1037120.1466472303</v>
      </c>
      <c r="K2008" s="297">
        <v>494321.12</v>
      </c>
    </row>
    <row r="2009" spans="1:11" ht="34.5" customHeight="1" x14ac:dyDescent="0.2">
      <c r="A2009" s="457" t="s">
        <v>6873</v>
      </c>
      <c r="B2009" s="382" t="s">
        <v>308</v>
      </c>
      <c r="C2009" s="849"/>
      <c r="D2009" s="868"/>
      <c r="E2009" s="505">
        <v>4</v>
      </c>
      <c r="F2009" s="196" t="s">
        <v>6883</v>
      </c>
      <c r="G2009" s="382" t="s">
        <v>143</v>
      </c>
      <c r="H2009" s="486">
        <v>34.200000000000003</v>
      </c>
      <c r="I2009" s="868"/>
      <c r="J2009" s="297">
        <v>1031090.37</v>
      </c>
      <c r="K2009" s="297">
        <v>491447.16</v>
      </c>
    </row>
    <row r="2010" spans="1:11" ht="15" customHeight="1" x14ac:dyDescent="0.2">
      <c r="A2010" s="456" t="s">
        <v>7076</v>
      </c>
      <c r="B2010" s="382"/>
      <c r="C2010" s="847" t="s">
        <v>13278</v>
      </c>
      <c r="D2010" s="866" t="s">
        <v>6261</v>
      </c>
      <c r="E2010" s="505"/>
      <c r="F2010" s="196"/>
      <c r="G2010" s="382"/>
      <c r="H2010" s="486">
        <f>833.3-833.3</f>
        <v>0</v>
      </c>
      <c r="I2010" s="866">
        <v>2015</v>
      </c>
      <c r="J2010" s="297">
        <f>26548062.8-26548062.8</f>
        <v>0</v>
      </c>
      <c r="K2010" s="297"/>
    </row>
    <row r="2011" spans="1:11" ht="13.5" customHeight="1" x14ac:dyDescent="0.2">
      <c r="A2011" s="457" t="s">
        <v>8373</v>
      </c>
      <c r="B2011" s="382" t="s">
        <v>308</v>
      </c>
      <c r="C2011" s="848"/>
      <c r="D2011" s="867"/>
      <c r="E2011" s="505">
        <v>12</v>
      </c>
      <c r="F2011" s="196" t="s">
        <v>13279</v>
      </c>
      <c r="G2011" s="382" t="s">
        <v>11665</v>
      </c>
      <c r="H2011" s="560">
        <v>58.9</v>
      </c>
      <c r="I2011" s="867"/>
      <c r="J2011" s="518">
        <v>1873690.8</v>
      </c>
      <c r="K2011" s="301">
        <v>666822.80000000005</v>
      </c>
    </row>
    <row r="2012" spans="1:11" ht="14.25" customHeight="1" x14ac:dyDescent="0.2">
      <c r="A2012" s="457" t="s">
        <v>11495</v>
      </c>
      <c r="B2012" s="382" t="s">
        <v>308</v>
      </c>
      <c r="C2012" s="848"/>
      <c r="D2012" s="867"/>
      <c r="E2012" s="505">
        <v>18</v>
      </c>
      <c r="F2012" s="223" t="s">
        <v>11497</v>
      </c>
      <c r="G2012" s="481" t="s">
        <v>134</v>
      </c>
      <c r="H2012" s="569">
        <v>30</v>
      </c>
      <c r="I2012" s="867"/>
      <c r="J2012" s="535">
        <f>2332075.1/73.2*H2012</f>
        <v>955768.48360655736</v>
      </c>
      <c r="K2012" s="535">
        <v>339638.1</v>
      </c>
    </row>
    <row r="2013" spans="1:11" ht="15" customHeight="1" x14ac:dyDescent="0.2">
      <c r="A2013" s="457" t="s">
        <v>11496</v>
      </c>
      <c r="B2013" s="382" t="s">
        <v>308</v>
      </c>
      <c r="C2013" s="849"/>
      <c r="D2013" s="868"/>
      <c r="E2013" s="507" t="s">
        <v>8018</v>
      </c>
      <c r="F2013" s="223" t="s">
        <v>11498</v>
      </c>
      <c r="G2013" s="481" t="s">
        <v>134</v>
      </c>
      <c r="H2013" s="569">
        <v>36.799999999999997</v>
      </c>
      <c r="I2013" s="868"/>
      <c r="J2013" s="535">
        <f>2332075.1/73.2*H2013</f>
        <v>1172409.3398907103</v>
      </c>
      <c r="K2013" s="535">
        <v>416622.74</v>
      </c>
    </row>
    <row r="2014" spans="1:11" ht="12.75" customHeight="1" x14ac:dyDescent="0.2">
      <c r="A2014" s="456" t="s">
        <v>7100</v>
      </c>
      <c r="B2014" s="382"/>
      <c r="C2014" s="847" t="s">
        <v>13280</v>
      </c>
      <c r="D2014" s="866">
        <v>1</v>
      </c>
      <c r="E2014" s="385"/>
      <c r="F2014" s="196" t="s">
        <v>7881</v>
      </c>
      <c r="G2014" s="382" t="s">
        <v>7412</v>
      </c>
      <c r="H2014" s="560">
        <f>657-657</f>
        <v>0</v>
      </c>
      <c r="I2014" s="866">
        <v>2016</v>
      </c>
      <c r="J2014" s="486">
        <f>20751225.6-20751225.6</f>
        <v>0</v>
      </c>
      <c r="K2014" s="297">
        <v>11589243.699999999</v>
      </c>
    </row>
    <row r="2015" spans="1:11" ht="16.5" customHeight="1" x14ac:dyDescent="0.2">
      <c r="A2015" s="457" t="s">
        <v>7101</v>
      </c>
      <c r="B2015" s="382" t="s">
        <v>308</v>
      </c>
      <c r="C2015" s="848"/>
      <c r="D2015" s="867"/>
      <c r="E2015" s="382">
        <v>1</v>
      </c>
      <c r="F2015" s="196" t="s">
        <v>11666</v>
      </c>
      <c r="G2015" s="382" t="s">
        <v>11623</v>
      </c>
      <c r="H2015" s="560">
        <v>33</v>
      </c>
      <c r="I2015" s="867"/>
      <c r="J2015" s="486">
        <f>20751225.6/657*H2015</f>
        <v>1042299.0027397261</v>
      </c>
      <c r="K2015" s="297">
        <v>474203.4</v>
      </c>
    </row>
    <row r="2016" spans="1:11" ht="15" customHeight="1" x14ac:dyDescent="0.2">
      <c r="A2016" s="457" t="s">
        <v>7102</v>
      </c>
      <c r="B2016" s="382" t="s">
        <v>308</v>
      </c>
      <c r="C2016" s="848"/>
      <c r="D2016" s="867"/>
      <c r="E2016" s="382">
        <v>2</v>
      </c>
      <c r="F2016" s="196" t="s">
        <v>11667</v>
      </c>
      <c r="G2016" s="382" t="s">
        <v>7882</v>
      </c>
      <c r="H2016" s="560">
        <v>32.799999999999997</v>
      </c>
      <c r="I2016" s="867"/>
      <c r="J2016" s="486">
        <f t="shared" ref="J2016:J2025" si="23">20751225.6/657*H2016</f>
        <v>1035982.039086758</v>
      </c>
      <c r="K2016" s="297">
        <v>471329.44</v>
      </c>
    </row>
    <row r="2017" spans="1:11" ht="16.5" customHeight="1" x14ac:dyDescent="0.2">
      <c r="A2017" s="457" t="s">
        <v>7103</v>
      </c>
      <c r="B2017" s="382" t="s">
        <v>308</v>
      </c>
      <c r="C2017" s="848"/>
      <c r="D2017" s="867"/>
      <c r="E2017" s="382">
        <v>3</v>
      </c>
      <c r="F2017" s="196" t="s">
        <v>11668</v>
      </c>
      <c r="G2017" s="382" t="s">
        <v>7882</v>
      </c>
      <c r="H2017" s="560">
        <v>33.200000000000003</v>
      </c>
      <c r="I2017" s="867"/>
      <c r="J2017" s="486">
        <f t="shared" si="23"/>
        <v>1048615.9663926943</v>
      </c>
      <c r="K2017" s="297">
        <v>477077.36</v>
      </c>
    </row>
    <row r="2018" spans="1:11" ht="25.5" customHeight="1" x14ac:dyDescent="0.2">
      <c r="A2018" s="457" t="s">
        <v>7104</v>
      </c>
      <c r="B2018" s="382" t="s">
        <v>308</v>
      </c>
      <c r="C2018" s="848"/>
      <c r="D2018" s="867"/>
      <c r="E2018" s="382">
        <v>5</v>
      </c>
      <c r="F2018" s="196" t="s">
        <v>11669</v>
      </c>
      <c r="G2018" s="382" t="s">
        <v>7882</v>
      </c>
      <c r="H2018" s="560">
        <v>33</v>
      </c>
      <c r="I2018" s="867"/>
      <c r="J2018" s="486">
        <f t="shared" si="23"/>
        <v>1042299.0027397261</v>
      </c>
      <c r="K2018" s="297">
        <v>474203.4</v>
      </c>
    </row>
    <row r="2019" spans="1:11" ht="12.75" customHeight="1" x14ac:dyDescent="0.2">
      <c r="A2019" s="457" t="s">
        <v>7105</v>
      </c>
      <c r="B2019" s="382" t="s">
        <v>308</v>
      </c>
      <c r="C2019" s="848"/>
      <c r="D2019" s="867"/>
      <c r="E2019" s="382">
        <v>7</v>
      </c>
      <c r="F2019" s="196" t="s">
        <v>11670</v>
      </c>
      <c r="G2019" s="382" t="s">
        <v>7882</v>
      </c>
      <c r="H2019" s="560">
        <v>33.299999999999997</v>
      </c>
      <c r="I2019" s="867"/>
      <c r="J2019" s="486">
        <f t="shared" si="23"/>
        <v>1051774.448219178</v>
      </c>
      <c r="K2019" s="297">
        <v>478514.34</v>
      </c>
    </row>
    <row r="2020" spans="1:11" x14ac:dyDescent="0.2">
      <c r="A2020" s="457" t="s">
        <v>7106</v>
      </c>
      <c r="B2020" s="382" t="s">
        <v>308</v>
      </c>
      <c r="C2020" s="848"/>
      <c r="D2020" s="867"/>
      <c r="E2020" s="382">
        <v>8</v>
      </c>
      <c r="F2020" s="196" t="s">
        <v>11671</v>
      </c>
      <c r="G2020" s="382" t="s">
        <v>11672</v>
      </c>
      <c r="H2020" s="560">
        <v>33.1</v>
      </c>
      <c r="I2020" s="867"/>
      <c r="J2020" s="486">
        <f t="shared" si="23"/>
        <v>1045457.4845662102</v>
      </c>
      <c r="K2020" s="297">
        <v>475640.38</v>
      </c>
    </row>
    <row r="2021" spans="1:11" ht="12.75" customHeight="1" x14ac:dyDescent="0.2">
      <c r="A2021" s="457" t="s">
        <v>7107</v>
      </c>
      <c r="B2021" s="382" t="s">
        <v>308</v>
      </c>
      <c r="C2021" s="848"/>
      <c r="D2021" s="867"/>
      <c r="E2021" s="382">
        <v>11</v>
      </c>
      <c r="F2021" s="196" t="s">
        <v>11673</v>
      </c>
      <c r="G2021" s="382" t="s">
        <v>11672</v>
      </c>
      <c r="H2021" s="560">
        <v>33</v>
      </c>
      <c r="I2021" s="867"/>
      <c r="J2021" s="486">
        <f t="shared" si="23"/>
        <v>1042299.0027397261</v>
      </c>
      <c r="K2021" s="297">
        <v>474203.4</v>
      </c>
    </row>
    <row r="2022" spans="1:11" x14ac:dyDescent="0.2">
      <c r="A2022" s="457" t="s">
        <v>7108</v>
      </c>
      <c r="B2022" s="382" t="s">
        <v>308</v>
      </c>
      <c r="C2022" s="848"/>
      <c r="D2022" s="867"/>
      <c r="E2022" s="382">
        <v>14</v>
      </c>
      <c r="F2022" s="196" t="s">
        <v>11674</v>
      </c>
      <c r="G2022" s="382" t="s">
        <v>11672</v>
      </c>
      <c r="H2022" s="560">
        <v>32.9</v>
      </c>
      <c r="I2022" s="867"/>
      <c r="J2022" s="486">
        <f t="shared" si="23"/>
        <v>1039140.520913242</v>
      </c>
      <c r="K2022" s="297">
        <v>472766.42</v>
      </c>
    </row>
    <row r="2023" spans="1:11" x14ac:dyDescent="0.2">
      <c r="A2023" s="457" t="s">
        <v>7109</v>
      </c>
      <c r="B2023" s="382" t="s">
        <v>308</v>
      </c>
      <c r="C2023" s="848"/>
      <c r="D2023" s="867"/>
      <c r="E2023" s="382">
        <v>15</v>
      </c>
      <c r="F2023" s="196" t="s">
        <v>11675</v>
      </c>
      <c r="G2023" s="382" t="s">
        <v>9404</v>
      </c>
      <c r="H2023" s="560">
        <v>33</v>
      </c>
      <c r="I2023" s="867"/>
      <c r="J2023" s="486">
        <f t="shared" si="23"/>
        <v>1042299.0027397261</v>
      </c>
      <c r="K2023" s="297">
        <v>474203.4</v>
      </c>
    </row>
    <row r="2024" spans="1:11" x14ac:dyDescent="0.2">
      <c r="A2024" s="457" t="s">
        <v>7110</v>
      </c>
      <c r="B2024" s="382" t="s">
        <v>308</v>
      </c>
      <c r="C2024" s="848"/>
      <c r="D2024" s="867"/>
      <c r="E2024" s="382">
        <v>17</v>
      </c>
      <c r="F2024" s="196" t="s">
        <v>11676</v>
      </c>
      <c r="G2024" s="382" t="s">
        <v>9404</v>
      </c>
      <c r="H2024" s="560">
        <v>32.200000000000003</v>
      </c>
      <c r="I2024" s="867"/>
      <c r="J2024" s="486">
        <f t="shared" si="23"/>
        <v>1017031.1481278541</v>
      </c>
      <c r="K2024" s="297">
        <v>462707.56</v>
      </c>
    </row>
    <row r="2025" spans="1:11" x14ac:dyDescent="0.2">
      <c r="A2025" s="457" t="s">
        <v>7993</v>
      </c>
      <c r="B2025" s="382" t="s">
        <v>308</v>
      </c>
      <c r="C2025" s="848"/>
      <c r="D2025" s="867"/>
      <c r="E2025" s="382">
        <v>19</v>
      </c>
      <c r="F2025" s="196" t="s">
        <v>11677</v>
      </c>
      <c r="G2025" s="382" t="s">
        <v>9404</v>
      </c>
      <c r="H2025" s="560">
        <v>32.700000000000003</v>
      </c>
      <c r="I2025" s="867"/>
      <c r="J2025" s="486">
        <f t="shared" si="23"/>
        <v>1032823.5572602742</v>
      </c>
      <c r="K2025" s="297">
        <v>469892.46</v>
      </c>
    </row>
    <row r="2026" spans="1:11" ht="15" customHeight="1" x14ac:dyDescent="0.2">
      <c r="A2026" s="457" t="s">
        <v>11994</v>
      </c>
      <c r="B2026" s="382" t="s">
        <v>308</v>
      </c>
      <c r="C2026" s="848"/>
      <c r="D2026" s="867"/>
      <c r="E2026" s="481">
        <v>20</v>
      </c>
      <c r="F2026" s="40" t="s">
        <v>11995</v>
      </c>
      <c r="G2026" s="382" t="s">
        <v>9404</v>
      </c>
      <c r="H2026" s="560">
        <f>32.7</f>
        <v>32.700000000000003</v>
      </c>
      <c r="I2026" s="867"/>
      <c r="J2026" s="494"/>
      <c r="K2026" s="570">
        <v>469892.46</v>
      </c>
    </row>
    <row r="2027" spans="1:11" ht="18" customHeight="1" x14ac:dyDescent="0.2">
      <c r="A2027" s="457" t="s">
        <v>11996</v>
      </c>
      <c r="B2027" s="382" t="s">
        <v>308</v>
      </c>
      <c r="C2027" s="848"/>
      <c r="D2027" s="867"/>
      <c r="E2027" s="481">
        <v>16</v>
      </c>
      <c r="F2027" s="2" t="s">
        <v>11997</v>
      </c>
      <c r="G2027" s="481" t="s">
        <v>134</v>
      </c>
      <c r="H2027" s="569">
        <v>32.299999999999997</v>
      </c>
      <c r="I2027" s="867"/>
      <c r="J2027" s="494">
        <v>1067741.1000000001</v>
      </c>
      <c r="K2027" s="570">
        <v>464144.54</v>
      </c>
    </row>
    <row r="2028" spans="1:11" ht="14.25" customHeight="1" x14ac:dyDescent="0.2">
      <c r="A2028" s="457" t="s">
        <v>12719</v>
      </c>
      <c r="B2028" s="382" t="s">
        <v>308</v>
      </c>
      <c r="C2028" s="848"/>
      <c r="D2028" s="867"/>
      <c r="E2028" s="481">
        <v>18</v>
      </c>
      <c r="F2028" s="223" t="s">
        <v>12720</v>
      </c>
      <c r="G2028" s="481" t="s">
        <v>134</v>
      </c>
      <c r="H2028" s="569">
        <v>32.6</v>
      </c>
      <c r="I2028" s="867"/>
      <c r="J2028" s="494">
        <v>768702</v>
      </c>
      <c r="K2028" s="535">
        <v>468455.48</v>
      </c>
    </row>
    <row r="2029" spans="1:11" ht="14.25" customHeight="1" x14ac:dyDescent="0.2">
      <c r="A2029" s="457" t="s">
        <v>13728</v>
      </c>
      <c r="B2029" s="382" t="s">
        <v>308</v>
      </c>
      <c r="C2029" s="848"/>
      <c r="D2029" s="867"/>
      <c r="E2029" s="481">
        <v>12</v>
      </c>
      <c r="F2029" s="223" t="s">
        <v>13690</v>
      </c>
      <c r="G2029" s="481" t="s">
        <v>543</v>
      </c>
      <c r="H2029" s="569">
        <v>32.9</v>
      </c>
      <c r="I2029" s="867"/>
      <c r="J2029" s="494">
        <v>919380</v>
      </c>
      <c r="K2029" s="535">
        <v>472766.42</v>
      </c>
    </row>
    <row r="2030" spans="1:11" ht="14.25" customHeight="1" x14ac:dyDescent="0.2">
      <c r="A2030" s="457" t="s">
        <v>13729</v>
      </c>
      <c r="B2030" s="382" t="s">
        <v>308</v>
      </c>
      <c r="C2030" s="849"/>
      <c r="D2030" s="868"/>
      <c r="E2030" s="481">
        <v>10</v>
      </c>
      <c r="F2030" s="223" t="s">
        <v>13730</v>
      </c>
      <c r="G2030" s="481" t="s">
        <v>543</v>
      </c>
      <c r="H2030" s="569">
        <v>32.6</v>
      </c>
      <c r="I2030" s="868"/>
      <c r="J2030" s="494">
        <v>912800</v>
      </c>
      <c r="K2030" s="535">
        <v>468455.48</v>
      </c>
    </row>
    <row r="2031" spans="1:11" ht="14.25" customHeight="1" x14ac:dyDescent="0.2">
      <c r="A2031" s="456" t="s">
        <v>7171</v>
      </c>
      <c r="B2031" s="382"/>
      <c r="C2031" s="847" t="s">
        <v>13281</v>
      </c>
      <c r="D2031" s="866" t="s">
        <v>7176</v>
      </c>
      <c r="E2031" s="505"/>
      <c r="F2031" s="196" t="s">
        <v>7177</v>
      </c>
      <c r="G2031" s="382" t="s">
        <v>7182</v>
      </c>
      <c r="H2031" s="560">
        <f>1010.6-1010.6</f>
        <v>0</v>
      </c>
      <c r="I2031" s="866">
        <v>2016</v>
      </c>
      <c r="J2031" s="486">
        <f>31366821.78-31366821.78</f>
        <v>0</v>
      </c>
      <c r="K2031" s="297"/>
    </row>
    <row r="2032" spans="1:11" ht="16.5" customHeight="1" x14ac:dyDescent="0.2">
      <c r="A2032" s="457" t="s">
        <v>7172</v>
      </c>
      <c r="B2032" s="382" t="s">
        <v>308</v>
      </c>
      <c r="C2032" s="848"/>
      <c r="D2032" s="867"/>
      <c r="E2032" s="382">
        <v>2</v>
      </c>
      <c r="F2032" s="196" t="s">
        <v>7178</v>
      </c>
      <c r="G2032" s="382" t="s">
        <v>143</v>
      </c>
      <c r="H2032" s="382">
        <v>31.5</v>
      </c>
      <c r="I2032" s="867"/>
      <c r="J2032" s="486">
        <f t="shared" ref="J2032:J2035" si="24">31366821.78/1010.6*H2032</f>
        <v>977691.35767860676</v>
      </c>
      <c r="K2032" s="301">
        <v>306421.61</v>
      </c>
    </row>
    <row r="2033" spans="1:11" ht="15.75" customHeight="1" x14ac:dyDescent="0.2">
      <c r="A2033" s="457" t="s">
        <v>7173</v>
      </c>
      <c r="B2033" s="382" t="s">
        <v>308</v>
      </c>
      <c r="C2033" s="848"/>
      <c r="D2033" s="867"/>
      <c r="E2033" s="382">
        <v>9</v>
      </c>
      <c r="F2033" s="196" t="s">
        <v>7179</v>
      </c>
      <c r="G2033" s="382" t="s">
        <v>134</v>
      </c>
      <c r="H2033" s="382">
        <v>60.2</v>
      </c>
      <c r="I2033" s="867"/>
      <c r="J2033" s="486">
        <f t="shared" si="24"/>
        <v>1868476.8168968931</v>
      </c>
      <c r="K2033" s="301">
        <v>585605.73</v>
      </c>
    </row>
    <row r="2034" spans="1:11" ht="16.5" customHeight="1" x14ac:dyDescent="0.2">
      <c r="A2034" s="457" t="s">
        <v>7174</v>
      </c>
      <c r="B2034" s="382" t="s">
        <v>308</v>
      </c>
      <c r="C2034" s="848"/>
      <c r="D2034" s="867"/>
      <c r="E2034" s="382">
        <v>12</v>
      </c>
      <c r="F2034" s="196" t="s">
        <v>7180</v>
      </c>
      <c r="G2034" s="382" t="s">
        <v>134</v>
      </c>
      <c r="H2034" s="382">
        <v>66.5</v>
      </c>
      <c r="I2034" s="867"/>
      <c r="J2034" s="486">
        <f t="shared" si="24"/>
        <v>2064015.0884326142</v>
      </c>
      <c r="K2034" s="301">
        <v>646890.06000000006</v>
      </c>
    </row>
    <row r="2035" spans="1:11" x14ac:dyDescent="0.2">
      <c r="A2035" s="457" t="s">
        <v>7175</v>
      </c>
      <c r="B2035" s="382" t="s">
        <v>308</v>
      </c>
      <c r="C2035" s="848"/>
      <c r="D2035" s="867"/>
      <c r="E2035" s="382">
        <v>14</v>
      </c>
      <c r="F2035" s="196" t="s">
        <v>7181</v>
      </c>
      <c r="G2035" s="382" t="s">
        <v>143</v>
      </c>
      <c r="H2035" s="382">
        <v>53.6</v>
      </c>
      <c r="I2035" s="867"/>
      <c r="J2035" s="486">
        <f t="shared" si="24"/>
        <v>1663627.1990975658</v>
      </c>
      <c r="K2035" s="301">
        <v>521403.11</v>
      </c>
    </row>
    <row r="2036" spans="1:11" ht="36" x14ac:dyDescent="0.2">
      <c r="A2036" s="456" t="s">
        <v>7394</v>
      </c>
      <c r="B2036" s="302" t="s">
        <v>8235</v>
      </c>
      <c r="C2036" s="847" t="s">
        <v>14709</v>
      </c>
      <c r="D2036" s="866" t="s">
        <v>6183</v>
      </c>
      <c r="E2036" s="382"/>
      <c r="F2036" s="196" t="s">
        <v>7411</v>
      </c>
      <c r="G2036" s="382" t="s">
        <v>7412</v>
      </c>
      <c r="H2036" s="486">
        <f>661.1-661.1</f>
        <v>0</v>
      </c>
      <c r="I2036" s="866">
        <v>2016</v>
      </c>
      <c r="J2036" s="486">
        <f>20620004-20620004</f>
        <v>0</v>
      </c>
      <c r="K2036" s="301"/>
    </row>
    <row r="2037" spans="1:11" ht="15.75" customHeight="1" x14ac:dyDescent="0.2">
      <c r="A2037" s="457" t="s">
        <v>7395</v>
      </c>
      <c r="B2037" s="382" t="s">
        <v>308</v>
      </c>
      <c r="C2037" s="889"/>
      <c r="D2037" s="889"/>
      <c r="E2037" s="382">
        <v>2</v>
      </c>
      <c r="F2037" s="196" t="s">
        <v>7413</v>
      </c>
      <c r="G2037" s="382" t="s">
        <v>143</v>
      </c>
      <c r="H2037" s="560">
        <v>33.5</v>
      </c>
      <c r="I2037" s="889"/>
      <c r="J2037" s="486">
        <v>1044879</v>
      </c>
      <c r="K2037" s="301">
        <v>379262.55</v>
      </c>
    </row>
    <row r="2038" spans="1:11" ht="18.75" customHeight="1" x14ac:dyDescent="0.2">
      <c r="A2038" s="457" t="s">
        <v>7396</v>
      </c>
      <c r="B2038" s="382" t="s">
        <v>308</v>
      </c>
      <c r="C2038" s="889"/>
      <c r="D2038" s="889"/>
      <c r="E2038" s="382">
        <v>3</v>
      </c>
      <c r="F2038" s="196" t="s">
        <v>7414</v>
      </c>
      <c r="G2038" s="382" t="s">
        <v>143</v>
      </c>
      <c r="H2038" s="560">
        <v>32.700000000000003</v>
      </c>
      <c r="I2038" s="889"/>
      <c r="J2038" s="486">
        <f t="shared" ref="J2038:J2052" si="25">20620004/661.1*H2038</f>
        <v>1019927.5915897747</v>
      </c>
      <c r="K2038" s="301">
        <v>370205.53</v>
      </c>
    </row>
    <row r="2039" spans="1:11" ht="18.75" customHeight="1" x14ac:dyDescent="0.2">
      <c r="A2039" s="457" t="s">
        <v>7397</v>
      </c>
      <c r="B2039" s="382" t="s">
        <v>308</v>
      </c>
      <c r="C2039" s="889"/>
      <c r="D2039" s="889"/>
      <c r="E2039" s="382">
        <v>4</v>
      </c>
      <c r="F2039" s="196" t="s">
        <v>7415</v>
      </c>
      <c r="G2039" s="382" t="s">
        <v>143</v>
      </c>
      <c r="H2039" s="560">
        <v>33.200000000000003</v>
      </c>
      <c r="I2039" s="889"/>
      <c r="J2039" s="486">
        <v>1035522.8</v>
      </c>
      <c r="K2039" s="301">
        <v>375866.16</v>
      </c>
    </row>
    <row r="2040" spans="1:11" ht="15" customHeight="1" x14ac:dyDescent="0.2">
      <c r="A2040" s="457" t="s">
        <v>7398</v>
      </c>
      <c r="B2040" s="382" t="s">
        <v>308</v>
      </c>
      <c r="C2040" s="889"/>
      <c r="D2040" s="889"/>
      <c r="E2040" s="382">
        <v>6</v>
      </c>
      <c r="F2040" s="196" t="s">
        <v>7416</v>
      </c>
      <c r="G2040" s="382" t="s">
        <v>143</v>
      </c>
      <c r="H2040" s="560">
        <v>33.200000000000003</v>
      </c>
      <c r="I2040" s="889"/>
      <c r="J2040" s="486">
        <f t="shared" si="25"/>
        <v>1035522.8147027682</v>
      </c>
      <c r="K2040" s="301">
        <v>375866.16</v>
      </c>
    </row>
    <row r="2041" spans="1:11" ht="15" customHeight="1" x14ac:dyDescent="0.2">
      <c r="A2041" s="457" t="s">
        <v>7399</v>
      </c>
      <c r="B2041" s="382" t="s">
        <v>308</v>
      </c>
      <c r="C2041" s="889"/>
      <c r="D2041" s="889"/>
      <c r="E2041" s="382">
        <v>8</v>
      </c>
      <c r="F2041" s="196" t="s">
        <v>7417</v>
      </c>
      <c r="G2041" s="382" t="s">
        <v>543</v>
      </c>
      <c r="H2041" s="560">
        <v>33</v>
      </c>
      <c r="I2041" s="889"/>
      <c r="J2041" s="486">
        <f t="shared" si="25"/>
        <v>1029284.7254575707</v>
      </c>
      <c r="K2041" s="301">
        <v>373601.91</v>
      </c>
    </row>
    <row r="2042" spans="1:11" ht="15" customHeight="1" x14ac:dyDescent="0.2">
      <c r="A2042" s="457" t="s">
        <v>7400</v>
      </c>
      <c r="B2042" s="382" t="s">
        <v>308</v>
      </c>
      <c r="C2042" s="889"/>
      <c r="D2042" s="889"/>
      <c r="E2042" s="382">
        <v>9</v>
      </c>
      <c r="F2042" s="196" t="s">
        <v>7418</v>
      </c>
      <c r="G2042" s="382" t="s">
        <v>543</v>
      </c>
      <c r="H2042" s="560">
        <v>33.200000000000003</v>
      </c>
      <c r="I2042" s="889"/>
      <c r="J2042" s="486">
        <f t="shared" si="25"/>
        <v>1035522.8147027682</v>
      </c>
      <c r="K2042" s="301">
        <v>375866.16</v>
      </c>
    </row>
    <row r="2043" spans="1:11" ht="15" customHeight="1" x14ac:dyDescent="0.2">
      <c r="A2043" s="457" t="s">
        <v>7401</v>
      </c>
      <c r="B2043" s="382" t="s">
        <v>308</v>
      </c>
      <c r="C2043" s="889"/>
      <c r="D2043" s="889"/>
      <c r="E2043" s="382">
        <v>10</v>
      </c>
      <c r="F2043" s="196" t="s">
        <v>7419</v>
      </c>
      <c r="G2043" s="382" t="s">
        <v>543</v>
      </c>
      <c r="H2043" s="560">
        <v>32.700000000000003</v>
      </c>
      <c r="I2043" s="889"/>
      <c r="J2043" s="486">
        <f t="shared" si="25"/>
        <v>1019927.5915897747</v>
      </c>
      <c r="K2043" s="301">
        <v>370205.53</v>
      </c>
    </row>
    <row r="2044" spans="1:11" ht="15" customHeight="1" x14ac:dyDescent="0.2">
      <c r="A2044" s="457" t="s">
        <v>7402</v>
      </c>
      <c r="B2044" s="382" t="s">
        <v>308</v>
      </c>
      <c r="C2044" s="889"/>
      <c r="D2044" s="889"/>
      <c r="E2044" s="382">
        <v>11</v>
      </c>
      <c r="F2044" s="196" t="s">
        <v>7420</v>
      </c>
      <c r="G2044" s="382" t="s">
        <v>543</v>
      </c>
      <c r="H2044" s="560">
        <v>32.700000000000003</v>
      </c>
      <c r="I2044" s="889"/>
      <c r="J2044" s="486">
        <f t="shared" si="25"/>
        <v>1019927.5915897747</v>
      </c>
      <c r="K2044" s="301">
        <v>370205.53</v>
      </c>
    </row>
    <row r="2045" spans="1:11" ht="15" customHeight="1" x14ac:dyDescent="0.2">
      <c r="A2045" s="457" t="s">
        <v>7403</v>
      </c>
      <c r="B2045" s="382" t="s">
        <v>308</v>
      </c>
      <c r="C2045" s="889"/>
      <c r="D2045" s="889"/>
      <c r="E2045" s="382">
        <v>12</v>
      </c>
      <c r="F2045" s="196" t="s">
        <v>7421</v>
      </c>
      <c r="G2045" s="382" t="s">
        <v>543</v>
      </c>
      <c r="H2045" s="560">
        <v>32.9</v>
      </c>
      <c r="I2045" s="889"/>
      <c r="J2045" s="486">
        <f t="shared" si="25"/>
        <v>1026165.680834972</v>
      </c>
      <c r="K2045" s="301">
        <v>372469.78</v>
      </c>
    </row>
    <row r="2046" spans="1:11" ht="15" customHeight="1" x14ac:dyDescent="0.2">
      <c r="A2046" s="457" t="s">
        <v>7404</v>
      </c>
      <c r="B2046" s="382" t="s">
        <v>308</v>
      </c>
      <c r="C2046" s="889"/>
      <c r="D2046" s="889"/>
      <c r="E2046" s="382">
        <v>14</v>
      </c>
      <c r="F2046" s="196" t="s">
        <v>7422</v>
      </c>
      <c r="G2046" s="382" t="s">
        <v>543</v>
      </c>
      <c r="H2046" s="560">
        <v>33.200000000000003</v>
      </c>
      <c r="I2046" s="889"/>
      <c r="J2046" s="486">
        <f t="shared" si="25"/>
        <v>1035522.8147027682</v>
      </c>
      <c r="K2046" s="301">
        <v>375866.16</v>
      </c>
    </row>
    <row r="2047" spans="1:11" ht="15" customHeight="1" x14ac:dyDescent="0.2">
      <c r="A2047" s="457" t="s">
        <v>7405</v>
      </c>
      <c r="B2047" s="382" t="s">
        <v>308</v>
      </c>
      <c r="C2047" s="889"/>
      <c r="D2047" s="889"/>
      <c r="E2047" s="382">
        <v>15</v>
      </c>
      <c r="F2047" s="196" t="s">
        <v>7423</v>
      </c>
      <c r="G2047" s="382" t="s">
        <v>134</v>
      </c>
      <c r="H2047" s="560">
        <v>33.200000000000003</v>
      </c>
      <c r="I2047" s="889"/>
      <c r="J2047" s="486">
        <f t="shared" si="25"/>
        <v>1035522.8147027682</v>
      </c>
      <c r="K2047" s="301">
        <v>375866.16</v>
      </c>
    </row>
    <row r="2048" spans="1:11" ht="15" customHeight="1" x14ac:dyDescent="0.2">
      <c r="A2048" s="457" t="s">
        <v>7406</v>
      </c>
      <c r="B2048" s="382" t="s">
        <v>308</v>
      </c>
      <c r="C2048" s="889"/>
      <c r="D2048" s="889"/>
      <c r="E2048" s="382">
        <v>16</v>
      </c>
      <c r="F2048" s="196" t="s">
        <v>7424</v>
      </c>
      <c r="G2048" s="382" t="s">
        <v>134</v>
      </c>
      <c r="H2048" s="560">
        <v>33.299999999999997</v>
      </c>
      <c r="I2048" s="889"/>
      <c r="J2048" s="486">
        <f t="shared" si="25"/>
        <v>1038641.8593253667</v>
      </c>
      <c r="K2048" s="301">
        <v>376998.29</v>
      </c>
    </row>
    <row r="2049" spans="1:11" ht="15" customHeight="1" x14ac:dyDescent="0.2">
      <c r="A2049" s="457" t="s">
        <v>7407</v>
      </c>
      <c r="B2049" s="382" t="s">
        <v>308</v>
      </c>
      <c r="C2049" s="889"/>
      <c r="D2049" s="889"/>
      <c r="E2049" s="382">
        <v>17</v>
      </c>
      <c r="F2049" s="196" t="s">
        <v>11678</v>
      </c>
      <c r="G2049" s="382" t="s">
        <v>134</v>
      </c>
      <c r="H2049" s="560">
        <v>32.5</v>
      </c>
      <c r="I2049" s="889"/>
      <c r="J2049" s="486">
        <f t="shared" si="25"/>
        <v>1013689.5023445772</v>
      </c>
      <c r="K2049" s="301">
        <v>367941.28</v>
      </c>
    </row>
    <row r="2050" spans="1:11" ht="15" customHeight="1" x14ac:dyDescent="0.2">
      <c r="A2050" s="457" t="s">
        <v>7408</v>
      </c>
      <c r="B2050" s="382" t="s">
        <v>308</v>
      </c>
      <c r="C2050" s="889"/>
      <c r="D2050" s="889"/>
      <c r="E2050" s="382">
        <v>18</v>
      </c>
      <c r="F2050" s="196" t="s">
        <v>11679</v>
      </c>
      <c r="G2050" s="382" t="s">
        <v>134</v>
      </c>
      <c r="H2050" s="560">
        <v>32.700000000000003</v>
      </c>
      <c r="I2050" s="889"/>
      <c r="J2050" s="486">
        <f t="shared" si="25"/>
        <v>1019927.5915897747</v>
      </c>
      <c r="K2050" s="301">
        <v>370205.53</v>
      </c>
    </row>
    <row r="2051" spans="1:11" ht="15" customHeight="1" x14ac:dyDescent="0.2">
      <c r="A2051" s="457" t="s">
        <v>7409</v>
      </c>
      <c r="B2051" s="382" t="s">
        <v>308</v>
      </c>
      <c r="C2051" s="889"/>
      <c r="D2051" s="889"/>
      <c r="E2051" s="382">
        <v>19</v>
      </c>
      <c r="F2051" s="196" t="s">
        <v>7425</v>
      </c>
      <c r="G2051" s="382" t="s">
        <v>134</v>
      </c>
      <c r="H2051" s="560">
        <v>32.9</v>
      </c>
      <c r="I2051" s="889"/>
      <c r="J2051" s="486">
        <f t="shared" si="25"/>
        <v>1026165.680834972</v>
      </c>
      <c r="K2051" s="301">
        <v>372469.78</v>
      </c>
    </row>
    <row r="2052" spans="1:11" ht="15" customHeight="1" x14ac:dyDescent="0.2">
      <c r="A2052" s="571" t="s">
        <v>7410</v>
      </c>
      <c r="B2052" s="514" t="s">
        <v>308</v>
      </c>
      <c r="C2052" s="889"/>
      <c r="D2052" s="889"/>
      <c r="E2052" s="514">
        <v>20</v>
      </c>
      <c r="F2052" s="291" t="s">
        <v>7426</v>
      </c>
      <c r="G2052" s="514" t="s">
        <v>134</v>
      </c>
      <c r="H2052" s="572">
        <v>33.1</v>
      </c>
      <c r="I2052" s="889"/>
      <c r="J2052" s="486">
        <f t="shared" si="25"/>
        <v>1032403.7700801694</v>
      </c>
      <c r="K2052" s="301">
        <v>374734.04</v>
      </c>
    </row>
    <row r="2053" spans="1:11" ht="15" customHeight="1" x14ac:dyDescent="0.2">
      <c r="A2053" s="456" t="s">
        <v>7880</v>
      </c>
      <c r="B2053" s="302" t="s">
        <v>8235</v>
      </c>
      <c r="C2053" s="847" t="s">
        <v>14707</v>
      </c>
      <c r="D2053" s="866" t="s">
        <v>8018</v>
      </c>
      <c r="E2053" s="196"/>
      <c r="F2053" s="291"/>
      <c r="G2053" s="196" t="s">
        <v>8251</v>
      </c>
      <c r="H2053" s="560">
        <f>106.1-106.1</f>
        <v>0</v>
      </c>
      <c r="I2053" s="873">
        <v>2015</v>
      </c>
      <c r="J2053" s="486">
        <f>3092460-3092460</f>
        <v>0</v>
      </c>
      <c r="K2053" s="301">
        <v>1858719.48</v>
      </c>
    </row>
    <row r="2054" spans="1:11" ht="15" customHeight="1" x14ac:dyDescent="0.2">
      <c r="A2054" s="457" t="s">
        <v>8239</v>
      </c>
      <c r="B2054" s="514" t="s">
        <v>308</v>
      </c>
      <c r="C2054" s="848"/>
      <c r="D2054" s="867"/>
      <c r="E2054" s="196">
        <v>1</v>
      </c>
      <c r="F2054" s="291" t="s">
        <v>8253</v>
      </c>
      <c r="G2054" s="382" t="s">
        <v>143</v>
      </c>
      <c r="H2054" s="382">
        <v>35.200000000000003</v>
      </c>
      <c r="I2054" s="874"/>
      <c r="J2054" s="486">
        <f>3092460/106.1*H2054</f>
        <v>1025962.2243166826</v>
      </c>
      <c r="K2054" s="301">
        <v>462054.56</v>
      </c>
    </row>
    <row r="2055" spans="1:11" ht="15" customHeight="1" x14ac:dyDescent="0.2">
      <c r="A2055" s="457" t="s">
        <v>8240</v>
      </c>
      <c r="B2055" s="514" t="s">
        <v>308</v>
      </c>
      <c r="C2055" s="848"/>
      <c r="D2055" s="867"/>
      <c r="E2055" s="196">
        <v>2</v>
      </c>
      <c r="F2055" s="291" t="s">
        <v>8254</v>
      </c>
      <c r="G2055" s="382" t="s">
        <v>143</v>
      </c>
      <c r="H2055" s="382">
        <v>35.5</v>
      </c>
      <c r="I2055" s="874"/>
      <c r="J2055" s="486">
        <f>3092460/106.1*H2055</f>
        <v>1034706.2205466542</v>
      </c>
      <c r="K2055" s="301">
        <v>465992.53</v>
      </c>
    </row>
    <row r="2056" spans="1:11" ht="15" customHeight="1" x14ac:dyDescent="0.2">
      <c r="A2056" s="457" t="s">
        <v>8241</v>
      </c>
      <c r="B2056" s="514" t="s">
        <v>308</v>
      </c>
      <c r="C2056" s="848"/>
      <c r="D2056" s="867"/>
      <c r="E2056" s="196">
        <v>3</v>
      </c>
      <c r="F2056" s="291" t="s">
        <v>8252</v>
      </c>
      <c r="G2056" s="382" t="s">
        <v>143</v>
      </c>
      <c r="H2056" s="382">
        <v>35.4</v>
      </c>
      <c r="I2056" s="874"/>
      <c r="J2056" s="486">
        <f>3092460/106.1*H2056</f>
        <v>1031791.5551366635</v>
      </c>
      <c r="K2056" s="301">
        <v>464679.87</v>
      </c>
    </row>
    <row r="2057" spans="1:11" ht="15" customHeight="1" x14ac:dyDescent="0.2">
      <c r="A2057" s="457" t="s">
        <v>8242</v>
      </c>
      <c r="B2057" s="514" t="s">
        <v>308</v>
      </c>
      <c r="C2057" s="849"/>
      <c r="D2057" s="868"/>
      <c r="E2057" s="196">
        <v>4</v>
      </c>
      <c r="F2057" s="291" t="s">
        <v>8020</v>
      </c>
      <c r="G2057" s="382" t="s">
        <v>143</v>
      </c>
      <c r="H2057" s="382">
        <v>35.5</v>
      </c>
      <c r="I2057" s="875"/>
      <c r="J2057" s="486">
        <v>1041348</v>
      </c>
      <c r="K2057" s="301">
        <v>465992.53</v>
      </c>
    </row>
    <row r="2058" spans="1:11" ht="36" customHeight="1" x14ac:dyDescent="0.2">
      <c r="A2058" s="456" t="s">
        <v>8017</v>
      </c>
      <c r="B2058" s="302" t="s">
        <v>8235</v>
      </c>
      <c r="C2058" s="847" t="s">
        <v>14708</v>
      </c>
      <c r="D2058" s="866" t="s">
        <v>8019</v>
      </c>
      <c r="E2058" s="196"/>
      <c r="F2058" s="291" t="s">
        <v>8248</v>
      </c>
      <c r="G2058" s="382" t="s">
        <v>8250</v>
      </c>
      <c r="H2058" s="560">
        <f>142.2-142.2</f>
        <v>0</v>
      </c>
      <c r="I2058" s="873">
        <v>2015</v>
      </c>
      <c r="J2058" s="486">
        <f>3092460-3092460</f>
        <v>0</v>
      </c>
      <c r="K2058" s="301">
        <v>1866595.41</v>
      </c>
    </row>
    <row r="2059" spans="1:11" ht="14.25" customHeight="1" x14ac:dyDescent="0.2">
      <c r="A2059" s="457" t="s">
        <v>8243</v>
      </c>
      <c r="B2059" s="514" t="s">
        <v>308</v>
      </c>
      <c r="C2059" s="848"/>
      <c r="D2059" s="867"/>
      <c r="E2059" s="196">
        <v>1</v>
      </c>
      <c r="F2059" s="291" t="s">
        <v>11680</v>
      </c>
      <c r="G2059" s="560" t="s">
        <v>143</v>
      </c>
      <c r="H2059" s="382">
        <v>35.5</v>
      </c>
      <c r="I2059" s="874"/>
      <c r="J2059" s="486">
        <f>3092460/142.2*H2059</f>
        <v>772027.6371308018</v>
      </c>
      <c r="K2059" s="301">
        <v>465992.53</v>
      </c>
    </row>
    <row r="2060" spans="1:11" ht="15.75" customHeight="1" x14ac:dyDescent="0.2">
      <c r="A2060" s="457" t="s">
        <v>8244</v>
      </c>
      <c r="B2060" s="514" t="s">
        <v>308</v>
      </c>
      <c r="C2060" s="848"/>
      <c r="D2060" s="867"/>
      <c r="E2060" s="196">
        <v>2</v>
      </c>
      <c r="F2060" s="382" t="s">
        <v>8247</v>
      </c>
      <c r="G2060" s="560" t="s">
        <v>143</v>
      </c>
      <c r="H2060" s="382">
        <v>35.5</v>
      </c>
      <c r="I2060" s="874"/>
      <c r="J2060" s="486">
        <f>3092460/142.2*H2060</f>
        <v>772027.6371308018</v>
      </c>
      <c r="K2060" s="301">
        <v>465992.53</v>
      </c>
    </row>
    <row r="2061" spans="1:11" ht="15.75" customHeight="1" x14ac:dyDescent="0.2">
      <c r="A2061" s="457" t="s">
        <v>8245</v>
      </c>
      <c r="B2061" s="514" t="s">
        <v>308</v>
      </c>
      <c r="C2061" s="848"/>
      <c r="D2061" s="867"/>
      <c r="E2061" s="382">
        <v>3</v>
      </c>
      <c r="F2061" s="382" t="s">
        <v>8249</v>
      </c>
      <c r="G2061" s="560" t="s">
        <v>143</v>
      </c>
      <c r="H2061" s="382">
        <v>35.5</v>
      </c>
      <c r="I2061" s="874"/>
      <c r="J2061" s="486">
        <f>3092460/142.2*H2061</f>
        <v>772027.6371308018</v>
      </c>
      <c r="K2061" s="301">
        <v>465992.53</v>
      </c>
    </row>
    <row r="2062" spans="1:11" ht="16.5" customHeight="1" x14ac:dyDescent="0.2">
      <c r="A2062" s="457" t="s">
        <v>8246</v>
      </c>
      <c r="B2062" s="514" t="s">
        <v>308</v>
      </c>
      <c r="C2062" s="849"/>
      <c r="D2062" s="868"/>
      <c r="E2062" s="196">
        <v>4</v>
      </c>
      <c r="F2062" s="291" t="s">
        <v>8021</v>
      </c>
      <c r="G2062" s="560" t="s">
        <v>143</v>
      </c>
      <c r="H2062" s="382">
        <v>35.700000000000003</v>
      </c>
      <c r="I2062" s="875"/>
      <c r="J2062" s="486">
        <v>1041348</v>
      </c>
      <c r="K2062" s="301">
        <v>468617.84</v>
      </c>
    </row>
    <row r="2063" spans="1:11" ht="36" customHeight="1" x14ac:dyDescent="0.2">
      <c r="A2063" s="456" t="s">
        <v>8440</v>
      </c>
      <c r="B2063" s="514"/>
      <c r="C2063" s="856" t="s">
        <v>13282</v>
      </c>
      <c r="D2063" s="866">
        <v>2</v>
      </c>
      <c r="E2063" s="196"/>
      <c r="F2063" s="196" t="s">
        <v>8567</v>
      </c>
      <c r="G2063" s="382" t="s">
        <v>7412</v>
      </c>
      <c r="H2063" s="382">
        <f>1152.7-1152.7</f>
        <v>0</v>
      </c>
      <c r="I2063" s="873">
        <v>2016</v>
      </c>
      <c r="J2063" s="486">
        <f>36065352.4-36065352.4</f>
        <v>0</v>
      </c>
      <c r="K2063" s="301">
        <v>18851740.620000001</v>
      </c>
    </row>
    <row r="2064" spans="1:11" ht="15.75" customHeight="1" x14ac:dyDescent="0.2">
      <c r="A2064" s="457" t="s">
        <v>8561</v>
      </c>
      <c r="B2064" s="514" t="s">
        <v>308</v>
      </c>
      <c r="C2064" s="857"/>
      <c r="D2064" s="867"/>
      <c r="E2064" s="196">
        <v>13</v>
      </c>
      <c r="F2064" s="196" t="s">
        <v>8568</v>
      </c>
      <c r="G2064" s="560" t="s">
        <v>143</v>
      </c>
      <c r="H2064" s="560">
        <v>44.4</v>
      </c>
      <c r="I2064" s="874"/>
      <c r="J2064" s="486">
        <f t="shared" ref="J2064:J2065" si="26">36065352.4/1152.7*H2064</f>
        <v>1389174.6738613688</v>
      </c>
      <c r="K2064" s="301">
        <v>638019.12</v>
      </c>
    </row>
    <row r="2065" spans="1:11" ht="12.75" customHeight="1" x14ac:dyDescent="0.2">
      <c r="A2065" s="457" t="s">
        <v>8562</v>
      </c>
      <c r="B2065" s="514" t="s">
        <v>308</v>
      </c>
      <c r="C2065" s="857"/>
      <c r="D2065" s="867"/>
      <c r="E2065" s="196">
        <v>17</v>
      </c>
      <c r="F2065" s="196" t="s">
        <v>8569</v>
      </c>
      <c r="G2065" s="560" t="s">
        <v>543</v>
      </c>
      <c r="H2065" s="560">
        <v>44.1</v>
      </c>
      <c r="I2065" s="874"/>
      <c r="J2065" s="486">
        <f t="shared" si="26"/>
        <v>1379788.3584974408</v>
      </c>
      <c r="K2065" s="301">
        <v>633708.18000000005</v>
      </c>
    </row>
    <row r="2066" spans="1:11" ht="13.5" customHeight="1" x14ac:dyDescent="0.2">
      <c r="A2066" s="457" t="s">
        <v>9105</v>
      </c>
      <c r="B2066" s="514" t="s">
        <v>308</v>
      </c>
      <c r="C2066" s="857"/>
      <c r="D2066" s="867"/>
      <c r="E2066" s="291">
        <v>10</v>
      </c>
      <c r="F2066" s="196" t="s">
        <v>9106</v>
      </c>
      <c r="G2066" s="572" t="s">
        <v>143</v>
      </c>
      <c r="H2066" s="572">
        <v>46</v>
      </c>
      <c r="I2066" s="874"/>
      <c r="J2066" s="518">
        <v>1480924</v>
      </c>
      <c r="K2066" s="301">
        <v>661010.80000000005</v>
      </c>
    </row>
    <row r="2067" spans="1:11" ht="14.25" customHeight="1" x14ac:dyDescent="0.2">
      <c r="A2067" s="457" t="s">
        <v>11998</v>
      </c>
      <c r="B2067" s="514" t="s">
        <v>308</v>
      </c>
      <c r="C2067" s="857"/>
      <c r="D2067" s="867"/>
      <c r="E2067" s="387">
        <v>8</v>
      </c>
      <c r="F2067" s="40" t="s">
        <v>11999</v>
      </c>
      <c r="G2067" s="572" t="s">
        <v>134</v>
      </c>
      <c r="H2067" s="572">
        <v>40.1</v>
      </c>
      <c r="I2067" s="874"/>
      <c r="J2067" s="518">
        <v>1090881</v>
      </c>
      <c r="K2067" s="573">
        <v>576228.98</v>
      </c>
    </row>
    <row r="2068" spans="1:11" ht="14.25" customHeight="1" x14ac:dyDescent="0.2">
      <c r="A2068" s="804" t="s">
        <v>14692</v>
      </c>
      <c r="B2068" s="805" t="s">
        <v>308</v>
      </c>
      <c r="C2068" s="858"/>
      <c r="D2068" s="868"/>
      <c r="E2068" s="806">
        <v>5</v>
      </c>
      <c r="F2068" s="762" t="s">
        <v>14693</v>
      </c>
      <c r="G2068" s="807" t="s">
        <v>543</v>
      </c>
      <c r="H2068" s="807">
        <f>39.9</f>
        <v>39.9</v>
      </c>
      <c r="I2068" s="875"/>
      <c r="J2068" s="808">
        <v>1066593</v>
      </c>
      <c r="K2068" s="809">
        <v>573355.02</v>
      </c>
    </row>
    <row r="2069" spans="1:11" ht="25.5" customHeight="1" x14ac:dyDescent="0.2">
      <c r="A2069" s="456" t="s">
        <v>8441</v>
      </c>
      <c r="B2069" s="382"/>
      <c r="C2069" s="856" t="s">
        <v>13283</v>
      </c>
      <c r="D2069" s="866">
        <v>3</v>
      </c>
      <c r="E2069" s="382"/>
      <c r="F2069" s="291" t="s">
        <v>8751</v>
      </c>
      <c r="G2069" s="382" t="s">
        <v>7412</v>
      </c>
      <c r="H2069" s="572"/>
      <c r="I2069" s="866">
        <v>2016</v>
      </c>
      <c r="J2069" s="518"/>
      <c r="K2069" s="301"/>
    </row>
    <row r="2070" spans="1:11" ht="14.25" customHeight="1" x14ac:dyDescent="0.2">
      <c r="A2070" s="457" t="s">
        <v>8442</v>
      </c>
      <c r="B2070" s="382" t="s">
        <v>308</v>
      </c>
      <c r="C2070" s="857"/>
      <c r="D2070" s="867"/>
      <c r="E2070" s="291">
        <v>2</v>
      </c>
      <c r="F2070" s="291" t="s">
        <v>8753</v>
      </c>
      <c r="G2070" s="382" t="s">
        <v>143</v>
      </c>
      <c r="H2070" s="572">
        <v>27.8</v>
      </c>
      <c r="I2070" s="867"/>
      <c r="J2070" s="518"/>
      <c r="K2070" s="301">
        <v>399480.44</v>
      </c>
    </row>
    <row r="2071" spans="1:11" ht="15.75" customHeight="1" x14ac:dyDescent="0.2">
      <c r="A2071" s="457" t="s">
        <v>8443</v>
      </c>
      <c r="B2071" s="382" t="s">
        <v>308</v>
      </c>
      <c r="C2071" s="857"/>
      <c r="D2071" s="867"/>
      <c r="E2071" s="291">
        <v>3</v>
      </c>
      <c r="F2071" s="291" t="s">
        <v>8752</v>
      </c>
      <c r="G2071" s="382" t="s">
        <v>143</v>
      </c>
      <c r="H2071" s="572">
        <v>66.599999999999994</v>
      </c>
      <c r="I2071" s="867"/>
      <c r="J2071" s="518"/>
      <c r="K2071" s="301">
        <v>957028.68</v>
      </c>
    </row>
    <row r="2072" spans="1:11" ht="15" customHeight="1" x14ac:dyDescent="0.2">
      <c r="A2072" s="457" t="s">
        <v>8726</v>
      </c>
      <c r="B2072" s="382" t="s">
        <v>308</v>
      </c>
      <c r="C2072" s="857"/>
      <c r="D2072" s="867"/>
      <c r="E2072" s="291">
        <v>4</v>
      </c>
      <c r="F2072" s="291" t="s">
        <v>8754</v>
      </c>
      <c r="G2072" s="382" t="s">
        <v>543</v>
      </c>
      <c r="H2072" s="572">
        <v>43.3</v>
      </c>
      <c r="I2072" s="867"/>
      <c r="J2072" s="518"/>
      <c r="K2072" s="301">
        <v>622212.34</v>
      </c>
    </row>
    <row r="2073" spans="1:11" ht="17.25" customHeight="1" x14ac:dyDescent="0.2">
      <c r="A2073" s="457" t="s">
        <v>8727</v>
      </c>
      <c r="B2073" s="382" t="s">
        <v>308</v>
      </c>
      <c r="C2073" s="857"/>
      <c r="D2073" s="867"/>
      <c r="E2073" s="291">
        <v>5</v>
      </c>
      <c r="F2073" s="291" t="s">
        <v>8755</v>
      </c>
      <c r="G2073" s="382" t="s">
        <v>543</v>
      </c>
      <c r="H2073" s="572">
        <v>27.9</v>
      </c>
      <c r="I2073" s="867"/>
      <c r="J2073" s="518"/>
      <c r="K2073" s="301">
        <v>400917.42</v>
      </c>
    </row>
    <row r="2074" spans="1:11" ht="15.75" customHeight="1" x14ac:dyDescent="0.2">
      <c r="A2074" s="457" t="s">
        <v>8728</v>
      </c>
      <c r="B2074" s="382" t="s">
        <v>308</v>
      </c>
      <c r="C2074" s="857"/>
      <c r="D2074" s="867"/>
      <c r="E2074" s="291">
        <v>17</v>
      </c>
      <c r="F2074" s="291" t="s">
        <v>11681</v>
      </c>
      <c r="G2074" s="382" t="s">
        <v>134</v>
      </c>
      <c r="H2074" s="572">
        <v>27.4</v>
      </c>
      <c r="I2074" s="867"/>
      <c r="J2074" s="518"/>
      <c r="K2074" s="301">
        <v>393732.52</v>
      </c>
    </row>
    <row r="2075" spans="1:11" x14ac:dyDescent="0.2">
      <c r="A2075" s="457" t="s">
        <v>8729</v>
      </c>
      <c r="B2075" s="382" t="s">
        <v>308</v>
      </c>
      <c r="C2075" s="857"/>
      <c r="D2075" s="867"/>
      <c r="E2075" s="291">
        <v>18</v>
      </c>
      <c r="F2075" s="291" t="s">
        <v>8756</v>
      </c>
      <c r="G2075" s="382" t="s">
        <v>134</v>
      </c>
      <c r="H2075" s="572">
        <v>43.3</v>
      </c>
      <c r="I2075" s="867"/>
      <c r="J2075" s="518"/>
      <c r="K2075" s="301">
        <v>622212.34</v>
      </c>
    </row>
    <row r="2076" spans="1:11" x14ac:dyDescent="0.2">
      <c r="A2076" s="457" t="s">
        <v>9372</v>
      </c>
      <c r="B2076" s="382" t="s">
        <v>308</v>
      </c>
      <c r="C2076" s="858"/>
      <c r="D2076" s="868"/>
      <c r="E2076" s="291">
        <v>16</v>
      </c>
      <c r="F2076" s="291" t="s">
        <v>9373</v>
      </c>
      <c r="G2076" s="382" t="s">
        <v>134</v>
      </c>
      <c r="H2076" s="572">
        <v>66.900000000000006</v>
      </c>
      <c r="I2076" s="868"/>
      <c r="J2076" s="518">
        <v>2134462.2000000002</v>
      </c>
      <c r="K2076" s="301">
        <v>961339.62</v>
      </c>
    </row>
    <row r="2077" spans="1:11" ht="51" x14ac:dyDescent="0.2">
      <c r="A2077" s="456" t="s">
        <v>8563</v>
      </c>
      <c r="B2077" s="382"/>
      <c r="C2077" s="847" t="s">
        <v>13284</v>
      </c>
      <c r="D2077" s="866" t="s">
        <v>5493</v>
      </c>
      <c r="E2077" s="382"/>
      <c r="F2077" s="196" t="s">
        <v>8733</v>
      </c>
      <c r="G2077" s="382" t="s">
        <v>8734</v>
      </c>
      <c r="H2077" s="560">
        <f>771.5-771.5</f>
        <v>0</v>
      </c>
      <c r="I2077" s="873">
        <v>2016</v>
      </c>
      <c r="J2077" s="560">
        <f>23730112-23730112</f>
        <v>0</v>
      </c>
      <c r="K2077" s="491"/>
    </row>
    <row r="2078" spans="1:11" x14ac:dyDescent="0.2">
      <c r="A2078" s="457" t="s">
        <v>8564</v>
      </c>
      <c r="B2078" s="382" t="s">
        <v>308</v>
      </c>
      <c r="C2078" s="848"/>
      <c r="D2078" s="867"/>
      <c r="E2078" s="382">
        <v>1</v>
      </c>
      <c r="F2078" s="196" t="s">
        <v>8736</v>
      </c>
      <c r="G2078" s="572" t="s">
        <v>143</v>
      </c>
      <c r="H2078" s="572">
        <v>60.1</v>
      </c>
      <c r="I2078" s="874"/>
      <c r="J2078" s="572">
        <f>23730112/771.5*H2078</f>
        <v>1848580.3385612443</v>
      </c>
      <c r="K2078" s="301">
        <v>516455.53</v>
      </c>
    </row>
    <row r="2079" spans="1:11" ht="14.25" customHeight="1" x14ac:dyDescent="0.2">
      <c r="A2079" s="457" t="s">
        <v>8565</v>
      </c>
      <c r="B2079" s="382" t="s">
        <v>308</v>
      </c>
      <c r="C2079" s="848"/>
      <c r="D2079" s="867"/>
      <c r="E2079" s="382">
        <v>2</v>
      </c>
      <c r="F2079" s="196" t="s">
        <v>8735</v>
      </c>
      <c r="G2079" s="572" t="s">
        <v>143</v>
      </c>
      <c r="H2079" s="572">
        <v>48.1</v>
      </c>
      <c r="I2079" s="874"/>
      <c r="J2079" s="572">
        <f t="shared" ref="J2079:J2086" si="27">23730112/771.5*H2079</f>
        <v>1479479.4390149061</v>
      </c>
      <c r="K2079" s="301">
        <v>413336.29</v>
      </c>
    </row>
    <row r="2080" spans="1:11" x14ac:dyDescent="0.2">
      <c r="A2080" s="457" t="s">
        <v>8566</v>
      </c>
      <c r="B2080" s="382" t="s">
        <v>308</v>
      </c>
      <c r="C2080" s="848"/>
      <c r="D2080" s="867"/>
      <c r="E2080" s="382">
        <v>3</v>
      </c>
      <c r="F2080" s="196" t="s">
        <v>8737</v>
      </c>
      <c r="G2080" s="572" t="s">
        <v>143</v>
      </c>
      <c r="H2080" s="572">
        <v>33.1</v>
      </c>
      <c r="I2080" s="874"/>
      <c r="J2080" s="572">
        <f t="shared" si="27"/>
        <v>1018103.3145819831</v>
      </c>
      <c r="K2080" s="301">
        <v>284437.24</v>
      </c>
    </row>
    <row r="2081" spans="1:11" x14ac:dyDescent="0.2">
      <c r="A2081" s="457" t="s">
        <v>8732</v>
      </c>
      <c r="B2081" s="382" t="s">
        <v>308</v>
      </c>
      <c r="C2081" s="848"/>
      <c r="D2081" s="867"/>
      <c r="E2081" s="382">
        <v>8</v>
      </c>
      <c r="F2081" s="196" t="s">
        <v>8738</v>
      </c>
      <c r="G2081" s="572" t="s">
        <v>134</v>
      </c>
      <c r="H2081" s="572">
        <v>48.1</v>
      </c>
      <c r="I2081" s="874"/>
      <c r="J2081" s="572">
        <f t="shared" si="27"/>
        <v>1479479.4390149061</v>
      </c>
      <c r="K2081" s="301">
        <v>413336.29</v>
      </c>
    </row>
    <row r="2082" spans="1:11" x14ac:dyDescent="0.2">
      <c r="A2082" s="457" t="s">
        <v>8741</v>
      </c>
      <c r="B2082" s="382" t="s">
        <v>308</v>
      </c>
      <c r="C2082" s="848"/>
      <c r="D2082" s="867"/>
      <c r="E2082" s="382">
        <v>12</v>
      </c>
      <c r="F2082" s="196" t="s">
        <v>8739</v>
      </c>
      <c r="G2082" s="572" t="s">
        <v>143</v>
      </c>
      <c r="H2082" s="572">
        <v>46.4</v>
      </c>
      <c r="I2082" s="874"/>
      <c r="J2082" s="572">
        <f t="shared" si="27"/>
        <v>1427190.1449125081</v>
      </c>
      <c r="K2082" s="301">
        <v>398727.73</v>
      </c>
    </row>
    <row r="2083" spans="1:11" ht="25.5" x14ac:dyDescent="0.2">
      <c r="A2083" s="457" t="s">
        <v>8742</v>
      </c>
      <c r="B2083" s="382" t="s">
        <v>5459</v>
      </c>
      <c r="C2083" s="848"/>
      <c r="D2083" s="867"/>
      <c r="E2083" s="382">
        <v>13</v>
      </c>
      <c r="F2083" s="196" t="s">
        <v>11682</v>
      </c>
      <c r="G2083" s="572" t="s">
        <v>143</v>
      </c>
      <c r="H2083" s="572">
        <v>38.9</v>
      </c>
      <c r="I2083" s="874"/>
      <c r="J2083" s="572">
        <f t="shared" si="27"/>
        <v>1196502.0826960467</v>
      </c>
      <c r="K2083" s="301">
        <v>334278.2</v>
      </c>
    </row>
    <row r="2084" spans="1:11" ht="36" customHeight="1" x14ac:dyDescent="0.2">
      <c r="A2084" s="457" t="s">
        <v>8743</v>
      </c>
      <c r="B2084" s="382" t="s">
        <v>308</v>
      </c>
      <c r="C2084" s="848"/>
      <c r="D2084" s="867"/>
      <c r="E2084" s="382">
        <v>14</v>
      </c>
      <c r="F2084" s="196" t="s">
        <v>8740</v>
      </c>
      <c r="G2084" s="572" t="s">
        <v>543</v>
      </c>
      <c r="H2084" s="572">
        <v>35.6</v>
      </c>
      <c r="I2084" s="874"/>
      <c r="J2084" s="572">
        <f t="shared" si="27"/>
        <v>1094999.3353208036</v>
      </c>
      <c r="K2084" s="301">
        <v>305920.40999999997</v>
      </c>
    </row>
    <row r="2085" spans="1:11" x14ac:dyDescent="0.2">
      <c r="A2085" s="457" t="s">
        <v>8744</v>
      </c>
      <c r="B2085" s="382" t="s">
        <v>308</v>
      </c>
      <c r="C2085" s="848"/>
      <c r="D2085" s="867"/>
      <c r="E2085" s="382">
        <v>17</v>
      </c>
      <c r="F2085" s="196" t="s">
        <v>11683</v>
      </c>
      <c r="G2085" s="572" t="s">
        <v>543</v>
      </c>
      <c r="H2085" s="572">
        <v>38.9</v>
      </c>
      <c r="I2085" s="874"/>
      <c r="J2085" s="572">
        <f t="shared" si="27"/>
        <v>1196502.0826960467</v>
      </c>
      <c r="K2085" s="301">
        <v>334278.2</v>
      </c>
    </row>
    <row r="2086" spans="1:11" x14ac:dyDescent="0.2">
      <c r="A2086" s="457" t="s">
        <v>8745</v>
      </c>
      <c r="B2086" s="382" t="s">
        <v>308</v>
      </c>
      <c r="C2086" s="848"/>
      <c r="D2086" s="867"/>
      <c r="E2086" s="382">
        <v>19</v>
      </c>
      <c r="F2086" s="196" t="s">
        <v>11684</v>
      </c>
      <c r="G2086" s="572" t="s">
        <v>134</v>
      </c>
      <c r="H2086" s="572">
        <v>45.4</v>
      </c>
      <c r="I2086" s="874"/>
      <c r="J2086" s="572">
        <f t="shared" si="27"/>
        <v>1396431.7366169798</v>
      </c>
      <c r="K2086" s="301">
        <v>390134.46</v>
      </c>
    </row>
    <row r="2087" spans="1:11" x14ac:dyDescent="0.2">
      <c r="A2087" s="457" t="s">
        <v>10510</v>
      </c>
      <c r="B2087" s="382" t="s">
        <v>308</v>
      </c>
      <c r="C2087" s="848"/>
      <c r="D2087" s="867"/>
      <c r="E2087" s="382">
        <v>11</v>
      </c>
      <c r="F2087" s="196" t="s">
        <v>10512</v>
      </c>
      <c r="G2087" s="572" t="s">
        <v>143</v>
      </c>
      <c r="H2087" s="572">
        <v>45.4</v>
      </c>
      <c r="I2087" s="874"/>
      <c r="J2087" s="518">
        <v>1461607.6</v>
      </c>
      <c r="K2087" s="301">
        <v>390134.46</v>
      </c>
    </row>
    <row r="2088" spans="1:11" x14ac:dyDescent="0.2">
      <c r="A2088" s="457" t="s">
        <v>11117</v>
      </c>
      <c r="B2088" s="382" t="s">
        <v>308</v>
      </c>
      <c r="C2088" s="848"/>
      <c r="D2088" s="867"/>
      <c r="E2088" s="496" t="s">
        <v>357</v>
      </c>
      <c r="F2088" s="196" t="s">
        <v>11119</v>
      </c>
      <c r="G2088" s="572" t="s">
        <v>134</v>
      </c>
      <c r="H2088" s="572">
        <v>26.3</v>
      </c>
      <c r="I2088" s="874"/>
      <c r="J2088" s="518">
        <v>847359.7</v>
      </c>
      <c r="K2088" s="518">
        <v>226003</v>
      </c>
    </row>
    <row r="2089" spans="1:11" ht="12.75" customHeight="1" x14ac:dyDescent="0.2">
      <c r="A2089" s="457" t="s">
        <v>11741</v>
      </c>
      <c r="B2089" s="385" t="s">
        <v>11735</v>
      </c>
      <c r="C2089" s="849"/>
      <c r="D2089" s="868"/>
      <c r="E2089" s="496">
        <v>10</v>
      </c>
      <c r="F2089" s="196" t="s">
        <v>11742</v>
      </c>
      <c r="G2089" s="572" t="s">
        <v>143</v>
      </c>
      <c r="H2089" s="572">
        <v>35.6</v>
      </c>
      <c r="I2089" s="875"/>
      <c r="J2089" s="518">
        <v>1090881</v>
      </c>
      <c r="K2089" s="518">
        <v>305920.40999999997</v>
      </c>
    </row>
    <row r="2090" spans="1:11" ht="24.75" customHeight="1" x14ac:dyDescent="0.2">
      <c r="A2090" s="456" t="s">
        <v>8730</v>
      </c>
      <c r="B2090" s="382"/>
      <c r="C2090" s="847" t="s">
        <v>13285</v>
      </c>
      <c r="D2090" s="866" t="s">
        <v>8848</v>
      </c>
      <c r="E2090" s="481"/>
      <c r="F2090" s="223" t="s">
        <v>8849</v>
      </c>
      <c r="G2090" s="481" t="s">
        <v>7412</v>
      </c>
      <c r="H2090" s="569">
        <f>1093.6-1093.6</f>
        <v>0</v>
      </c>
      <c r="I2090" s="853">
        <v>2016</v>
      </c>
      <c r="J2090" s="494">
        <f>34667421.6-34667421.6</f>
        <v>0</v>
      </c>
      <c r="K2090" s="300"/>
    </row>
    <row r="2091" spans="1:11" ht="12.75" customHeight="1" x14ac:dyDescent="0.2">
      <c r="A2091" s="457" t="s">
        <v>8746</v>
      </c>
      <c r="B2091" s="382" t="s">
        <v>308</v>
      </c>
      <c r="C2091" s="848"/>
      <c r="D2091" s="867"/>
      <c r="E2091" s="382">
        <v>3</v>
      </c>
      <c r="F2091" s="223" t="s">
        <v>8850</v>
      </c>
      <c r="G2091" s="481" t="s">
        <v>143</v>
      </c>
      <c r="H2091" s="569">
        <v>46.7</v>
      </c>
      <c r="I2091" s="854"/>
      <c r="J2091" s="494">
        <f t="shared" ref="J2091:J2092" si="28">34667421.6/1093.6*H2091</f>
        <v>1480402.8792245795</v>
      </c>
      <c r="K2091" s="300">
        <v>565255.4</v>
      </c>
    </row>
    <row r="2092" spans="1:11" ht="15" customHeight="1" x14ac:dyDescent="0.2">
      <c r="A2092" s="457" t="s">
        <v>8747</v>
      </c>
      <c r="B2092" s="382" t="s">
        <v>308</v>
      </c>
      <c r="C2092" s="848"/>
      <c r="D2092" s="867"/>
      <c r="E2092" s="382">
        <v>4</v>
      </c>
      <c r="F2092" s="223" t="s">
        <v>8851</v>
      </c>
      <c r="G2092" s="481" t="s">
        <v>143</v>
      </c>
      <c r="H2092" s="569">
        <v>47</v>
      </c>
      <c r="I2092" s="854"/>
      <c r="J2092" s="494">
        <f t="shared" si="28"/>
        <v>1489912.9619604975</v>
      </c>
      <c r="K2092" s="300">
        <v>568886.59</v>
      </c>
    </row>
    <row r="2093" spans="1:11" x14ac:dyDescent="0.2">
      <c r="A2093" s="457" t="s">
        <v>9370</v>
      </c>
      <c r="B2093" s="382" t="s">
        <v>308</v>
      </c>
      <c r="C2093" s="848"/>
      <c r="D2093" s="867"/>
      <c r="E2093" s="574" t="s">
        <v>381</v>
      </c>
      <c r="F2093" s="40" t="s">
        <v>9371</v>
      </c>
      <c r="G2093" s="467" t="s">
        <v>143</v>
      </c>
      <c r="H2093" s="572">
        <v>27.2</v>
      </c>
      <c r="I2093" s="854"/>
      <c r="J2093" s="573">
        <v>875676.8</v>
      </c>
      <c r="K2093" s="371">
        <v>329227.98</v>
      </c>
    </row>
    <row r="2094" spans="1:11" x14ac:dyDescent="0.2">
      <c r="A2094" s="575" t="s">
        <v>10448</v>
      </c>
      <c r="B2094" s="467" t="s">
        <v>308</v>
      </c>
      <c r="C2094" s="849"/>
      <c r="D2094" s="868"/>
      <c r="E2094" s="574" t="s">
        <v>380</v>
      </c>
      <c r="F2094" s="40" t="s">
        <v>10449</v>
      </c>
      <c r="G2094" s="467" t="s">
        <v>143</v>
      </c>
      <c r="H2094" s="572">
        <v>35.200000000000003</v>
      </c>
      <c r="I2094" s="855"/>
      <c r="J2094" s="573">
        <v>1063227</v>
      </c>
      <c r="K2094" s="371">
        <v>426059.74</v>
      </c>
    </row>
    <row r="2095" spans="1:11" ht="48" x14ac:dyDescent="0.2">
      <c r="A2095" s="456" t="s">
        <v>8731</v>
      </c>
      <c r="B2095" s="481"/>
      <c r="C2095" s="847" t="s">
        <v>13286</v>
      </c>
      <c r="D2095" s="853" t="s">
        <v>356</v>
      </c>
      <c r="E2095" s="481"/>
      <c r="F2095" s="291" t="s">
        <v>9158</v>
      </c>
      <c r="G2095" s="303" t="s">
        <v>9159</v>
      </c>
      <c r="H2095" s="569">
        <v>0</v>
      </c>
      <c r="I2095" s="853">
        <v>2016</v>
      </c>
      <c r="J2095" s="568"/>
      <c r="K2095" s="300"/>
    </row>
    <row r="2096" spans="1:11" ht="25.5" customHeight="1" x14ac:dyDescent="0.2">
      <c r="A2096" s="457" t="s">
        <v>8748</v>
      </c>
      <c r="B2096" s="481" t="s">
        <v>308</v>
      </c>
      <c r="C2096" s="848"/>
      <c r="D2096" s="854"/>
      <c r="E2096" s="481">
        <v>1</v>
      </c>
      <c r="F2096" s="291" t="s">
        <v>11685</v>
      </c>
      <c r="G2096" s="481" t="s">
        <v>143</v>
      </c>
      <c r="H2096" s="481">
        <v>31.8</v>
      </c>
      <c r="I2096" s="854"/>
      <c r="J2096" s="568"/>
      <c r="K2096" s="300">
        <v>521964.88</v>
      </c>
    </row>
    <row r="2097" spans="1:11" x14ac:dyDescent="0.2">
      <c r="A2097" s="457" t="s">
        <v>8749</v>
      </c>
      <c r="B2097" s="481" t="s">
        <v>308</v>
      </c>
      <c r="C2097" s="848"/>
      <c r="D2097" s="854"/>
      <c r="E2097" s="481">
        <v>2</v>
      </c>
      <c r="F2097" s="291" t="s">
        <v>11686</v>
      </c>
      <c r="G2097" s="481" t="s">
        <v>143</v>
      </c>
      <c r="H2097" s="481">
        <v>31.8</v>
      </c>
      <c r="I2097" s="854"/>
      <c r="J2097" s="568"/>
      <c r="K2097" s="300">
        <v>521964.88</v>
      </c>
    </row>
    <row r="2098" spans="1:11" x14ac:dyDescent="0.2">
      <c r="A2098" s="457" t="s">
        <v>8750</v>
      </c>
      <c r="B2098" s="481" t="s">
        <v>308</v>
      </c>
      <c r="C2098" s="849"/>
      <c r="D2098" s="855"/>
      <c r="E2098" s="481">
        <v>4</v>
      </c>
      <c r="F2098" s="291" t="s">
        <v>11687</v>
      </c>
      <c r="G2098" s="481" t="s">
        <v>143</v>
      </c>
      <c r="H2098" s="481">
        <v>31.6</v>
      </c>
      <c r="I2098" s="855"/>
      <c r="J2098" s="568"/>
      <c r="K2098" s="300">
        <v>518682.08</v>
      </c>
    </row>
    <row r="2099" spans="1:11" ht="48" x14ac:dyDescent="0.2">
      <c r="A2099" s="456" t="s">
        <v>8844</v>
      </c>
      <c r="B2099" s="481"/>
      <c r="C2099" s="847" t="s">
        <v>13287</v>
      </c>
      <c r="D2099" s="853" t="s">
        <v>6183</v>
      </c>
      <c r="E2099" s="505"/>
      <c r="F2099" s="291" t="s">
        <v>9160</v>
      </c>
      <c r="G2099" s="303" t="s">
        <v>9159</v>
      </c>
      <c r="H2099" s="569">
        <v>0</v>
      </c>
      <c r="I2099" s="853">
        <v>2016</v>
      </c>
      <c r="J2099" s="568"/>
      <c r="K2099" s="568"/>
    </row>
    <row r="2100" spans="1:11" x14ac:dyDescent="0.2">
      <c r="A2100" s="457" t="s">
        <v>8845</v>
      </c>
      <c r="B2100" s="481" t="s">
        <v>308</v>
      </c>
      <c r="C2100" s="848"/>
      <c r="D2100" s="854"/>
      <c r="E2100" s="481">
        <v>1</v>
      </c>
      <c r="F2100" s="291" t="s">
        <v>11688</v>
      </c>
      <c r="G2100" s="481" t="s">
        <v>143</v>
      </c>
      <c r="H2100" s="481">
        <v>31.6</v>
      </c>
      <c r="I2100" s="854"/>
      <c r="J2100" s="486"/>
      <c r="K2100" s="300">
        <v>518682.08</v>
      </c>
    </row>
    <row r="2101" spans="1:11" ht="12.75" customHeight="1" x14ac:dyDescent="0.2">
      <c r="A2101" s="457" t="s">
        <v>8846</v>
      </c>
      <c r="B2101" s="481" t="s">
        <v>308</v>
      </c>
      <c r="C2101" s="848"/>
      <c r="D2101" s="854"/>
      <c r="E2101" s="481">
        <v>2</v>
      </c>
      <c r="F2101" s="291" t="s">
        <v>11689</v>
      </c>
      <c r="G2101" s="481" t="s">
        <v>143</v>
      </c>
      <c r="H2101" s="481">
        <v>29.3</v>
      </c>
      <c r="I2101" s="854"/>
      <c r="J2101" s="486"/>
      <c r="K2101" s="300">
        <v>480929.91</v>
      </c>
    </row>
    <row r="2102" spans="1:11" ht="48.75" customHeight="1" x14ac:dyDescent="0.2">
      <c r="A2102" s="457" t="s">
        <v>8847</v>
      </c>
      <c r="B2102" s="481" t="s">
        <v>308</v>
      </c>
      <c r="C2102" s="849"/>
      <c r="D2102" s="855"/>
      <c r="E2102" s="481">
        <v>4</v>
      </c>
      <c r="F2102" s="291" t="s">
        <v>11690</v>
      </c>
      <c r="G2102" s="481" t="s">
        <v>143</v>
      </c>
      <c r="H2102" s="481">
        <v>31.7</v>
      </c>
      <c r="I2102" s="855"/>
      <c r="J2102" s="486"/>
      <c r="K2102" s="300">
        <v>520323.48</v>
      </c>
    </row>
    <row r="2103" spans="1:11" ht="33.75" customHeight="1" x14ac:dyDescent="0.2">
      <c r="A2103" s="456" t="s">
        <v>9405</v>
      </c>
      <c r="B2103" s="2" t="s">
        <v>9408</v>
      </c>
      <c r="C2103" s="628" t="s">
        <v>14696</v>
      </c>
      <c r="D2103" s="627">
        <v>4</v>
      </c>
      <c r="E2103" s="482"/>
      <c r="F2103" s="2" t="s">
        <v>9406</v>
      </c>
      <c r="G2103" s="244" t="s">
        <v>9407</v>
      </c>
      <c r="H2103" s="481">
        <v>41.3</v>
      </c>
      <c r="I2103" s="627">
        <v>1961</v>
      </c>
      <c r="J2103" s="573">
        <v>1063227</v>
      </c>
      <c r="K2103" s="390">
        <v>408015.92</v>
      </c>
    </row>
    <row r="2104" spans="1:11" ht="38.25" x14ac:dyDescent="0.2">
      <c r="A2104" s="456" t="s">
        <v>10549</v>
      </c>
      <c r="B2104" s="2" t="s">
        <v>9408</v>
      </c>
      <c r="C2104" s="628" t="s">
        <v>14697</v>
      </c>
      <c r="D2104" s="627">
        <v>9</v>
      </c>
      <c r="E2104" s="482"/>
      <c r="F2104" s="2" t="s">
        <v>11691</v>
      </c>
      <c r="G2104" s="482" t="s">
        <v>11692</v>
      </c>
      <c r="H2104" s="481">
        <v>36.200000000000003</v>
      </c>
      <c r="I2104" s="627">
        <v>1962</v>
      </c>
      <c r="J2104" s="512"/>
      <c r="K2104" s="370">
        <v>288409.38</v>
      </c>
    </row>
    <row r="2105" spans="1:11" ht="18" customHeight="1" x14ac:dyDescent="0.2">
      <c r="A2105" s="456" t="s">
        <v>10604</v>
      </c>
      <c r="B2105" s="2"/>
      <c r="C2105" s="869" t="s">
        <v>14698</v>
      </c>
      <c r="D2105" s="871" t="s">
        <v>10605</v>
      </c>
      <c r="E2105" s="482"/>
      <c r="F2105" s="2" t="s">
        <v>10616</v>
      </c>
      <c r="G2105" s="482" t="s">
        <v>10621</v>
      </c>
      <c r="H2105" s="569">
        <f>608.9-608.9</f>
        <v>0</v>
      </c>
      <c r="I2105" s="871">
        <v>2016</v>
      </c>
      <c r="J2105" s="573">
        <f>19214448.4-19214448.4</f>
        <v>0</v>
      </c>
      <c r="K2105" s="570">
        <v>9486557.6899999995</v>
      </c>
    </row>
    <row r="2106" spans="1:11" ht="18" customHeight="1" x14ac:dyDescent="0.2">
      <c r="A2106" s="575" t="s">
        <v>10607</v>
      </c>
      <c r="B2106" s="467" t="s">
        <v>308</v>
      </c>
      <c r="C2106" s="870"/>
      <c r="D2106" s="872"/>
      <c r="E2106" s="482">
        <v>1</v>
      </c>
      <c r="F2106" s="2" t="s">
        <v>10606</v>
      </c>
      <c r="G2106" s="482" t="s">
        <v>143</v>
      </c>
      <c r="H2106" s="569">
        <v>43</v>
      </c>
      <c r="I2106" s="872"/>
      <c r="J2106" s="573">
        <f>19214448.4/608.9*H2106</f>
        <v>1356908</v>
      </c>
      <c r="K2106" s="570">
        <v>564441.65</v>
      </c>
    </row>
    <row r="2107" spans="1:11" ht="19.5" customHeight="1" x14ac:dyDescent="0.2">
      <c r="A2107" s="575" t="s">
        <v>10608</v>
      </c>
      <c r="B2107" s="467" t="s">
        <v>308</v>
      </c>
      <c r="C2107" s="870"/>
      <c r="D2107" s="872"/>
      <c r="E2107" s="482">
        <v>6</v>
      </c>
      <c r="F2107" s="2" t="s">
        <v>10619</v>
      </c>
      <c r="G2107" s="482" t="s">
        <v>543</v>
      </c>
      <c r="H2107" s="569">
        <v>37.6</v>
      </c>
      <c r="I2107" s="872"/>
      <c r="J2107" s="573">
        <f t="shared" ref="J2107:J2110" si="29">19214448.4/608.9*H2107</f>
        <v>1186505.6000000001</v>
      </c>
      <c r="K2107" s="570">
        <v>493558.28</v>
      </c>
    </row>
    <row r="2108" spans="1:11" ht="18" customHeight="1" x14ac:dyDescent="0.2">
      <c r="A2108" s="575" t="s">
        <v>10609</v>
      </c>
      <c r="B2108" s="467" t="s">
        <v>308</v>
      </c>
      <c r="C2108" s="870"/>
      <c r="D2108" s="872"/>
      <c r="E2108" s="482">
        <v>9</v>
      </c>
      <c r="F2108" s="2" t="s">
        <v>10620</v>
      </c>
      <c r="G2108" s="482" t="s">
        <v>134</v>
      </c>
      <c r="H2108" s="569">
        <v>37.6</v>
      </c>
      <c r="I2108" s="872"/>
      <c r="J2108" s="573">
        <f t="shared" si="29"/>
        <v>1186505.6000000001</v>
      </c>
      <c r="K2108" s="570">
        <v>493558.28</v>
      </c>
    </row>
    <row r="2109" spans="1:11" x14ac:dyDescent="0.2">
      <c r="A2109" s="575" t="s">
        <v>10610</v>
      </c>
      <c r="B2109" s="467" t="s">
        <v>308</v>
      </c>
      <c r="C2109" s="870"/>
      <c r="D2109" s="872"/>
      <c r="E2109" s="482">
        <v>10</v>
      </c>
      <c r="F2109" s="2" t="s">
        <v>10617</v>
      </c>
      <c r="G2109" s="482" t="s">
        <v>143</v>
      </c>
      <c r="H2109" s="569">
        <v>38.700000000000003</v>
      </c>
      <c r="I2109" s="872"/>
      <c r="J2109" s="573">
        <f t="shared" si="29"/>
        <v>1221217.2000000002</v>
      </c>
      <c r="K2109" s="570">
        <v>507997.49</v>
      </c>
    </row>
    <row r="2110" spans="1:11" x14ac:dyDescent="0.2">
      <c r="A2110" s="575" t="s">
        <v>10611</v>
      </c>
      <c r="B2110" s="467" t="s">
        <v>308</v>
      </c>
      <c r="C2110" s="870"/>
      <c r="D2110" s="872"/>
      <c r="E2110" s="482">
        <v>12</v>
      </c>
      <c r="F2110" s="2" t="s">
        <v>10618</v>
      </c>
      <c r="G2110" s="482" t="s">
        <v>143</v>
      </c>
      <c r="H2110" s="569">
        <v>31.6</v>
      </c>
      <c r="I2110" s="872"/>
      <c r="J2110" s="573">
        <f t="shared" si="29"/>
        <v>997169.60000000009</v>
      </c>
      <c r="K2110" s="570">
        <v>414798.98</v>
      </c>
    </row>
    <row r="2111" spans="1:11" x14ac:dyDescent="0.2">
      <c r="A2111" s="575" t="s">
        <v>10954</v>
      </c>
      <c r="B2111" s="467" t="s">
        <v>308</v>
      </c>
      <c r="C2111" s="870"/>
      <c r="D2111" s="872"/>
      <c r="E2111" s="482">
        <v>17</v>
      </c>
      <c r="F2111" s="2" t="s">
        <v>10955</v>
      </c>
      <c r="G2111" s="482" t="s">
        <v>134</v>
      </c>
      <c r="H2111" s="569">
        <v>26.8</v>
      </c>
      <c r="I2111" s="872"/>
      <c r="J2111" s="573">
        <v>862799.2</v>
      </c>
      <c r="K2111" s="570">
        <v>351791.54</v>
      </c>
    </row>
    <row r="2112" spans="1:11" x14ac:dyDescent="0.2">
      <c r="A2112" s="575" t="s">
        <v>13630</v>
      </c>
      <c r="B2112" s="467" t="s">
        <v>308</v>
      </c>
      <c r="C2112" s="870"/>
      <c r="D2112" s="872"/>
      <c r="E2112" s="482">
        <v>13</v>
      </c>
      <c r="F2112" s="2" t="s">
        <v>13631</v>
      </c>
      <c r="G2112" s="482" t="s">
        <v>543</v>
      </c>
      <c r="H2112" s="680">
        <v>38.700000000000003</v>
      </c>
      <c r="I2112" s="872"/>
      <c r="J2112" s="573">
        <v>924000</v>
      </c>
      <c r="K2112" s="570">
        <v>507997.49</v>
      </c>
    </row>
    <row r="2113" spans="1:11" x14ac:dyDescent="0.2">
      <c r="A2113" s="811" t="s">
        <v>14713</v>
      </c>
      <c r="B2113" s="760" t="s">
        <v>308</v>
      </c>
      <c r="C2113" s="870"/>
      <c r="D2113" s="872"/>
      <c r="E2113" s="760">
        <v>18</v>
      </c>
      <c r="F2113" s="767" t="s">
        <v>14714</v>
      </c>
      <c r="G2113" s="760" t="s">
        <v>134</v>
      </c>
      <c r="H2113" s="812">
        <v>31.6</v>
      </c>
      <c r="I2113" s="872"/>
      <c r="J2113" s="809">
        <v>1021343.6</v>
      </c>
      <c r="K2113" s="809">
        <v>414798.98</v>
      </c>
    </row>
    <row r="2114" spans="1:11" x14ac:dyDescent="0.2">
      <c r="A2114" s="811" t="s">
        <v>14837</v>
      </c>
      <c r="B2114" s="760" t="s">
        <v>308</v>
      </c>
      <c r="C2114" s="894"/>
      <c r="D2114" s="876"/>
      <c r="E2114" s="760">
        <v>8</v>
      </c>
      <c r="F2114" s="767" t="s">
        <v>14838</v>
      </c>
      <c r="G2114" s="760" t="s">
        <v>134</v>
      </c>
      <c r="H2114" s="812">
        <v>34.200000000000003</v>
      </c>
      <c r="I2114" s="876"/>
      <c r="J2114" s="809">
        <v>1009311.6</v>
      </c>
      <c r="K2114" s="809">
        <v>448928.01</v>
      </c>
    </row>
    <row r="2115" spans="1:11" ht="25.5" customHeight="1" x14ac:dyDescent="0.2">
      <c r="A2115" s="456" t="s">
        <v>10612</v>
      </c>
      <c r="B2115" s="2"/>
      <c r="C2115" s="869" t="s">
        <v>14699</v>
      </c>
      <c r="D2115" s="871" t="s">
        <v>3210</v>
      </c>
      <c r="E2115" s="482"/>
      <c r="F2115" s="2" t="s">
        <v>10622</v>
      </c>
      <c r="G2115" s="482" t="s">
        <v>10621</v>
      </c>
      <c r="H2115" s="569">
        <f>660.8-660.8</f>
        <v>0</v>
      </c>
      <c r="I2115" s="871">
        <v>2016</v>
      </c>
      <c r="J2115" s="573">
        <f>20852204.8-20852204.8</f>
        <v>0</v>
      </c>
      <c r="K2115" s="570"/>
    </row>
    <row r="2116" spans="1:11" ht="14.25" customHeight="1" x14ac:dyDescent="0.2">
      <c r="A2116" s="575" t="s">
        <v>10613</v>
      </c>
      <c r="B2116" s="467" t="s">
        <v>308</v>
      </c>
      <c r="C2116" s="870"/>
      <c r="D2116" s="872"/>
      <c r="E2116" s="482">
        <v>1</v>
      </c>
      <c r="F2116" s="2" t="s">
        <v>10633</v>
      </c>
      <c r="G2116" s="482" t="s">
        <v>143</v>
      </c>
      <c r="H2116" s="569">
        <v>40.799999999999997</v>
      </c>
      <c r="I2116" s="872"/>
      <c r="J2116" s="573">
        <f>20852204.8/660.8*H2116</f>
        <v>1287484.8</v>
      </c>
      <c r="K2116" s="570">
        <v>535563.24</v>
      </c>
    </row>
    <row r="2117" spans="1:11" ht="14.25" customHeight="1" x14ac:dyDescent="0.2">
      <c r="A2117" s="575" t="s">
        <v>10614</v>
      </c>
      <c r="B2117" s="467" t="s">
        <v>308</v>
      </c>
      <c r="C2117" s="870"/>
      <c r="D2117" s="872"/>
      <c r="E2117" s="482">
        <v>2</v>
      </c>
      <c r="F2117" s="2" t="s">
        <v>12000</v>
      </c>
      <c r="G2117" s="482" t="s">
        <v>143</v>
      </c>
      <c r="H2117" s="569">
        <v>34.200000000000003</v>
      </c>
      <c r="I2117" s="872"/>
      <c r="J2117" s="573">
        <f t="shared" ref="J2117:J2123" si="30">20852204.8/660.8*H2117</f>
        <v>1079215.2000000002</v>
      </c>
      <c r="K2117" s="570">
        <v>448928.01</v>
      </c>
    </row>
    <row r="2118" spans="1:11" ht="14.25" customHeight="1" x14ac:dyDescent="0.2">
      <c r="A2118" s="575" t="s">
        <v>10615</v>
      </c>
      <c r="B2118" s="467" t="s">
        <v>308</v>
      </c>
      <c r="C2118" s="870"/>
      <c r="D2118" s="872"/>
      <c r="E2118" s="482">
        <v>8</v>
      </c>
      <c r="F2118" s="2" t="s">
        <v>10632</v>
      </c>
      <c r="G2118" s="482" t="s">
        <v>134</v>
      </c>
      <c r="H2118" s="569">
        <v>34.200000000000003</v>
      </c>
      <c r="I2118" s="872"/>
      <c r="J2118" s="573">
        <f t="shared" si="30"/>
        <v>1079215.2000000002</v>
      </c>
      <c r="K2118" s="570">
        <v>448928.01</v>
      </c>
    </row>
    <row r="2119" spans="1:11" ht="14.25" customHeight="1" x14ac:dyDescent="0.2">
      <c r="A2119" s="575" t="s">
        <v>10623</v>
      </c>
      <c r="B2119" s="467" t="s">
        <v>308</v>
      </c>
      <c r="C2119" s="870"/>
      <c r="D2119" s="872"/>
      <c r="E2119" s="482">
        <v>12</v>
      </c>
      <c r="F2119" s="2" t="s">
        <v>10628</v>
      </c>
      <c r="G2119" s="482" t="s">
        <v>143</v>
      </c>
      <c r="H2119" s="569">
        <v>38.5</v>
      </c>
      <c r="I2119" s="872"/>
      <c r="J2119" s="573">
        <f t="shared" si="30"/>
        <v>1214906.0000000002</v>
      </c>
      <c r="K2119" s="570">
        <v>505372.18</v>
      </c>
    </row>
    <row r="2120" spans="1:11" ht="14.25" customHeight="1" x14ac:dyDescent="0.2">
      <c r="A2120" s="575" t="s">
        <v>10624</v>
      </c>
      <c r="B2120" s="467" t="s">
        <v>308</v>
      </c>
      <c r="C2120" s="870"/>
      <c r="D2120" s="872"/>
      <c r="E2120" s="482">
        <v>13</v>
      </c>
      <c r="F2120" s="2" t="s">
        <v>10629</v>
      </c>
      <c r="G2120" s="482" t="s">
        <v>143</v>
      </c>
      <c r="H2120" s="569">
        <v>31.4</v>
      </c>
      <c r="I2120" s="872"/>
      <c r="J2120" s="573">
        <f t="shared" si="30"/>
        <v>990858.4</v>
      </c>
      <c r="K2120" s="570">
        <v>412173.67</v>
      </c>
    </row>
    <row r="2121" spans="1:11" ht="16.5" customHeight="1" x14ac:dyDescent="0.2">
      <c r="A2121" s="575" t="s">
        <v>10625</v>
      </c>
      <c r="B2121" s="467" t="s">
        <v>308</v>
      </c>
      <c r="C2121" s="870"/>
      <c r="D2121" s="872"/>
      <c r="E2121" s="482">
        <v>15</v>
      </c>
      <c r="F2121" s="2" t="s">
        <v>10630</v>
      </c>
      <c r="G2121" s="482" t="s">
        <v>543</v>
      </c>
      <c r="H2121" s="569">
        <v>33.299999999999997</v>
      </c>
      <c r="I2121" s="872"/>
      <c r="J2121" s="573">
        <f t="shared" si="30"/>
        <v>1050814.8</v>
      </c>
      <c r="K2121" s="570">
        <v>437114.12</v>
      </c>
    </row>
    <row r="2122" spans="1:11" x14ac:dyDescent="0.2">
      <c r="A2122" s="575" t="s">
        <v>10626</v>
      </c>
      <c r="B2122" s="467" t="s">
        <v>308</v>
      </c>
      <c r="C2122" s="870"/>
      <c r="D2122" s="872"/>
      <c r="E2122" s="482">
        <v>19</v>
      </c>
      <c r="F2122" s="2" t="s">
        <v>11693</v>
      </c>
      <c r="G2122" s="482" t="s">
        <v>134</v>
      </c>
      <c r="H2122" s="481">
        <v>33.299999999999997</v>
      </c>
      <c r="I2122" s="872"/>
      <c r="J2122" s="573">
        <f t="shared" si="30"/>
        <v>1050814.8</v>
      </c>
      <c r="K2122" s="487">
        <v>437114.12</v>
      </c>
    </row>
    <row r="2123" spans="1:11" x14ac:dyDescent="0.2">
      <c r="A2123" s="575" t="s">
        <v>10627</v>
      </c>
      <c r="B2123" s="467" t="s">
        <v>308</v>
      </c>
      <c r="C2123" s="870"/>
      <c r="D2123" s="872"/>
      <c r="E2123" s="482">
        <v>21</v>
      </c>
      <c r="F2123" s="2" t="s">
        <v>10631</v>
      </c>
      <c r="G2123" s="482" t="s">
        <v>134</v>
      </c>
      <c r="H2123" s="481">
        <v>31.4</v>
      </c>
      <c r="I2123" s="872"/>
      <c r="J2123" s="573">
        <f t="shared" si="30"/>
        <v>990858.4</v>
      </c>
      <c r="K2123" s="487">
        <v>412173.67</v>
      </c>
    </row>
    <row r="2124" spans="1:11" x14ac:dyDescent="0.2">
      <c r="A2124" s="575" t="s">
        <v>10952</v>
      </c>
      <c r="B2124" s="467" t="s">
        <v>308</v>
      </c>
      <c r="C2124" s="870"/>
      <c r="D2124" s="872"/>
      <c r="E2124" s="482">
        <v>7</v>
      </c>
      <c r="F2124" s="2" t="s">
        <v>10953</v>
      </c>
      <c r="G2124" s="482" t="s">
        <v>134</v>
      </c>
      <c r="H2124" s="481">
        <v>40.799999999999997</v>
      </c>
      <c r="I2124" s="872"/>
      <c r="J2124" s="573">
        <v>1313515.2</v>
      </c>
      <c r="K2124" s="487">
        <v>535563.24</v>
      </c>
    </row>
    <row r="2125" spans="1:11" ht="25.5" x14ac:dyDescent="0.2">
      <c r="A2125" s="456" t="s">
        <v>10728</v>
      </c>
      <c r="B2125" s="467"/>
      <c r="C2125" s="869" t="s">
        <v>14700</v>
      </c>
      <c r="D2125" s="871" t="s">
        <v>10732</v>
      </c>
      <c r="E2125" s="482"/>
      <c r="F2125" s="2" t="s">
        <v>10731</v>
      </c>
      <c r="G2125" s="482" t="s">
        <v>6209</v>
      </c>
      <c r="H2125" s="481"/>
      <c r="I2125" s="871">
        <v>2017</v>
      </c>
      <c r="J2125" s="576">
        <f>11793132.6-11793132.6</f>
        <v>0</v>
      </c>
      <c r="K2125" s="487">
        <v>9230693.6500000004</v>
      </c>
    </row>
    <row r="2126" spans="1:11" ht="14.25" customHeight="1" x14ac:dyDescent="0.2">
      <c r="A2126" s="575" t="s">
        <v>10729</v>
      </c>
      <c r="B2126" s="467" t="s">
        <v>308</v>
      </c>
      <c r="C2126" s="870"/>
      <c r="D2126" s="872"/>
      <c r="E2126" s="574" t="s">
        <v>354</v>
      </c>
      <c r="F2126" s="2" t="s">
        <v>10733</v>
      </c>
      <c r="G2126" s="482" t="s">
        <v>543</v>
      </c>
      <c r="H2126" s="481">
        <v>24.5</v>
      </c>
      <c r="I2126" s="872"/>
      <c r="J2126" s="487">
        <v>775875.4</v>
      </c>
      <c r="K2126" s="487">
        <v>195194.2</v>
      </c>
    </row>
    <row r="2127" spans="1:11" ht="12.75" customHeight="1" x14ac:dyDescent="0.2">
      <c r="A2127" s="575" t="s">
        <v>10730</v>
      </c>
      <c r="B2127" s="467" t="s">
        <v>308</v>
      </c>
      <c r="C2127" s="870"/>
      <c r="D2127" s="872"/>
      <c r="E2127" s="467">
        <v>8</v>
      </c>
      <c r="F2127" s="2" t="s">
        <v>10734</v>
      </c>
      <c r="G2127" s="482" t="s">
        <v>543</v>
      </c>
      <c r="H2127" s="481">
        <v>27.3</v>
      </c>
      <c r="I2127" s="872"/>
      <c r="J2127" s="487">
        <v>878896.2</v>
      </c>
      <c r="K2127" s="487">
        <v>217502.1</v>
      </c>
    </row>
    <row r="2128" spans="1:11" ht="12.75" customHeight="1" x14ac:dyDescent="0.2">
      <c r="A2128" s="456" t="s">
        <v>10889</v>
      </c>
      <c r="B2128" s="382"/>
      <c r="C2128" s="847" t="s">
        <v>13288</v>
      </c>
      <c r="D2128" s="853" t="s">
        <v>10891</v>
      </c>
      <c r="E2128" s="481"/>
      <c r="F2128" s="196"/>
      <c r="G2128" s="481" t="s">
        <v>10895</v>
      </c>
      <c r="H2128" s="481"/>
      <c r="I2128" s="853">
        <v>2017</v>
      </c>
      <c r="J2128" s="494">
        <v>51169143.600000001</v>
      </c>
      <c r="K2128" s="487"/>
    </row>
    <row r="2129" spans="1:11" x14ac:dyDescent="0.2">
      <c r="A2129" s="457" t="s">
        <v>10890</v>
      </c>
      <c r="B2129" s="382" t="s">
        <v>308</v>
      </c>
      <c r="C2129" s="848"/>
      <c r="D2129" s="854"/>
      <c r="E2129" s="481">
        <v>2</v>
      </c>
      <c r="F2129" s="196" t="s">
        <v>10899</v>
      </c>
      <c r="G2129" s="481" t="s">
        <v>143</v>
      </c>
      <c r="H2129" s="481">
        <v>58.8</v>
      </c>
      <c r="I2129" s="854"/>
      <c r="J2129" s="494">
        <v>1909104.2</v>
      </c>
      <c r="K2129" s="487">
        <v>958201.27</v>
      </c>
    </row>
    <row r="2130" spans="1:11" ht="25.5" customHeight="1" x14ac:dyDescent="0.2">
      <c r="A2130" s="457" t="s">
        <v>10892</v>
      </c>
      <c r="B2130" s="382" t="s">
        <v>308</v>
      </c>
      <c r="C2130" s="848"/>
      <c r="D2130" s="854"/>
      <c r="E2130" s="481">
        <v>11</v>
      </c>
      <c r="F2130" s="196" t="s">
        <v>10897</v>
      </c>
      <c r="G2130" s="481" t="s">
        <v>538</v>
      </c>
      <c r="H2130" s="481">
        <v>58.8</v>
      </c>
      <c r="I2130" s="854"/>
      <c r="J2130" s="494">
        <v>1909104.2</v>
      </c>
      <c r="K2130" s="487">
        <v>958201.27</v>
      </c>
    </row>
    <row r="2131" spans="1:11" x14ac:dyDescent="0.2">
      <c r="A2131" s="457" t="s">
        <v>10893</v>
      </c>
      <c r="B2131" s="382" t="s">
        <v>308</v>
      </c>
      <c r="C2131" s="848"/>
      <c r="D2131" s="854"/>
      <c r="E2131" s="481">
        <v>15</v>
      </c>
      <c r="F2131" s="196" t="s">
        <v>10898</v>
      </c>
      <c r="G2131" s="481" t="s">
        <v>133</v>
      </c>
      <c r="H2131" s="481">
        <v>52.7</v>
      </c>
      <c r="I2131" s="854"/>
      <c r="J2131" s="494">
        <v>1699843.2</v>
      </c>
      <c r="K2131" s="487">
        <v>858796.04</v>
      </c>
    </row>
    <row r="2132" spans="1:11" x14ac:dyDescent="0.2">
      <c r="A2132" s="457" t="s">
        <v>10894</v>
      </c>
      <c r="B2132" s="382" t="s">
        <v>308</v>
      </c>
      <c r="C2132" s="848"/>
      <c r="D2132" s="854"/>
      <c r="E2132" s="481">
        <v>17</v>
      </c>
      <c r="F2132" s="196" t="s">
        <v>10903</v>
      </c>
      <c r="G2132" s="481" t="s">
        <v>143</v>
      </c>
      <c r="H2132" s="481">
        <v>48.8</v>
      </c>
      <c r="I2132" s="854"/>
      <c r="J2132" s="494">
        <v>1564628.4</v>
      </c>
      <c r="K2132" s="487">
        <v>795241.87</v>
      </c>
    </row>
    <row r="2133" spans="1:11" x14ac:dyDescent="0.2">
      <c r="A2133" s="457" t="s">
        <v>10896</v>
      </c>
      <c r="B2133" s="382" t="s">
        <v>308</v>
      </c>
      <c r="C2133" s="848"/>
      <c r="D2133" s="854"/>
      <c r="E2133" s="481">
        <v>28</v>
      </c>
      <c r="F2133" s="196" t="s">
        <v>10900</v>
      </c>
      <c r="G2133" s="481" t="s">
        <v>133</v>
      </c>
      <c r="H2133" s="481">
        <v>55.9</v>
      </c>
      <c r="I2133" s="854"/>
      <c r="J2133" s="494">
        <v>1796425.2</v>
      </c>
      <c r="K2133" s="487">
        <v>910943.05</v>
      </c>
    </row>
    <row r="2134" spans="1:11" ht="25.5" customHeight="1" x14ac:dyDescent="0.2">
      <c r="A2134" s="456" t="s">
        <v>10909</v>
      </c>
      <c r="B2134" s="382"/>
      <c r="C2134" s="847" t="s">
        <v>13289</v>
      </c>
      <c r="D2134" s="853" t="s">
        <v>10910</v>
      </c>
      <c r="E2134" s="481"/>
      <c r="F2134" s="196" t="s">
        <v>10979</v>
      </c>
      <c r="G2134" s="481" t="s">
        <v>10988</v>
      </c>
      <c r="H2134" s="481"/>
      <c r="I2134" s="853">
        <v>2017</v>
      </c>
      <c r="J2134" s="494">
        <f>69307243.2+1075279.6</f>
        <v>70382522.799999997</v>
      </c>
      <c r="K2134" s="487"/>
    </row>
    <row r="2135" spans="1:11" x14ac:dyDescent="0.2">
      <c r="A2135" s="457" t="s">
        <v>10911</v>
      </c>
      <c r="B2135" s="382" t="s">
        <v>308</v>
      </c>
      <c r="C2135" s="848"/>
      <c r="D2135" s="854"/>
      <c r="E2135" s="481">
        <v>3</v>
      </c>
      <c r="F2135" s="196" t="s">
        <v>11694</v>
      </c>
      <c r="G2135" s="481" t="s">
        <v>143</v>
      </c>
      <c r="H2135" s="569">
        <v>50</v>
      </c>
      <c r="I2135" s="854"/>
      <c r="J2135" s="494">
        <v>1574286.6</v>
      </c>
      <c r="K2135" s="487">
        <v>718490</v>
      </c>
    </row>
    <row r="2136" spans="1:11" ht="13.5" customHeight="1" x14ac:dyDescent="0.2">
      <c r="A2136" s="457" t="s">
        <v>10912</v>
      </c>
      <c r="B2136" s="382" t="s">
        <v>308</v>
      </c>
      <c r="C2136" s="848"/>
      <c r="D2136" s="854"/>
      <c r="E2136" s="481">
        <v>5</v>
      </c>
      <c r="F2136" s="196" t="s">
        <v>10969</v>
      </c>
      <c r="G2136" s="481" t="s">
        <v>543</v>
      </c>
      <c r="H2136" s="569">
        <v>31.5</v>
      </c>
      <c r="I2136" s="854"/>
      <c r="J2136" s="494">
        <v>1007672.2</v>
      </c>
      <c r="K2136" s="487">
        <v>452648.7</v>
      </c>
    </row>
    <row r="2137" spans="1:11" x14ac:dyDescent="0.2">
      <c r="A2137" s="457" t="s">
        <v>10913</v>
      </c>
      <c r="B2137" s="382" t="s">
        <v>308</v>
      </c>
      <c r="C2137" s="848"/>
      <c r="D2137" s="854"/>
      <c r="E2137" s="481">
        <v>7</v>
      </c>
      <c r="F2137" s="196" t="s">
        <v>10970</v>
      </c>
      <c r="G2137" s="481" t="s">
        <v>543</v>
      </c>
      <c r="H2137" s="569">
        <v>49.6</v>
      </c>
      <c r="I2137" s="854"/>
      <c r="J2137" s="494">
        <v>1574286.6</v>
      </c>
      <c r="K2137" s="487">
        <v>712742.08</v>
      </c>
    </row>
    <row r="2138" spans="1:11" x14ac:dyDescent="0.2">
      <c r="A2138" s="457" t="s">
        <v>10914</v>
      </c>
      <c r="B2138" s="382" t="s">
        <v>308</v>
      </c>
      <c r="C2138" s="848"/>
      <c r="D2138" s="854"/>
      <c r="E2138" s="481">
        <v>10</v>
      </c>
      <c r="F2138" s="196" t="s">
        <v>10971</v>
      </c>
      <c r="G2138" s="481" t="s">
        <v>134</v>
      </c>
      <c r="H2138" s="569">
        <v>35.6</v>
      </c>
      <c r="I2138" s="854"/>
      <c r="J2138" s="494">
        <v>1142887</v>
      </c>
      <c r="K2138" s="487">
        <v>511564.88</v>
      </c>
    </row>
    <row r="2139" spans="1:11" x14ac:dyDescent="0.2">
      <c r="A2139" s="457" t="s">
        <v>10915</v>
      </c>
      <c r="B2139" s="382" t="s">
        <v>308</v>
      </c>
      <c r="C2139" s="848"/>
      <c r="D2139" s="854"/>
      <c r="E2139" s="481">
        <v>11</v>
      </c>
      <c r="F2139" s="196" t="s">
        <v>10972</v>
      </c>
      <c r="G2139" s="481" t="s">
        <v>134</v>
      </c>
      <c r="H2139" s="569">
        <v>49.5</v>
      </c>
      <c r="I2139" s="854"/>
      <c r="J2139" s="494">
        <v>1574286.6</v>
      </c>
      <c r="K2139" s="487">
        <v>711305.1</v>
      </c>
    </row>
    <row r="2140" spans="1:11" x14ac:dyDescent="0.2">
      <c r="A2140" s="457" t="s">
        <v>10916</v>
      </c>
      <c r="B2140" s="382" t="s">
        <v>308</v>
      </c>
      <c r="C2140" s="848"/>
      <c r="D2140" s="854"/>
      <c r="E2140" s="481">
        <v>14</v>
      </c>
      <c r="F2140" s="196" t="s">
        <v>10973</v>
      </c>
      <c r="G2140" s="481" t="s">
        <v>538</v>
      </c>
      <c r="H2140" s="569">
        <v>35.9</v>
      </c>
      <c r="I2140" s="854"/>
      <c r="J2140" s="494">
        <v>1142887</v>
      </c>
      <c r="K2140" s="487">
        <v>515875.82</v>
      </c>
    </row>
    <row r="2141" spans="1:11" x14ac:dyDescent="0.2">
      <c r="A2141" s="457" t="s">
        <v>10917</v>
      </c>
      <c r="B2141" s="382" t="s">
        <v>308</v>
      </c>
      <c r="C2141" s="848"/>
      <c r="D2141" s="854"/>
      <c r="E2141" s="481">
        <v>16</v>
      </c>
      <c r="F2141" s="196" t="s">
        <v>11695</v>
      </c>
      <c r="G2141" s="481" t="s">
        <v>133</v>
      </c>
      <c r="H2141" s="569">
        <v>31.5</v>
      </c>
      <c r="I2141" s="854"/>
      <c r="J2141" s="494">
        <v>1007672.2</v>
      </c>
      <c r="K2141" s="487">
        <v>452648.7</v>
      </c>
    </row>
    <row r="2142" spans="1:11" ht="15" customHeight="1" x14ac:dyDescent="0.2">
      <c r="A2142" s="457" t="s">
        <v>10918</v>
      </c>
      <c r="B2142" s="382" t="s">
        <v>308</v>
      </c>
      <c r="C2142" s="848"/>
      <c r="D2142" s="854"/>
      <c r="E2142" s="481">
        <v>18</v>
      </c>
      <c r="F2142" s="196" t="s">
        <v>10974</v>
      </c>
      <c r="G2142" s="481" t="s">
        <v>133</v>
      </c>
      <c r="H2142" s="569">
        <v>82.1</v>
      </c>
      <c r="I2142" s="854"/>
      <c r="J2142" s="494">
        <v>2588397.6</v>
      </c>
      <c r="K2142" s="487">
        <v>1179760.58</v>
      </c>
    </row>
    <row r="2143" spans="1:11" ht="12.75" customHeight="1" x14ac:dyDescent="0.2">
      <c r="A2143" s="457" t="s">
        <v>10919</v>
      </c>
      <c r="B2143" s="382" t="s">
        <v>308</v>
      </c>
      <c r="C2143" s="848"/>
      <c r="D2143" s="854"/>
      <c r="E2143" s="481">
        <v>22</v>
      </c>
      <c r="F2143" s="196" t="s">
        <v>10975</v>
      </c>
      <c r="G2143" s="481" t="s">
        <v>543</v>
      </c>
      <c r="H2143" s="569">
        <v>72.599999999999994</v>
      </c>
      <c r="I2143" s="854"/>
      <c r="J2143" s="494">
        <v>2317968</v>
      </c>
      <c r="K2143" s="487">
        <v>1043247.48</v>
      </c>
    </row>
    <row r="2144" spans="1:11" x14ac:dyDescent="0.2">
      <c r="A2144" s="457" t="s">
        <v>10920</v>
      </c>
      <c r="B2144" s="382" t="s">
        <v>308</v>
      </c>
      <c r="C2144" s="848"/>
      <c r="D2144" s="854"/>
      <c r="E2144" s="481">
        <v>23</v>
      </c>
      <c r="F2144" s="196" t="s">
        <v>10976</v>
      </c>
      <c r="G2144" s="481" t="s">
        <v>543</v>
      </c>
      <c r="H2144" s="569">
        <v>33.700000000000003</v>
      </c>
      <c r="I2144" s="854"/>
      <c r="J2144" s="494">
        <v>1075279.6000000001</v>
      </c>
      <c r="K2144" s="487">
        <v>484262.26</v>
      </c>
    </row>
    <row r="2145" spans="1:11" x14ac:dyDescent="0.2">
      <c r="A2145" s="457" t="s">
        <v>10921</v>
      </c>
      <c r="B2145" s="382" t="s">
        <v>308</v>
      </c>
      <c r="C2145" s="848"/>
      <c r="D2145" s="854"/>
      <c r="E2145" s="481">
        <v>24</v>
      </c>
      <c r="F2145" s="196" t="s">
        <v>10977</v>
      </c>
      <c r="G2145" s="481" t="s">
        <v>543</v>
      </c>
      <c r="H2145" s="569">
        <v>47.9</v>
      </c>
      <c r="I2145" s="854"/>
      <c r="J2145" s="494">
        <v>1535653.8</v>
      </c>
      <c r="K2145" s="487">
        <v>688313.42</v>
      </c>
    </row>
    <row r="2146" spans="1:11" x14ac:dyDescent="0.2">
      <c r="A2146" s="457" t="s">
        <v>10922</v>
      </c>
      <c r="B2146" s="382" t="s">
        <v>308</v>
      </c>
      <c r="C2146" s="848"/>
      <c r="D2146" s="854"/>
      <c r="E2146" s="481">
        <v>26</v>
      </c>
      <c r="F2146" s="196" t="s">
        <v>10978</v>
      </c>
      <c r="G2146" s="481" t="s">
        <v>134</v>
      </c>
      <c r="H2146" s="569">
        <v>33.200000000000003</v>
      </c>
      <c r="I2146" s="854"/>
      <c r="J2146" s="494">
        <v>1075279.6000000001</v>
      </c>
      <c r="K2146" s="487">
        <v>477077.36</v>
      </c>
    </row>
    <row r="2147" spans="1:11" x14ac:dyDescent="0.2">
      <c r="A2147" s="457" t="s">
        <v>10923</v>
      </c>
      <c r="B2147" s="382" t="s">
        <v>308</v>
      </c>
      <c r="C2147" s="848"/>
      <c r="D2147" s="854"/>
      <c r="E2147" s="481">
        <v>27</v>
      </c>
      <c r="F2147" s="196" t="s">
        <v>10980</v>
      </c>
      <c r="G2147" s="481" t="s">
        <v>134</v>
      </c>
      <c r="H2147" s="569">
        <v>47.7</v>
      </c>
      <c r="I2147" s="854"/>
      <c r="J2147" s="494">
        <v>1535653.8</v>
      </c>
      <c r="K2147" s="487">
        <v>685439.46</v>
      </c>
    </row>
    <row r="2148" spans="1:11" x14ac:dyDescent="0.2">
      <c r="A2148" s="457" t="s">
        <v>10924</v>
      </c>
      <c r="B2148" s="382" t="s">
        <v>308</v>
      </c>
      <c r="C2148" s="848"/>
      <c r="D2148" s="854"/>
      <c r="E2148" s="481">
        <v>31</v>
      </c>
      <c r="F2148" s="196" t="s">
        <v>10981</v>
      </c>
      <c r="G2148" s="481" t="s">
        <v>133</v>
      </c>
      <c r="H2148" s="569">
        <v>73.5</v>
      </c>
      <c r="I2148" s="854"/>
      <c r="J2148" s="494">
        <v>2317968</v>
      </c>
      <c r="K2148" s="487">
        <v>1056180.3</v>
      </c>
    </row>
    <row r="2149" spans="1:11" x14ac:dyDescent="0.2">
      <c r="A2149" s="457" t="s">
        <v>10925</v>
      </c>
      <c r="B2149" s="382" t="s">
        <v>308</v>
      </c>
      <c r="C2149" s="848"/>
      <c r="D2149" s="854"/>
      <c r="E2149" s="481">
        <v>32</v>
      </c>
      <c r="F2149" s="196" t="s">
        <v>10982</v>
      </c>
      <c r="G2149" s="481" t="s">
        <v>133</v>
      </c>
      <c r="H2149" s="569">
        <v>33.799999999999997</v>
      </c>
      <c r="I2149" s="854"/>
      <c r="J2149" s="494">
        <v>1075279.6000000001</v>
      </c>
      <c r="K2149" s="487">
        <v>485699.24</v>
      </c>
    </row>
    <row r="2150" spans="1:11" ht="12.75" customHeight="1" x14ac:dyDescent="0.2">
      <c r="A2150" s="457" t="s">
        <v>10926</v>
      </c>
      <c r="B2150" s="382" t="s">
        <v>308</v>
      </c>
      <c r="C2150" s="848"/>
      <c r="D2150" s="854"/>
      <c r="E2150" s="481">
        <v>33</v>
      </c>
      <c r="F2150" s="196" t="s">
        <v>10983</v>
      </c>
      <c r="G2150" s="481" t="s">
        <v>133</v>
      </c>
      <c r="H2150" s="569">
        <v>48.6</v>
      </c>
      <c r="I2150" s="854"/>
      <c r="J2150" s="494">
        <v>1535653.8</v>
      </c>
      <c r="K2150" s="487">
        <v>698372.28</v>
      </c>
    </row>
    <row r="2151" spans="1:11" ht="12.75" customHeight="1" x14ac:dyDescent="0.2">
      <c r="A2151" s="457" t="s">
        <v>10927</v>
      </c>
      <c r="B2151" s="382" t="s">
        <v>308</v>
      </c>
      <c r="C2151" s="848"/>
      <c r="D2151" s="854"/>
      <c r="E2151" s="481">
        <v>34</v>
      </c>
      <c r="F2151" s="196" t="s">
        <v>10984</v>
      </c>
      <c r="G2151" s="481" t="s">
        <v>143</v>
      </c>
      <c r="H2151" s="569">
        <v>57.4</v>
      </c>
      <c r="I2151" s="854"/>
      <c r="J2151" s="494">
        <v>1796425.2</v>
      </c>
      <c r="K2151" s="487">
        <v>824826.52</v>
      </c>
    </row>
    <row r="2152" spans="1:11" ht="15.75" customHeight="1" x14ac:dyDescent="0.2">
      <c r="A2152" s="457" t="s">
        <v>10928</v>
      </c>
      <c r="B2152" s="382" t="s">
        <v>308</v>
      </c>
      <c r="C2152" s="848"/>
      <c r="D2152" s="854"/>
      <c r="E2152" s="481">
        <v>36</v>
      </c>
      <c r="F2152" s="196" t="s">
        <v>10985</v>
      </c>
      <c r="G2152" s="481" t="s">
        <v>143</v>
      </c>
      <c r="H2152" s="569">
        <v>55.5</v>
      </c>
      <c r="I2152" s="854"/>
      <c r="J2152" s="494">
        <v>1725598.4</v>
      </c>
      <c r="K2152" s="487">
        <v>797523.9</v>
      </c>
    </row>
    <row r="2153" spans="1:11" ht="15.75" customHeight="1" x14ac:dyDescent="0.2">
      <c r="A2153" s="457" t="s">
        <v>10929</v>
      </c>
      <c r="B2153" s="382" t="s">
        <v>308</v>
      </c>
      <c r="C2153" s="848"/>
      <c r="D2153" s="854"/>
      <c r="E2153" s="481">
        <v>38</v>
      </c>
      <c r="F2153" s="196" t="s">
        <v>10986</v>
      </c>
      <c r="G2153" s="481" t="s">
        <v>543</v>
      </c>
      <c r="H2153" s="569">
        <v>52.9</v>
      </c>
      <c r="I2153" s="854"/>
      <c r="J2153" s="494">
        <v>1690185</v>
      </c>
      <c r="K2153" s="487">
        <v>760162.42</v>
      </c>
    </row>
    <row r="2154" spans="1:11" ht="14.25" customHeight="1" x14ac:dyDescent="0.2">
      <c r="A2154" s="457" t="s">
        <v>10930</v>
      </c>
      <c r="B2154" s="382" t="s">
        <v>308</v>
      </c>
      <c r="C2154" s="848"/>
      <c r="D2154" s="854"/>
      <c r="E2154" s="481">
        <v>42</v>
      </c>
      <c r="F2154" s="196" t="s">
        <v>10987</v>
      </c>
      <c r="G2154" s="481" t="s">
        <v>134</v>
      </c>
      <c r="H2154" s="569">
        <v>54.6</v>
      </c>
      <c r="I2154" s="854"/>
      <c r="J2154" s="494">
        <v>1725598.4</v>
      </c>
      <c r="K2154" s="487">
        <v>784591.08</v>
      </c>
    </row>
    <row r="2155" spans="1:11" ht="12.75" customHeight="1" x14ac:dyDescent="0.2">
      <c r="A2155" s="457" t="s">
        <v>10931</v>
      </c>
      <c r="B2155" s="382" t="s">
        <v>308</v>
      </c>
      <c r="C2155" s="848"/>
      <c r="D2155" s="854"/>
      <c r="E2155" s="481">
        <v>48</v>
      </c>
      <c r="F2155" s="196" t="s">
        <v>11696</v>
      </c>
      <c r="G2155" s="481" t="s">
        <v>133</v>
      </c>
      <c r="H2155" s="569">
        <v>54.8</v>
      </c>
      <c r="I2155" s="854"/>
      <c r="J2155" s="494">
        <v>1725598.4</v>
      </c>
      <c r="K2155" s="487">
        <v>787465.04</v>
      </c>
    </row>
    <row r="2156" spans="1:11" ht="12.75" customHeight="1" x14ac:dyDescent="0.2">
      <c r="A2156" s="457" t="s">
        <v>10932</v>
      </c>
      <c r="B2156" s="382" t="s">
        <v>308</v>
      </c>
      <c r="C2156" s="848"/>
      <c r="D2156" s="854"/>
      <c r="E2156" s="481">
        <v>20</v>
      </c>
      <c r="F2156" s="196" t="s">
        <v>11697</v>
      </c>
      <c r="G2156" s="481" t="s">
        <v>143</v>
      </c>
      <c r="H2156" s="569">
        <v>33.9</v>
      </c>
      <c r="I2156" s="854"/>
      <c r="J2156" s="494">
        <v>1075279.6000000001</v>
      </c>
      <c r="K2156" s="487">
        <v>487136.22</v>
      </c>
    </row>
    <row r="2157" spans="1:11" ht="14.25" customHeight="1" x14ac:dyDescent="0.2">
      <c r="A2157" s="457" t="s">
        <v>12001</v>
      </c>
      <c r="B2157" s="382" t="s">
        <v>308</v>
      </c>
      <c r="C2157" s="848"/>
      <c r="D2157" s="854"/>
      <c r="E2157" s="577" t="s">
        <v>12002</v>
      </c>
      <c r="F2157" s="196" t="s">
        <v>12003</v>
      </c>
      <c r="G2157" s="481" t="s">
        <v>143</v>
      </c>
      <c r="H2157" s="569">
        <v>18.2</v>
      </c>
      <c r="I2157" s="854"/>
      <c r="J2157" s="494">
        <v>595026</v>
      </c>
      <c r="K2157" s="494">
        <v>261530.36</v>
      </c>
    </row>
    <row r="2158" spans="1:11" x14ac:dyDescent="0.2">
      <c r="A2158" s="457" t="s">
        <v>12004</v>
      </c>
      <c r="B2158" s="382" t="s">
        <v>308</v>
      </c>
      <c r="C2158" s="848"/>
      <c r="D2158" s="854"/>
      <c r="E2158" s="577">
        <v>19</v>
      </c>
      <c r="F2158" s="196" t="s">
        <v>12005</v>
      </c>
      <c r="G2158" s="481" t="s">
        <v>143</v>
      </c>
      <c r="H2158" s="569">
        <v>32.5</v>
      </c>
      <c r="I2158" s="854"/>
      <c r="J2158" s="494">
        <v>1074352.5</v>
      </c>
      <c r="K2158" s="494">
        <v>467018.5</v>
      </c>
    </row>
    <row r="2159" spans="1:11" x14ac:dyDescent="0.2">
      <c r="A2159" s="457" t="s">
        <v>12006</v>
      </c>
      <c r="B2159" s="382" t="s">
        <v>308</v>
      </c>
      <c r="C2159" s="848"/>
      <c r="D2159" s="854"/>
      <c r="E2159" s="577" t="s">
        <v>8019</v>
      </c>
      <c r="F2159" s="196" t="s">
        <v>12007</v>
      </c>
      <c r="G2159" s="481" t="s">
        <v>143</v>
      </c>
      <c r="H2159" s="569">
        <v>36.700000000000003</v>
      </c>
      <c r="I2159" s="854"/>
      <c r="J2159" s="494">
        <v>1090881</v>
      </c>
      <c r="K2159" s="494">
        <v>527371.66</v>
      </c>
    </row>
    <row r="2160" spans="1:11" x14ac:dyDescent="0.2">
      <c r="A2160" s="457" t="s">
        <v>12008</v>
      </c>
      <c r="B2160" s="382" t="s">
        <v>308</v>
      </c>
      <c r="C2160" s="848"/>
      <c r="D2160" s="854"/>
      <c r="E2160" s="577">
        <v>35</v>
      </c>
      <c r="F2160" s="196" t="s">
        <v>12009</v>
      </c>
      <c r="G2160" s="481" t="s">
        <v>143</v>
      </c>
      <c r="H2160" s="569">
        <v>33.6</v>
      </c>
      <c r="I2160" s="854"/>
      <c r="J2160" s="494">
        <v>1090881</v>
      </c>
      <c r="K2160" s="494">
        <v>482825.28</v>
      </c>
    </row>
    <row r="2161" spans="1:11" x14ac:dyDescent="0.2">
      <c r="A2161" s="457" t="s">
        <v>12010</v>
      </c>
      <c r="B2161" s="382" t="s">
        <v>308</v>
      </c>
      <c r="C2161" s="848"/>
      <c r="D2161" s="854"/>
      <c r="E2161" s="577">
        <v>8</v>
      </c>
      <c r="F2161" s="196" t="s">
        <v>12011</v>
      </c>
      <c r="G2161" s="481" t="s">
        <v>543</v>
      </c>
      <c r="H2161" s="569">
        <v>31.9</v>
      </c>
      <c r="I2161" s="854"/>
      <c r="J2161" s="494">
        <v>687252.05</v>
      </c>
      <c r="K2161" s="494">
        <v>458396.62</v>
      </c>
    </row>
    <row r="2162" spans="1:11" x14ac:dyDescent="0.2">
      <c r="A2162" s="457" t="s">
        <v>12721</v>
      </c>
      <c r="B2162" s="382" t="s">
        <v>308</v>
      </c>
      <c r="C2162" s="848"/>
      <c r="D2162" s="854"/>
      <c r="E2162" s="577">
        <v>1</v>
      </c>
      <c r="F2162" s="196" t="s">
        <v>12722</v>
      </c>
      <c r="G2162" s="481" t="s">
        <v>143</v>
      </c>
      <c r="H2162" s="564">
        <v>32.1</v>
      </c>
      <c r="I2162" s="854"/>
      <c r="J2162" s="494">
        <v>919249.3</v>
      </c>
      <c r="K2162" s="486">
        <v>461270.58</v>
      </c>
    </row>
    <row r="2163" spans="1:11" x14ac:dyDescent="0.2">
      <c r="A2163" s="457" t="s">
        <v>12723</v>
      </c>
      <c r="B2163" s="382" t="s">
        <v>308</v>
      </c>
      <c r="C2163" s="848"/>
      <c r="D2163" s="854"/>
      <c r="E2163" s="577">
        <v>9</v>
      </c>
      <c r="F2163" s="196" t="s">
        <v>12724</v>
      </c>
      <c r="G2163" s="481" t="s">
        <v>134</v>
      </c>
      <c r="H2163" s="564">
        <v>31.6</v>
      </c>
      <c r="I2163" s="854"/>
      <c r="J2163" s="494">
        <v>946249.3</v>
      </c>
      <c r="K2163" s="486">
        <v>454085.68</v>
      </c>
    </row>
    <row r="2164" spans="1:11" x14ac:dyDescent="0.2">
      <c r="A2164" s="575" t="s">
        <v>13624</v>
      </c>
      <c r="B2164" s="467" t="s">
        <v>308</v>
      </c>
      <c r="C2164" s="848"/>
      <c r="D2164" s="854"/>
      <c r="E2164" s="681">
        <v>43</v>
      </c>
      <c r="F2164" s="40" t="s">
        <v>13626</v>
      </c>
      <c r="G2164" s="482" t="s">
        <v>538</v>
      </c>
      <c r="H2164" s="682">
        <v>57</v>
      </c>
      <c r="I2164" s="854"/>
      <c r="J2164" s="487">
        <v>924000</v>
      </c>
      <c r="K2164" s="512">
        <v>819078.6</v>
      </c>
    </row>
    <row r="2165" spans="1:11" x14ac:dyDescent="0.2">
      <c r="A2165" s="575" t="s">
        <v>13625</v>
      </c>
      <c r="B2165" s="467" t="s">
        <v>308</v>
      </c>
      <c r="C2165" s="849"/>
      <c r="D2165" s="855"/>
      <c r="E2165" s="681">
        <v>44</v>
      </c>
      <c r="F2165" s="40" t="s">
        <v>13627</v>
      </c>
      <c r="G2165" s="482" t="s">
        <v>538</v>
      </c>
      <c r="H2165" s="682">
        <v>53.4</v>
      </c>
      <c r="I2165" s="855"/>
      <c r="J2165" s="487">
        <v>924000</v>
      </c>
      <c r="K2165" s="512">
        <v>767347.32</v>
      </c>
    </row>
    <row r="2166" spans="1:11" x14ac:dyDescent="0.2">
      <c r="A2166" s="456" t="s">
        <v>10933</v>
      </c>
      <c r="B2166" s="382"/>
      <c r="C2166" s="847" t="s">
        <v>13290</v>
      </c>
      <c r="D2166" s="853" t="s">
        <v>3210</v>
      </c>
      <c r="E2166" s="481"/>
      <c r="F2166" s="196"/>
      <c r="G2166" s="481"/>
      <c r="H2166" s="494">
        <f>(198.7+159.2)-357.9</f>
        <v>0</v>
      </c>
      <c r="I2166" s="853">
        <v>2017</v>
      </c>
      <c r="J2166" s="494">
        <f>6395338.1+1279067.62*4</f>
        <v>11511608.58</v>
      </c>
      <c r="K2166" s="487"/>
    </row>
    <row r="2167" spans="1:11" x14ac:dyDescent="0.2">
      <c r="A2167" s="457" t="s">
        <v>10934</v>
      </c>
      <c r="B2167" s="382" t="s">
        <v>308</v>
      </c>
      <c r="C2167" s="848"/>
      <c r="D2167" s="854"/>
      <c r="E2167" s="481">
        <v>30</v>
      </c>
      <c r="F2167" s="196" t="s">
        <v>10956</v>
      </c>
      <c r="G2167" s="481" t="s">
        <v>143</v>
      </c>
      <c r="H2167" s="481">
        <v>39.9</v>
      </c>
      <c r="I2167" s="854"/>
      <c r="J2167" s="494">
        <f>6395338.1/198.7*H2167</f>
        <v>1284217.3638147961</v>
      </c>
      <c r="K2167" s="487">
        <v>652580.46</v>
      </c>
    </row>
    <row r="2168" spans="1:11" ht="15" customHeight="1" x14ac:dyDescent="0.2">
      <c r="A2168" s="457" t="s">
        <v>13291</v>
      </c>
      <c r="B2168" s="382" t="s">
        <v>308</v>
      </c>
      <c r="C2168" s="848"/>
      <c r="D2168" s="854"/>
      <c r="E2168" s="481">
        <v>89</v>
      </c>
      <c r="F2168" s="196" t="s">
        <v>13292</v>
      </c>
      <c r="G2168" s="481" t="s">
        <v>2766</v>
      </c>
      <c r="H2168" s="481">
        <v>39.799999999999997</v>
      </c>
      <c r="I2168" s="854"/>
      <c r="J2168" s="494">
        <f t="shared" ref="J2168" si="31">6395338.1/198.7*H2168</f>
        <v>1280998.7739305485</v>
      </c>
      <c r="K2168" s="487">
        <v>650944.92000000004</v>
      </c>
    </row>
    <row r="2169" spans="1:11" ht="14.25" customHeight="1" x14ac:dyDescent="0.2">
      <c r="A2169" s="457" t="s">
        <v>10935</v>
      </c>
      <c r="B2169" s="382" t="s">
        <v>308</v>
      </c>
      <c r="C2169" s="848"/>
      <c r="D2169" s="854"/>
      <c r="E2169" s="481">
        <v>58</v>
      </c>
      <c r="F2169" s="196" t="s">
        <v>10957</v>
      </c>
      <c r="G2169" s="481" t="s">
        <v>2769</v>
      </c>
      <c r="H2169" s="481">
        <v>39.799999999999997</v>
      </c>
      <c r="I2169" s="854"/>
      <c r="J2169" s="494">
        <v>1279067.6200000001</v>
      </c>
      <c r="K2169" s="487">
        <v>650944.92000000004</v>
      </c>
    </row>
    <row r="2170" spans="1:11" ht="16.5" customHeight="1" x14ac:dyDescent="0.2">
      <c r="A2170" s="457" t="s">
        <v>10936</v>
      </c>
      <c r="B2170" s="382" t="s">
        <v>308</v>
      </c>
      <c r="C2170" s="848"/>
      <c r="D2170" s="854"/>
      <c r="E2170" s="481">
        <v>61</v>
      </c>
      <c r="F2170" s="196" t="s">
        <v>10958</v>
      </c>
      <c r="G2170" s="481" t="s">
        <v>2770</v>
      </c>
      <c r="H2170" s="481">
        <v>39.799999999999997</v>
      </c>
      <c r="I2170" s="854"/>
      <c r="J2170" s="494">
        <v>1279067.6200000001</v>
      </c>
      <c r="K2170" s="487">
        <v>650944.92000000004</v>
      </c>
    </row>
    <row r="2171" spans="1:11" ht="15" customHeight="1" x14ac:dyDescent="0.2">
      <c r="A2171" s="457" t="s">
        <v>10937</v>
      </c>
      <c r="B2171" s="382" t="s">
        <v>308</v>
      </c>
      <c r="C2171" s="849"/>
      <c r="D2171" s="855"/>
      <c r="E2171" s="481">
        <v>62</v>
      </c>
      <c r="F2171" s="196" t="s">
        <v>10959</v>
      </c>
      <c r="G2171" s="481" t="s">
        <v>2770</v>
      </c>
      <c r="H2171" s="481">
        <v>39.799999999999997</v>
      </c>
      <c r="I2171" s="855"/>
      <c r="J2171" s="494">
        <v>1279067.6200000001</v>
      </c>
      <c r="K2171" s="487">
        <v>650944.92000000004</v>
      </c>
    </row>
    <row r="2172" spans="1:11" ht="16.5" customHeight="1" x14ac:dyDescent="0.2">
      <c r="A2172" s="456" t="s">
        <v>10938</v>
      </c>
      <c r="B2172" s="382"/>
      <c r="C2172" s="865" t="s">
        <v>13293</v>
      </c>
      <c r="D2172" s="864" t="s">
        <v>10944</v>
      </c>
      <c r="E2172" s="481"/>
      <c r="F2172" s="196"/>
      <c r="G2172" s="481"/>
      <c r="H2172" s="481"/>
      <c r="I2172" s="864">
        <v>2017</v>
      </c>
      <c r="J2172" s="494">
        <f>39124080.44</f>
        <v>39124080.439999998</v>
      </c>
      <c r="K2172" s="487"/>
    </row>
    <row r="2173" spans="1:11" x14ac:dyDescent="0.2">
      <c r="A2173" s="457" t="s">
        <v>10939</v>
      </c>
      <c r="B2173" s="382" t="s">
        <v>308</v>
      </c>
      <c r="C2173" s="865"/>
      <c r="D2173" s="864"/>
      <c r="E2173" s="481">
        <v>3</v>
      </c>
      <c r="F2173" s="196" t="s">
        <v>11698</v>
      </c>
      <c r="G2173" s="481" t="s">
        <v>143</v>
      </c>
      <c r="H2173" s="481">
        <v>80.7</v>
      </c>
      <c r="I2173" s="864"/>
      <c r="J2173" s="494">
        <v>2599343.56</v>
      </c>
      <c r="K2173" s="487">
        <v>1319880.78</v>
      </c>
    </row>
    <row r="2174" spans="1:11" x14ac:dyDescent="0.2">
      <c r="A2174" s="457" t="s">
        <v>10940</v>
      </c>
      <c r="B2174" s="382" t="s">
        <v>308</v>
      </c>
      <c r="C2174" s="865"/>
      <c r="D2174" s="864"/>
      <c r="E2174" s="481">
        <v>5</v>
      </c>
      <c r="F2174" s="196" t="s">
        <v>11699</v>
      </c>
      <c r="G2174" s="481" t="s">
        <v>543</v>
      </c>
      <c r="H2174" s="481">
        <v>57.2</v>
      </c>
      <c r="I2174" s="864"/>
      <c r="J2174" s="494">
        <v>1824112.04</v>
      </c>
      <c r="K2174" s="487">
        <v>935528.88</v>
      </c>
    </row>
    <row r="2175" spans="1:11" x14ac:dyDescent="0.2">
      <c r="A2175" s="457" t="s">
        <v>10941</v>
      </c>
      <c r="B2175" s="382" t="s">
        <v>308</v>
      </c>
      <c r="C2175" s="865"/>
      <c r="D2175" s="864"/>
      <c r="E2175" s="481">
        <v>13</v>
      </c>
      <c r="F2175" s="196" t="s">
        <v>11700</v>
      </c>
      <c r="G2175" s="481" t="s">
        <v>133</v>
      </c>
      <c r="H2175" s="481">
        <v>56.2</v>
      </c>
      <c r="I2175" s="864"/>
      <c r="J2175" s="494">
        <v>1793205.8</v>
      </c>
      <c r="K2175" s="487">
        <v>919173.48</v>
      </c>
    </row>
    <row r="2176" spans="1:11" x14ac:dyDescent="0.2">
      <c r="A2176" s="457" t="s">
        <v>10942</v>
      </c>
      <c r="B2176" s="382" t="s">
        <v>308</v>
      </c>
      <c r="C2176" s="865"/>
      <c r="D2176" s="864"/>
      <c r="E2176" s="481">
        <v>17</v>
      </c>
      <c r="F2176" s="196" t="s">
        <v>11701</v>
      </c>
      <c r="G2176" s="481" t="s">
        <v>3077</v>
      </c>
      <c r="H2176" s="481">
        <v>56.9</v>
      </c>
      <c r="I2176" s="864"/>
      <c r="J2176" s="494">
        <v>1824112.04</v>
      </c>
      <c r="K2176" s="487">
        <v>930622.26</v>
      </c>
    </row>
    <row r="2177" spans="1:11" x14ac:dyDescent="0.2">
      <c r="A2177" s="457" t="s">
        <v>10943</v>
      </c>
      <c r="B2177" s="382" t="s">
        <v>308</v>
      </c>
      <c r="C2177" s="865"/>
      <c r="D2177" s="864"/>
      <c r="E2177" s="481">
        <v>23</v>
      </c>
      <c r="F2177" s="196" t="s">
        <v>11702</v>
      </c>
      <c r="G2177" s="481" t="s">
        <v>2769</v>
      </c>
      <c r="H2177" s="481">
        <v>56.9</v>
      </c>
      <c r="I2177" s="864"/>
      <c r="J2177" s="494">
        <v>1824112.04</v>
      </c>
      <c r="K2177" s="487">
        <v>930622.26</v>
      </c>
    </row>
    <row r="2178" spans="1:11" ht="39" customHeight="1" x14ac:dyDescent="0.2">
      <c r="A2178" s="456" t="s">
        <v>12012</v>
      </c>
      <c r="B2178" s="382" t="s">
        <v>323</v>
      </c>
      <c r="C2178" s="451" t="s">
        <v>13294</v>
      </c>
      <c r="D2178" s="485" t="s">
        <v>5471</v>
      </c>
      <c r="E2178" s="485"/>
      <c r="F2178" s="196" t="s">
        <v>12013</v>
      </c>
      <c r="G2178" s="196" t="s">
        <v>2474</v>
      </c>
      <c r="H2178" s="492">
        <v>42</v>
      </c>
      <c r="I2178" s="618">
        <v>2010</v>
      </c>
      <c r="J2178" s="461">
        <v>759000</v>
      </c>
      <c r="K2178" s="486">
        <v>281827.26</v>
      </c>
    </row>
    <row r="2179" spans="1:11" ht="38.25" customHeight="1" x14ac:dyDescent="0.2">
      <c r="A2179" s="683" t="s">
        <v>13400</v>
      </c>
      <c r="B2179" s="467" t="s">
        <v>308</v>
      </c>
      <c r="C2179" s="684" t="s">
        <v>14701</v>
      </c>
      <c r="D2179" s="627">
        <v>5</v>
      </c>
      <c r="E2179" s="482">
        <v>3</v>
      </c>
      <c r="F2179" s="2" t="s">
        <v>13401</v>
      </c>
      <c r="G2179" s="482" t="s">
        <v>143</v>
      </c>
      <c r="H2179" s="482">
        <v>36.9</v>
      </c>
      <c r="I2179" s="627"/>
      <c r="J2179" s="512"/>
      <c r="K2179" s="487">
        <v>416036.8</v>
      </c>
    </row>
    <row r="2180" spans="1:11" ht="27" customHeight="1" x14ac:dyDescent="0.2">
      <c r="A2180" s="683" t="s">
        <v>13668</v>
      </c>
      <c r="B2180" s="467" t="s">
        <v>308</v>
      </c>
      <c r="C2180" s="628" t="s">
        <v>14702</v>
      </c>
      <c r="D2180" s="627">
        <v>2</v>
      </c>
      <c r="E2180" s="482">
        <v>1</v>
      </c>
      <c r="F2180" s="2" t="s">
        <v>13669</v>
      </c>
      <c r="G2180" s="482" t="s">
        <v>143</v>
      </c>
      <c r="H2180" s="482">
        <v>36.6</v>
      </c>
      <c r="I2180" s="627"/>
      <c r="J2180" s="487">
        <v>1080000</v>
      </c>
      <c r="K2180" s="576">
        <v>379292.75</v>
      </c>
    </row>
    <row r="2181" spans="1:11" ht="16.5" customHeight="1" x14ac:dyDescent="0.2">
      <c r="A2181" s="683" t="s">
        <v>13691</v>
      </c>
      <c r="B2181" s="467"/>
      <c r="C2181" s="847" t="s">
        <v>14703</v>
      </c>
      <c r="D2181" s="853" t="s">
        <v>408</v>
      </c>
      <c r="E2181" s="481"/>
      <c r="F2181" s="223"/>
      <c r="G2181" s="481"/>
      <c r="H2181" s="481"/>
      <c r="I2181" s="853">
        <v>2020</v>
      </c>
      <c r="J2181" s="494"/>
      <c r="K2181" s="568"/>
    </row>
    <row r="2182" spans="1:11" ht="20.25" customHeight="1" x14ac:dyDescent="0.2">
      <c r="A2182" s="457" t="s">
        <v>13692</v>
      </c>
      <c r="B2182" s="467" t="s">
        <v>308</v>
      </c>
      <c r="C2182" s="848"/>
      <c r="D2182" s="854"/>
      <c r="E2182" s="481">
        <v>1</v>
      </c>
      <c r="F2182" s="2" t="s">
        <v>13694</v>
      </c>
      <c r="G2182" s="482" t="s">
        <v>143</v>
      </c>
      <c r="H2182" s="481">
        <v>94.5</v>
      </c>
      <c r="I2182" s="854"/>
      <c r="J2182" s="494">
        <v>3737097</v>
      </c>
      <c r="K2182" s="494">
        <v>1178237.3400000001</v>
      </c>
    </row>
    <row r="2183" spans="1:11" ht="17.25" customHeight="1" x14ac:dyDescent="0.2">
      <c r="A2183" s="457" t="s">
        <v>13693</v>
      </c>
      <c r="B2183" s="467" t="s">
        <v>308</v>
      </c>
      <c r="C2183" s="848"/>
      <c r="D2183" s="854"/>
      <c r="E2183" s="481">
        <v>2</v>
      </c>
      <c r="F2183" s="2" t="s">
        <v>13695</v>
      </c>
      <c r="G2183" s="482" t="s">
        <v>143</v>
      </c>
      <c r="H2183" s="481">
        <v>81.599999999999994</v>
      </c>
      <c r="I2183" s="854"/>
      <c r="J2183" s="494">
        <v>3171589.2</v>
      </c>
      <c r="K2183" s="494">
        <v>1017398.59</v>
      </c>
    </row>
    <row r="2184" spans="1:11" ht="25.5" customHeight="1" x14ac:dyDescent="0.2">
      <c r="A2184" s="683" t="s">
        <v>13700</v>
      </c>
      <c r="B2184" s="467"/>
      <c r="C2184" s="847" t="s">
        <v>14704</v>
      </c>
      <c r="D2184" s="850" t="s">
        <v>13701</v>
      </c>
      <c r="E2184" s="481"/>
      <c r="F2184" s="2" t="s">
        <v>13702</v>
      </c>
      <c r="G2184" s="482" t="s">
        <v>13703</v>
      </c>
      <c r="H2184" s="569">
        <f>(198.6+33.1+33.1)-(198.6+33.1+33.1)</f>
        <v>0</v>
      </c>
      <c r="I2184" s="853">
        <v>2020</v>
      </c>
      <c r="J2184" s="494">
        <f>(9265707+1544284.5+1544284.5)-(9265707+1544284.5+1544284.5)</f>
        <v>0</v>
      </c>
      <c r="K2184" s="494"/>
    </row>
    <row r="2185" spans="1:11" x14ac:dyDescent="0.2">
      <c r="A2185" s="457" t="s">
        <v>13704</v>
      </c>
      <c r="B2185" s="467" t="s">
        <v>308</v>
      </c>
      <c r="C2185" s="848"/>
      <c r="D2185" s="851"/>
      <c r="E2185" s="481">
        <v>1</v>
      </c>
      <c r="F2185" s="2" t="s">
        <v>13705</v>
      </c>
      <c r="G2185" s="482" t="s">
        <v>143</v>
      </c>
      <c r="H2185" s="481">
        <v>33.1</v>
      </c>
      <c r="I2185" s="854"/>
      <c r="J2185" s="494">
        <v>1544284.5</v>
      </c>
      <c r="K2185" s="494">
        <v>198790.33</v>
      </c>
    </row>
    <row r="2186" spans="1:11" x14ac:dyDescent="0.2">
      <c r="A2186" s="457" t="s">
        <v>13706</v>
      </c>
      <c r="B2186" s="467" t="s">
        <v>308</v>
      </c>
      <c r="C2186" s="848"/>
      <c r="D2186" s="851"/>
      <c r="E2186" s="481">
        <v>2</v>
      </c>
      <c r="F2186" s="2" t="s">
        <v>13707</v>
      </c>
      <c r="G2186" s="482" t="s">
        <v>143</v>
      </c>
      <c r="H2186" s="481">
        <v>33.1</v>
      </c>
      <c r="I2186" s="854"/>
      <c r="J2186" s="494">
        <v>1544284.5</v>
      </c>
      <c r="K2186" s="494">
        <v>198790.33</v>
      </c>
    </row>
    <row r="2187" spans="1:11" x14ac:dyDescent="0.2">
      <c r="A2187" s="457" t="s">
        <v>13708</v>
      </c>
      <c r="B2187" s="467" t="s">
        <v>308</v>
      </c>
      <c r="C2187" s="848"/>
      <c r="D2187" s="851"/>
      <c r="E2187" s="481">
        <v>3</v>
      </c>
      <c r="F2187" s="2" t="s">
        <v>13709</v>
      </c>
      <c r="G2187" s="482" t="s">
        <v>143</v>
      </c>
      <c r="H2187" s="481">
        <v>33.1</v>
      </c>
      <c r="I2187" s="854"/>
      <c r="J2187" s="494">
        <v>1544284.5</v>
      </c>
      <c r="K2187" s="494">
        <v>198790.33</v>
      </c>
    </row>
    <row r="2188" spans="1:11" x14ac:dyDescent="0.2">
      <c r="A2188" s="457" t="s">
        <v>13710</v>
      </c>
      <c r="B2188" s="467" t="s">
        <v>308</v>
      </c>
      <c r="C2188" s="848"/>
      <c r="D2188" s="851"/>
      <c r="E2188" s="481">
        <v>4</v>
      </c>
      <c r="F2188" s="2" t="s">
        <v>13711</v>
      </c>
      <c r="G2188" s="482" t="s">
        <v>143</v>
      </c>
      <c r="H2188" s="481">
        <v>33.1</v>
      </c>
      <c r="I2188" s="854"/>
      <c r="J2188" s="494">
        <v>1544284.5</v>
      </c>
      <c r="K2188" s="494">
        <v>198790.33</v>
      </c>
    </row>
    <row r="2189" spans="1:11" x14ac:dyDescent="0.2">
      <c r="A2189" s="457" t="s">
        <v>13712</v>
      </c>
      <c r="B2189" s="467" t="s">
        <v>308</v>
      </c>
      <c r="C2189" s="848"/>
      <c r="D2189" s="851"/>
      <c r="E2189" s="481">
        <v>6</v>
      </c>
      <c r="F2189" s="2" t="s">
        <v>13713</v>
      </c>
      <c r="G2189" s="482" t="s">
        <v>543</v>
      </c>
      <c r="H2189" s="481">
        <v>33.1</v>
      </c>
      <c r="I2189" s="854"/>
      <c r="J2189" s="494">
        <v>1544284.5</v>
      </c>
      <c r="K2189" s="494">
        <v>198790.33</v>
      </c>
    </row>
    <row r="2190" spans="1:11" x14ac:dyDescent="0.2">
      <c r="A2190" s="457" t="s">
        <v>13714</v>
      </c>
      <c r="B2190" s="467" t="s">
        <v>308</v>
      </c>
      <c r="C2190" s="848"/>
      <c r="D2190" s="851"/>
      <c r="E2190" s="481">
        <v>7</v>
      </c>
      <c r="F2190" s="2" t="s">
        <v>13715</v>
      </c>
      <c r="G2190" s="482" t="s">
        <v>543</v>
      </c>
      <c r="H2190" s="481">
        <v>33.1</v>
      </c>
      <c r="I2190" s="854"/>
      <c r="J2190" s="494">
        <v>1544284.5</v>
      </c>
      <c r="K2190" s="494">
        <v>198790.33</v>
      </c>
    </row>
    <row r="2191" spans="1:11" x14ac:dyDescent="0.2">
      <c r="A2191" s="457" t="s">
        <v>13792</v>
      </c>
      <c r="B2191" s="467" t="s">
        <v>308</v>
      </c>
      <c r="C2191" s="848"/>
      <c r="D2191" s="851"/>
      <c r="E2191" s="481">
        <v>5</v>
      </c>
      <c r="F2191" s="2" t="s">
        <v>13793</v>
      </c>
      <c r="G2191" s="482" t="s">
        <v>543</v>
      </c>
      <c r="H2191" s="481">
        <v>33.1</v>
      </c>
      <c r="I2191" s="854"/>
      <c r="J2191" s="494">
        <v>1544284.5</v>
      </c>
      <c r="K2191" s="494">
        <v>198790.33</v>
      </c>
    </row>
    <row r="2192" spans="1:11" x14ac:dyDescent="0.2">
      <c r="A2192" s="457" t="s">
        <v>13794</v>
      </c>
      <c r="B2192" s="467" t="s">
        <v>308</v>
      </c>
      <c r="C2192" s="849"/>
      <c r="D2192" s="852"/>
      <c r="E2192" s="481">
        <v>8</v>
      </c>
      <c r="F2192" s="2" t="s">
        <v>13795</v>
      </c>
      <c r="G2192" s="482" t="s">
        <v>543</v>
      </c>
      <c r="H2192" s="481">
        <v>33.1</v>
      </c>
      <c r="I2192" s="855"/>
      <c r="J2192" s="494">
        <v>1544284.5</v>
      </c>
      <c r="K2192" s="494">
        <v>198790.33</v>
      </c>
    </row>
    <row r="2193" spans="1:11" ht="25.5" x14ac:dyDescent="0.2">
      <c r="A2193" s="683" t="s">
        <v>13731</v>
      </c>
      <c r="B2193" s="467"/>
      <c r="C2193" s="856" t="s">
        <v>14705</v>
      </c>
      <c r="D2193" s="859" t="s">
        <v>13732</v>
      </c>
      <c r="E2193" s="382"/>
      <c r="F2193" s="40" t="s">
        <v>13733</v>
      </c>
      <c r="G2193" s="482" t="s">
        <v>13703</v>
      </c>
      <c r="H2193" s="569">
        <f>(198.6+33.1*2+43.3)-(198.6+33.1*2+43.3)</f>
        <v>0</v>
      </c>
      <c r="I2193" s="853">
        <v>2020</v>
      </c>
      <c r="J2193" s="494">
        <f>(9265707+1544284.5*2+1512945)-(9265707+1544284.5*2+1512945)</f>
        <v>0</v>
      </c>
      <c r="K2193" s="486"/>
    </row>
    <row r="2194" spans="1:11" x14ac:dyDescent="0.2">
      <c r="A2194" s="457" t="s">
        <v>13734</v>
      </c>
      <c r="B2194" s="467" t="s">
        <v>308</v>
      </c>
      <c r="C2194" s="857"/>
      <c r="D2194" s="860"/>
      <c r="E2194" s="382">
        <v>1</v>
      </c>
      <c r="F2194" s="40" t="s">
        <v>13735</v>
      </c>
      <c r="G2194" s="467" t="s">
        <v>143</v>
      </c>
      <c r="H2194" s="481">
        <v>33.1</v>
      </c>
      <c r="I2194" s="854"/>
      <c r="J2194" s="494">
        <v>1544284.5</v>
      </c>
      <c r="K2194" s="486">
        <v>385713.97</v>
      </c>
    </row>
    <row r="2195" spans="1:11" x14ac:dyDescent="0.2">
      <c r="A2195" s="457" t="s">
        <v>13736</v>
      </c>
      <c r="B2195" s="467" t="s">
        <v>308</v>
      </c>
      <c r="C2195" s="857"/>
      <c r="D2195" s="860"/>
      <c r="E2195" s="382">
        <v>2</v>
      </c>
      <c r="F2195" s="40" t="s">
        <v>13737</v>
      </c>
      <c r="G2195" s="467" t="s">
        <v>143</v>
      </c>
      <c r="H2195" s="481">
        <v>33.1</v>
      </c>
      <c r="I2195" s="854"/>
      <c r="J2195" s="494">
        <v>1544284.5</v>
      </c>
      <c r="K2195" s="486">
        <v>385713.97</v>
      </c>
    </row>
    <row r="2196" spans="1:11" x14ac:dyDescent="0.2">
      <c r="A2196" s="457" t="s">
        <v>13738</v>
      </c>
      <c r="B2196" s="467" t="s">
        <v>308</v>
      </c>
      <c r="C2196" s="857"/>
      <c r="D2196" s="860"/>
      <c r="E2196" s="382">
        <v>3</v>
      </c>
      <c r="F2196" s="40" t="s">
        <v>13739</v>
      </c>
      <c r="G2196" s="467" t="s">
        <v>143</v>
      </c>
      <c r="H2196" s="481">
        <v>33.1</v>
      </c>
      <c r="I2196" s="854"/>
      <c r="J2196" s="494">
        <v>1544284.5</v>
      </c>
      <c r="K2196" s="486">
        <v>385713.97</v>
      </c>
    </row>
    <row r="2197" spans="1:11" x14ac:dyDescent="0.2">
      <c r="A2197" s="457" t="s">
        <v>13740</v>
      </c>
      <c r="B2197" s="467" t="s">
        <v>308</v>
      </c>
      <c r="C2197" s="857"/>
      <c r="D2197" s="860"/>
      <c r="E2197" s="382">
        <v>4</v>
      </c>
      <c r="F2197" s="40" t="s">
        <v>13741</v>
      </c>
      <c r="G2197" s="467" t="s">
        <v>143</v>
      </c>
      <c r="H2197" s="481">
        <v>33.1</v>
      </c>
      <c r="I2197" s="854"/>
      <c r="J2197" s="494">
        <v>1544284.5</v>
      </c>
      <c r="K2197" s="486">
        <v>385713.97</v>
      </c>
    </row>
    <row r="2198" spans="1:11" x14ac:dyDescent="0.2">
      <c r="A2198" s="457" t="s">
        <v>13742</v>
      </c>
      <c r="B2198" s="467" t="s">
        <v>308</v>
      </c>
      <c r="C2198" s="857"/>
      <c r="D2198" s="860"/>
      <c r="E2198" s="382">
        <v>5</v>
      </c>
      <c r="F2198" s="40" t="s">
        <v>13743</v>
      </c>
      <c r="G2198" s="467" t="s">
        <v>543</v>
      </c>
      <c r="H2198" s="481">
        <v>33.1</v>
      </c>
      <c r="I2198" s="854"/>
      <c r="J2198" s="494">
        <v>1544284.5</v>
      </c>
      <c r="K2198" s="486">
        <v>385713.97</v>
      </c>
    </row>
    <row r="2199" spans="1:11" x14ac:dyDescent="0.2">
      <c r="A2199" s="457" t="s">
        <v>13744</v>
      </c>
      <c r="B2199" s="467" t="s">
        <v>308</v>
      </c>
      <c r="C2199" s="857"/>
      <c r="D2199" s="860"/>
      <c r="E2199" s="382">
        <v>6</v>
      </c>
      <c r="F2199" s="40" t="s">
        <v>13745</v>
      </c>
      <c r="G2199" s="467" t="s">
        <v>543</v>
      </c>
      <c r="H2199" s="481">
        <v>33.1</v>
      </c>
      <c r="I2199" s="854"/>
      <c r="J2199" s="494">
        <v>1544284.5</v>
      </c>
      <c r="K2199" s="486">
        <v>385713.97</v>
      </c>
    </row>
    <row r="2200" spans="1:11" x14ac:dyDescent="0.2">
      <c r="A2200" s="457" t="s">
        <v>13746</v>
      </c>
      <c r="B2200" s="467" t="s">
        <v>308</v>
      </c>
      <c r="C2200" s="857"/>
      <c r="D2200" s="860"/>
      <c r="E2200" s="382">
        <v>7</v>
      </c>
      <c r="F2200" s="40" t="s">
        <v>13747</v>
      </c>
      <c r="G2200" s="467" t="s">
        <v>543</v>
      </c>
      <c r="H2200" s="481">
        <v>33.1</v>
      </c>
      <c r="I2200" s="854"/>
      <c r="J2200" s="494">
        <v>1544284.5</v>
      </c>
      <c r="K2200" s="486">
        <v>385713.97</v>
      </c>
    </row>
    <row r="2201" spans="1:11" x14ac:dyDescent="0.2">
      <c r="A2201" s="457" t="s">
        <v>13748</v>
      </c>
      <c r="B2201" s="467" t="s">
        <v>308</v>
      </c>
      <c r="C2201" s="857"/>
      <c r="D2201" s="860"/>
      <c r="E2201" s="382">
        <v>8</v>
      </c>
      <c r="F2201" s="40" t="s">
        <v>13749</v>
      </c>
      <c r="G2201" s="467" t="s">
        <v>543</v>
      </c>
      <c r="H2201" s="481">
        <v>33.1</v>
      </c>
      <c r="I2201" s="854"/>
      <c r="J2201" s="494">
        <v>1544284.5</v>
      </c>
      <c r="K2201" s="486">
        <v>385713.97</v>
      </c>
    </row>
    <row r="2202" spans="1:11" x14ac:dyDescent="0.2">
      <c r="A2202" s="457" t="s">
        <v>13750</v>
      </c>
      <c r="B2202" s="467" t="s">
        <v>308</v>
      </c>
      <c r="C2202" s="858"/>
      <c r="D2202" s="861"/>
      <c r="E2202" s="382">
        <v>10</v>
      </c>
      <c r="F2202" s="40" t="s">
        <v>13751</v>
      </c>
      <c r="G2202" s="467" t="s">
        <v>134</v>
      </c>
      <c r="H2202" s="481">
        <v>43.3</v>
      </c>
      <c r="I2202" s="855"/>
      <c r="J2202" s="494">
        <v>1512945</v>
      </c>
      <c r="K2202" s="486">
        <v>504574.47</v>
      </c>
    </row>
    <row r="2203" spans="1:11" ht="25.5" customHeight="1" x14ac:dyDescent="0.2">
      <c r="A2203" s="683" t="s">
        <v>13752</v>
      </c>
      <c r="B2203" s="467"/>
      <c r="C2203" s="847" t="s">
        <v>14706</v>
      </c>
      <c r="D2203" s="850" t="s">
        <v>13753</v>
      </c>
      <c r="E2203" s="481"/>
      <c r="F2203" s="2" t="s">
        <v>13754</v>
      </c>
      <c r="G2203" s="482" t="s">
        <v>13703</v>
      </c>
      <c r="H2203" s="569">
        <f>(33.1*3+33.1*4+51.85)-(33.1*3+33.1*4+51.85)</f>
        <v>0</v>
      </c>
      <c r="I2203" s="853">
        <v>2020</v>
      </c>
      <c r="J2203" s="494">
        <f>(1544284.5*3+1544284.5*4+2426398.53)-(1544284.5*3+1544284.5*4+2426398.53)</f>
        <v>0</v>
      </c>
      <c r="K2203" s="494"/>
    </row>
    <row r="2204" spans="1:11" x14ac:dyDescent="0.2">
      <c r="A2204" s="457" t="s">
        <v>13755</v>
      </c>
      <c r="B2204" s="467" t="s">
        <v>308</v>
      </c>
      <c r="C2204" s="848"/>
      <c r="D2204" s="851"/>
      <c r="E2204" s="382">
        <v>1</v>
      </c>
      <c r="F2204" s="2" t="s">
        <v>13756</v>
      </c>
      <c r="G2204" s="482" t="s">
        <v>143</v>
      </c>
      <c r="H2204" s="481">
        <v>33.1</v>
      </c>
      <c r="I2204" s="854"/>
      <c r="J2204" s="494">
        <v>1544284.5</v>
      </c>
      <c r="K2204" s="494">
        <v>385713.97</v>
      </c>
    </row>
    <row r="2205" spans="1:11" x14ac:dyDescent="0.2">
      <c r="A2205" s="457" t="s">
        <v>13757</v>
      </c>
      <c r="B2205" s="467" t="s">
        <v>308</v>
      </c>
      <c r="C2205" s="848"/>
      <c r="D2205" s="851"/>
      <c r="E2205" s="382">
        <v>2</v>
      </c>
      <c r="F2205" s="2" t="s">
        <v>13758</v>
      </c>
      <c r="G2205" s="482" t="s">
        <v>143</v>
      </c>
      <c r="H2205" s="481">
        <v>33.1</v>
      </c>
      <c r="I2205" s="854"/>
      <c r="J2205" s="494">
        <v>1544284.5</v>
      </c>
      <c r="K2205" s="494">
        <v>385713.97</v>
      </c>
    </row>
    <row r="2206" spans="1:11" x14ac:dyDescent="0.2">
      <c r="A2206" s="457" t="s">
        <v>13759</v>
      </c>
      <c r="B2206" s="467" t="s">
        <v>308</v>
      </c>
      <c r="C2206" s="848"/>
      <c r="D2206" s="851"/>
      <c r="E2206" s="382">
        <v>3</v>
      </c>
      <c r="F2206" s="2" t="s">
        <v>13760</v>
      </c>
      <c r="G2206" s="482" t="s">
        <v>143</v>
      </c>
      <c r="H2206" s="481">
        <v>33.1</v>
      </c>
      <c r="I2206" s="854"/>
      <c r="J2206" s="494">
        <v>1544284.5</v>
      </c>
      <c r="K2206" s="494">
        <v>385713.97</v>
      </c>
    </row>
    <row r="2207" spans="1:11" x14ac:dyDescent="0.2">
      <c r="A2207" s="457" t="s">
        <v>13761</v>
      </c>
      <c r="B2207" s="467" t="s">
        <v>308</v>
      </c>
      <c r="C2207" s="848"/>
      <c r="D2207" s="851"/>
      <c r="E2207" s="382">
        <v>4</v>
      </c>
      <c r="F2207" s="2" t="s">
        <v>13762</v>
      </c>
      <c r="G2207" s="482" t="s">
        <v>143</v>
      </c>
      <c r="H2207" s="481">
        <v>33.1</v>
      </c>
      <c r="I2207" s="854"/>
      <c r="J2207" s="494">
        <v>1544284.5</v>
      </c>
      <c r="K2207" s="494">
        <v>385713.97</v>
      </c>
    </row>
    <row r="2208" spans="1:11" x14ac:dyDescent="0.2">
      <c r="A2208" s="457" t="s">
        <v>13763</v>
      </c>
      <c r="B2208" s="467" t="s">
        <v>308</v>
      </c>
      <c r="C2208" s="848"/>
      <c r="D2208" s="851"/>
      <c r="E2208" s="382">
        <v>5</v>
      </c>
      <c r="F2208" s="2" t="s">
        <v>13764</v>
      </c>
      <c r="G2208" s="482" t="s">
        <v>543</v>
      </c>
      <c r="H2208" s="481">
        <v>33.1</v>
      </c>
      <c r="I2208" s="854"/>
      <c r="J2208" s="494">
        <v>1544284.5</v>
      </c>
      <c r="K2208" s="494">
        <v>385713.97</v>
      </c>
    </row>
    <row r="2209" spans="1:11" x14ac:dyDescent="0.2">
      <c r="A2209" s="457" t="s">
        <v>13765</v>
      </c>
      <c r="B2209" s="467" t="s">
        <v>308</v>
      </c>
      <c r="C2209" s="848"/>
      <c r="D2209" s="851"/>
      <c r="E2209" s="382">
        <v>6</v>
      </c>
      <c r="F2209" s="2" t="s">
        <v>13766</v>
      </c>
      <c r="G2209" s="482" t="s">
        <v>543</v>
      </c>
      <c r="H2209" s="481">
        <v>33.1</v>
      </c>
      <c r="I2209" s="854"/>
      <c r="J2209" s="494">
        <v>1544284.5</v>
      </c>
      <c r="K2209" s="494">
        <v>385713.97</v>
      </c>
    </row>
    <row r="2210" spans="1:11" x14ac:dyDescent="0.2">
      <c r="A2210" s="457" t="s">
        <v>13767</v>
      </c>
      <c r="B2210" s="467" t="s">
        <v>308</v>
      </c>
      <c r="C2210" s="848"/>
      <c r="D2210" s="851"/>
      <c r="E2210" s="382">
        <v>7</v>
      </c>
      <c r="F2210" s="2" t="s">
        <v>13768</v>
      </c>
      <c r="G2210" s="482" t="s">
        <v>543</v>
      </c>
      <c r="H2210" s="481">
        <v>33.1</v>
      </c>
      <c r="I2210" s="854"/>
      <c r="J2210" s="494">
        <v>1544284.5</v>
      </c>
      <c r="K2210" s="494">
        <v>385713.97</v>
      </c>
    </row>
    <row r="2211" spans="1:11" x14ac:dyDescent="0.2">
      <c r="A2211" s="457" t="s">
        <v>13796</v>
      </c>
      <c r="B2211" s="467" t="s">
        <v>308</v>
      </c>
      <c r="C2211" s="849"/>
      <c r="D2211" s="852"/>
      <c r="E2211" s="382">
        <v>10</v>
      </c>
      <c r="F2211" s="2" t="s">
        <v>13790</v>
      </c>
      <c r="G2211" s="482" t="s">
        <v>134</v>
      </c>
      <c r="H2211" s="481">
        <v>51.85</v>
      </c>
      <c r="I2211" s="855"/>
      <c r="J2211" s="494">
        <v>2426398.5299999998</v>
      </c>
      <c r="K2211" s="494">
        <v>603624.88</v>
      </c>
    </row>
    <row r="2212" spans="1:11" ht="26.25" customHeight="1" x14ac:dyDescent="0.2">
      <c r="A2212" s="456" t="s">
        <v>13769</v>
      </c>
      <c r="B2212" s="382"/>
      <c r="C2212" s="862" t="s">
        <v>13770</v>
      </c>
      <c r="D2212" s="863" t="s">
        <v>13771</v>
      </c>
      <c r="E2212" s="382"/>
      <c r="F2212" s="2" t="s">
        <v>13772</v>
      </c>
      <c r="G2212" s="482" t="s">
        <v>13703</v>
      </c>
      <c r="H2212" s="481">
        <f>(198.6+33.1*3)-(198.6+33.1*3)</f>
        <v>0</v>
      </c>
      <c r="I2212" s="864">
        <v>2020</v>
      </c>
      <c r="J2212" s="494">
        <f>(9265707-1544284.5*3)-(9265707-1544284.5*3)</f>
        <v>0</v>
      </c>
      <c r="K2212" s="494"/>
    </row>
    <row r="2213" spans="1:11" x14ac:dyDescent="0.2">
      <c r="A2213" s="457" t="s">
        <v>13773</v>
      </c>
      <c r="B2213" s="467" t="s">
        <v>308</v>
      </c>
      <c r="C2213" s="862"/>
      <c r="D2213" s="863"/>
      <c r="E2213" s="382">
        <v>1</v>
      </c>
      <c r="F2213" s="2" t="s">
        <v>13774</v>
      </c>
      <c r="G2213" s="482" t="s">
        <v>143</v>
      </c>
      <c r="H2213" s="481">
        <v>33.1</v>
      </c>
      <c r="I2213" s="864"/>
      <c r="J2213" s="494">
        <v>1544284.5</v>
      </c>
      <c r="K2213" s="494">
        <v>385713.97</v>
      </c>
    </row>
    <row r="2214" spans="1:11" x14ac:dyDescent="0.2">
      <c r="A2214" s="457" t="s">
        <v>13775</v>
      </c>
      <c r="B2214" s="467" t="s">
        <v>308</v>
      </c>
      <c r="C2214" s="862"/>
      <c r="D2214" s="863"/>
      <c r="E2214" s="382">
        <v>2</v>
      </c>
      <c r="F2214" s="2" t="s">
        <v>13776</v>
      </c>
      <c r="G2214" s="482" t="s">
        <v>143</v>
      </c>
      <c r="H2214" s="481">
        <v>33.1</v>
      </c>
      <c r="I2214" s="864"/>
      <c r="J2214" s="494">
        <v>1544284.5</v>
      </c>
      <c r="K2214" s="494">
        <v>385713.97</v>
      </c>
    </row>
    <row r="2215" spans="1:11" x14ac:dyDescent="0.2">
      <c r="A2215" s="457" t="s">
        <v>13777</v>
      </c>
      <c r="B2215" s="467" t="s">
        <v>308</v>
      </c>
      <c r="C2215" s="862"/>
      <c r="D2215" s="863"/>
      <c r="E2215" s="382">
        <v>3</v>
      </c>
      <c r="F2215" s="2" t="s">
        <v>13778</v>
      </c>
      <c r="G2215" s="482" t="s">
        <v>143</v>
      </c>
      <c r="H2215" s="481">
        <v>33.1</v>
      </c>
      <c r="I2215" s="864"/>
      <c r="J2215" s="494">
        <v>1544284.5</v>
      </c>
      <c r="K2215" s="494">
        <v>385713.97</v>
      </c>
    </row>
    <row r="2216" spans="1:11" x14ac:dyDescent="0.2">
      <c r="A2216" s="457" t="s">
        <v>13779</v>
      </c>
      <c r="B2216" s="467" t="s">
        <v>308</v>
      </c>
      <c r="C2216" s="862"/>
      <c r="D2216" s="863"/>
      <c r="E2216" s="382">
        <v>4</v>
      </c>
      <c r="F2216" s="2" t="s">
        <v>13780</v>
      </c>
      <c r="G2216" s="482" t="s">
        <v>143</v>
      </c>
      <c r="H2216" s="481">
        <v>33.1</v>
      </c>
      <c r="I2216" s="864"/>
      <c r="J2216" s="494">
        <v>1544284.5</v>
      </c>
      <c r="K2216" s="494">
        <v>385713.97</v>
      </c>
    </row>
    <row r="2217" spans="1:11" x14ac:dyDescent="0.2">
      <c r="A2217" s="457" t="s">
        <v>13781</v>
      </c>
      <c r="B2217" s="467" t="s">
        <v>308</v>
      </c>
      <c r="C2217" s="862"/>
      <c r="D2217" s="863"/>
      <c r="E2217" s="382">
        <v>5</v>
      </c>
      <c r="F2217" s="2" t="s">
        <v>13782</v>
      </c>
      <c r="G2217" s="482" t="s">
        <v>543</v>
      </c>
      <c r="H2217" s="481">
        <v>33.1</v>
      </c>
      <c r="I2217" s="864"/>
      <c r="J2217" s="494">
        <v>1544284.5</v>
      </c>
      <c r="K2217" s="494">
        <v>385713.97</v>
      </c>
    </row>
    <row r="2218" spans="1:11" x14ac:dyDescent="0.2">
      <c r="A2218" s="457" t="s">
        <v>13783</v>
      </c>
      <c r="B2218" s="467" t="s">
        <v>308</v>
      </c>
      <c r="C2218" s="862"/>
      <c r="D2218" s="863"/>
      <c r="E2218" s="382">
        <v>6</v>
      </c>
      <c r="F2218" s="2" t="s">
        <v>13784</v>
      </c>
      <c r="G2218" s="482" t="s">
        <v>543</v>
      </c>
      <c r="H2218" s="481">
        <v>33.1</v>
      </c>
      <c r="I2218" s="864"/>
      <c r="J2218" s="494">
        <v>1544284.5</v>
      </c>
      <c r="K2218" s="494">
        <v>385713.97</v>
      </c>
    </row>
    <row r="2219" spans="1:11" x14ac:dyDescent="0.2">
      <c r="A2219" s="457" t="s">
        <v>13785</v>
      </c>
      <c r="B2219" s="467" t="s">
        <v>308</v>
      </c>
      <c r="C2219" s="862"/>
      <c r="D2219" s="863"/>
      <c r="E2219" s="382">
        <v>7</v>
      </c>
      <c r="F2219" s="2" t="s">
        <v>13786</v>
      </c>
      <c r="G2219" s="482" t="s">
        <v>543</v>
      </c>
      <c r="H2219" s="481">
        <v>33.1</v>
      </c>
      <c r="I2219" s="864"/>
      <c r="J2219" s="494">
        <v>1544284.5</v>
      </c>
      <c r="K2219" s="494">
        <v>385713.97</v>
      </c>
    </row>
    <row r="2220" spans="1:11" x14ac:dyDescent="0.2">
      <c r="A2220" s="457" t="s">
        <v>13787</v>
      </c>
      <c r="B2220" s="467" t="s">
        <v>308</v>
      </c>
      <c r="C2220" s="862"/>
      <c r="D2220" s="863"/>
      <c r="E2220" s="382">
        <v>8</v>
      </c>
      <c r="F2220" s="2" t="s">
        <v>13788</v>
      </c>
      <c r="G2220" s="482" t="s">
        <v>543</v>
      </c>
      <c r="H2220" s="481">
        <v>33.1</v>
      </c>
      <c r="I2220" s="864"/>
      <c r="J2220" s="494">
        <v>1544284.5</v>
      </c>
      <c r="K2220" s="494">
        <v>385713.97</v>
      </c>
    </row>
    <row r="2221" spans="1:11" x14ac:dyDescent="0.2">
      <c r="A2221" s="457" t="s">
        <v>13789</v>
      </c>
      <c r="B2221" s="467" t="s">
        <v>308</v>
      </c>
      <c r="C2221" s="862"/>
      <c r="D2221" s="863"/>
      <c r="E2221" s="382">
        <v>9</v>
      </c>
      <c r="F2221" s="2" t="s">
        <v>13797</v>
      </c>
      <c r="G2221" s="482" t="s">
        <v>134</v>
      </c>
      <c r="H2221" s="481">
        <v>73.349999999999994</v>
      </c>
      <c r="I2221" s="864"/>
      <c r="J2221" s="494">
        <v>3432523.28</v>
      </c>
      <c r="K2221" s="494">
        <v>854164.17</v>
      </c>
    </row>
    <row r="2222" spans="1:11" ht="51" x14ac:dyDescent="0.2">
      <c r="A2222" s="818" t="s">
        <v>14743</v>
      </c>
      <c r="B2222" s="768" t="s">
        <v>308</v>
      </c>
      <c r="C2222" s="819" t="s">
        <v>14744</v>
      </c>
      <c r="D2222" s="820">
        <v>2</v>
      </c>
      <c r="E2222" s="768">
        <v>2</v>
      </c>
      <c r="F2222" s="762" t="s">
        <v>14745</v>
      </c>
      <c r="G2222" s="768" t="s">
        <v>143</v>
      </c>
      <c r="H2222" s="768">
        <v>41.9</v>
      </c>
      <c r="I2222" s="820">
        <v>1962</v>
      </c>
      <c r="J2222" s="763">
        <v>1373000</v>
      </c>
      <c r="K2222" s="763">
        <v>434217.66</v>
      </c>
    </row>
  </sheetData>
  <mergeCells count="1157">
    <mergeCell ref="D1770:D1772"/>
    <mergeCell ref="I1770:I1772"/>
    <mergeCell ref="D1801:D1806"/>
    <mergeCell ref="I1801:I1806"/>
    <mergeCell ref="C488:C492"/>
    <mergeCell ref="D488:D492"/>
    <mergeCell ref="I488:I492"/>
    <mergeCell ref="C1832:C1836"/>
    <mergeCell ref="D1921:D1926"/>
    <mergeCell ref="I1921:I1926"/>
    <mergeCell ref="C1927:C1931"/>
    <mergeCell ref="D1927:D1931"/>
    <mergeCell ref="I1927:I1931"/>
    <mergeCell ref="I1538:I1546"/>
    <mergeCell ref="C1547:C1550"/>
    <mergeCell ref="C1921:C1926"/>
    <mergeCell ref="D1847:D1848"/>
    <mergeCell ref="C1837:C1840"/>
    <mergeCell ref="D1837:D1840"/>
    <mergeCell ref="I1837:I1839"/>
    <mergeCell ref="C1841:C1843"/>
    <mergeCell ref="C1894:C1913"/>
    <mergeCell ref="D1841:D1843"/>
    <mergeCell ref="I1841:I1843"/>
    <mergeCell ref="C1892:C1893"/>
    <mergeCell ref="C1682:C1688"/>
    <mergeCell ref="D1682:D1688"/>
    <mergeCell ref="I1682:I1688"/>
    <mergeCell ref="I1832:I1836"/>
    <mergeCell ref="C1761:C1762"/>
    <mergeCell ref="D1761:D1762"/>
    <mergeCell ref="I1761:I1762"/>
    <mergeCell ref="I1753:I1760"/>
    <mergeCell ref="D1753:D1760"/>
    <mergeCell ref="C1753:C1760"/>
    <mergeCell ref="C1939:C1943"/>
    <mergeCell ref="D1939:D1943"/>
    <mergeCell ref="I1939:I1943"/>
    <mergeCell ref="C1944:C1947"/>
    <mergeCell ref="D1944:D1947"/>
    <mergeCell ref="I1944:I1947"/>
    <mergeCell ref="D1892:D1893"/>
    <mergeCell ref="I1892:I1893"/>
    <mergeCell ref="C1878:C1881"/>
    <mergeCell ref="I1866:I1870"/>
    <mergeCell ref="D1871:D1877"/>
    <mergeCell ref="I1871:I1877"/>
    <mergeCell ref="C1882:C1884"/>
    <mergeCell ref="D1882:D1884"/>
    <mergeCell ref="C1856:C1865"/>
    <mergeCell ref="D1856:D1865"/>
    <mergeCell ref="I1856:I1865"/>
    <mergeCell ref="C1844:C1846"/>
    <mergeCell ref="I1882:I1884"/>
    <mergeCell ref="I1847:I1848"/>
    <mergeCell ref="C1849:C1852"/>
    <mergeCell ref="C1768:C1769"/>
    <mergeCell ref="D1768:D1769"/>
    <mergeCell ref="I1768:I1769"/>
    <mergeCell ref="C1770:C1772"/>
    <mergeCell ref="C1847:C1848"/>
    <mergeCell ref="C1932:C1938"/>
    <mergeCell ref="D1932:D1938"/>
    <mergeCell ref="I1932:I1938"/>
    <mergeCell ref="C1914:C1920"/>
    <mergeCell ref="I1894:I1920"/>
    <mergeCell ref="D1894:D1920"/>
    <mergeCell ref="I1849:I1852"/>
    <mergeCell ref="C1853:C1855"/>
    <mergeCell ref="C963:C964"/>
    <mergeCell ref="D963:D964"/>
    <mergeCell ref="I963:I964"/>
    <mergeCell ref="I965:I967"/>
    <mergeCell ref="D1444:D1447"/>
    <mergeCell ref="C1339:C1340"/>
    <mergeCell ref="D1339:D1340"/>
    <mergeCell ref="I1339:I1340"/>
    <mergeCell ref="C1341:C1344"/>
    <mergeCell ref="D1341:D1344"/>
    <mergeCell ref="I1341:I1344"/>
    <mergeCell ref="C1231:C1288"/>
    <mergeCell ref="C1007:C1013"/>
    <mergeCell ref="D1007:D1013"/>
    <mergeCell ref="I1007:I1013"/>
    <mergeCell ref="C1014:C1021"/>
    <mergeCell ref="D1014:D1021"/>
    <mergeCell ref="I1014:I1021"/>
    <mergeCell ref="D1025:D1053"/>
    <mergeCell ref="C1825:C1831"/>
    <mergeCell ref="D1825:D1831"/>
    <mergeCell ref="I1825:I1831"/>
    <mergeCell ref="D1832:D1836"/>
    <mergeCell ref="I911:I913"/>
    <mergeCell ref="C919:C921"/>
    <mergeCell ref="I1025:I1053"/>
    <mergeCell ref="C979:C981"/>
    <mergeCell ref="D979:D981"/>
    <mergeCell ref="I979:I981"/>
    <mergeCell ref="C982:C984"/>
    <mergeCell ref="D982:D984"/>
    <mergeCell ref="I982:I984"/>
    <mergeCell ref="I970:I976"/>
    <mergeCell ref="C970:C976"/>
    <mergeCell ref="D1231:D1288"/>
    <mergeCell ref="I1231:I1288"/>
    <mergeCell ref="C1289:C1295"/>
    <mergeCell ref="D1538:D1546"/>
    <mergeCell ref="C922:C926"/>
    <mergeCell ref="D922:D926"/>
    <mergeCell ref="I922:I926"/>
    <mergeCell ref="C914:C916"/>
    <mergeCell ref="D914:D916"/>
    <mergeCell ref="I914:I916"/>
    <mergeCell ref="D919:D921"/>
    <mergeCell ref="C986:C987"/>
    <mergeCell ref="D986:D987"/>
    <mergeCell ref="I986:I987"/>
    <mergeCell ref="C989:C996"/>
    <mergeCell ref="D989:D996"/>
    <mergeCell ref="I989:I996"/>
    <mergeCell ref="C997:C998"/>
    <mergeCell ref="D997:D998"/>
    <mergeCell ref="I997:I998"/>
    <mergeCell ref="D970:D976"/>
    <mergeCell ref="D1289:D1295"/>
    <mergeCell ref="I1289:I1295"/>
    <mergeCell ref="I919:I921"/>
    <mergeCell ref="C999:C1000"/>
    <mergeCell ref="D999:D1000"/>
    <mergeCell ref="I999:I1000"/>
    <mergeCell ref="C1001:C1006"/>
    <mergeCell ref="D1001:D1006"/>
    <mergeCell ref="I1001:I1006"/>
    <mergeCell ref="C948:C960"/>
    <mergeCell ref="D948:D960"/>
    <mergeCell ref="I948:I960"/>
    <mergeCell ref="C961:C962"/>
    <mergeCell ref="D961:D962"/>
    <mergeCell ref="I961:I962"/>
    <mergeCell ref="C928:C929"/>
    <mergeCell ref="D928:D929"/>
    <mergeCell ref="C1140:C1141"/>
    <mergeCell ref="D1140:D1141"/>
    <mergeCell ref="I791:I801"/>
    <mergeCell ref="D791:D801"/>
    <mergeCell ref="D810:D811"/>
    <mergeCell ref="I769:I777"/>
    <mergeCell ref="C845:C848"/>
    <mergeCell ref="D845:D848"/>
    <mergeCell ref="I845:I848"/>
    <mergeCell ref="C791:C801"/>
    <mergeCell ref="D833:D835"/>
    <mergeCell ref="C827:C829"/>
    <mergeCell ref="D827:D829"/>
    <mergeCell ref="I827:I829"/>
    <mergeCell ref="C806:C809"/>
    <mergeCell ref="D806:D809"/>
    <mergeCell ref="I822:I823"/>
    <mergeCell ref="I781:I790"/>
    <mergeCell ref="C810:C811"/>
    <mergeCell ref="I806:I809"/>
    <mergeCell ref="C830:C832"/>
    <mergeCell ref="D830:D832"/>
    <mergeCell ref="I830:I832"/>
    <mergeCell ref="C778:C780"/>
    <mergeCell ref="C781:C790"/>
    <mergeCell ref="D781:D790"/>
    <mergeCell ref="D778:D780"/>
    <mergeCell ref="I778:I780"/>
    <mergeCell ref="C802:C805"/>
    <mergeCell ref="D802:D805"/>
    <mergeCell ref="I802:I805"/>
    <mergeCell ref="C836:C840"/>
    <mergeCell ref="D836:D840"/>
    <mergeCell ref="I836:I840"/>
    <mergeCell ref="C2:H2"/>
    <mergeCell ref="C6:C9"/>
    <mergeCell ref="D6:D9"/>
    <mergeCell ref="I6:I9"/>
    <mergeCell ref="C10:C11"/>
    <mergeCell ref="D10:D11"/>
    <mergeCell ref="I10:I11"/>
    <mergeCell ref="C12:C16"/>
    <mergeCell ref="D12:D16"/>
    <mergeCell ref="I12:I16"/>
    <mergeCell ref="C17:C55"/>
    <mergeCell ref="D17:D55"/>
    <mergeCell ref="I17:I55"/>
    <mergeCell ref="C56:C58"/>
    <mergeCell ref="D56:D58"/>
    <mergeCell ref="I56:I58"/>
    <mergeCell ref="D81:D82"/>
    <mergeCell ref="I81:I82"/>
    <mergeCell ref="C59:C67"/>
    <mergeCell ref="D59:D67"/>
    <mergeCell ref="I59:I67"/>
    <mergeCell ref="C68:C71"/>
    <mergeCell ref="D68:D71"/>
    <mergeCell ref="I68:I71"/>
    <mergeCell ref="C72:C75"/>
    <mergeCell ref="D72:D75"/>
    <mergeCell ref="I72:I75"/>
    <mergeCell ref="C76:C80"/>
    <mergeCell ref="D76:D80"/>
    <mergeCell ref="I76:I80"/>
    <mergeCell ref="C81:C82"/>
    <mergeCell ref="D86:D87"/>
    <mergeCell ref="I86:I87"/>
    <mergeCell ref="C88:C91"/>
    <mergeCell ref="D83:D85"/>
    <mergeCell ref="I83:I85"/>
    <mergeCell ref="C86:C87"/>
    <mergeCell ref="C83:C85"/>
    <mergeCell ref="I88:I91"/>
    <mergeCell ref="C262:C272"/>
    <mergeCell ref="D262:D272"/>
    <mergeCell ref="I262:I272"/>
    <mergeCell ref="C243:C244"/>
    <mergeCell ref="D243:D244"/>
    <mergeCell ref="I243:I244"/>
    <mergeCell ref="C246:C247"/>
    <mergeCell ref="D246:D247"/>
    <mergeCell ref="I246:I247"/>
    <mergeCell ref="C249:C261"/>
    <mergeCell ref="D179:D180"/>
    <mergeCell ref="I179:I180"/>
    <mergeCell ref="C181:C183"/>
    <mergeCell ref="D249:D261"/>
    <mergeCell ref="I249:I261"/>
    <mergeCell ref="D181:D183"/>
    <mergeCell ref="I181:I183"/>
    <mergeCell ref="C193:C194"/>
    <mergeCell ref="D193:D194"/>
    <mergeCell ref="I193:I194"/>
    <mergeCell ref="C195:C198"/>
    <mergeCell ref="I204:I206"/>
    <mergeCell ref="C207:C208"/>
    <mergeCell ref="D207:D208"/>
    <mergeCell ref="C342:C343"/>
    <mergeCell ref="D342:D343"/>
    <mergeCell ref="C769:C777"/>
    <mergeCell ref="D769:D777"/>
    <mergeCell ref="I570:I574"/>
    <mergeCell ref="C320:C321"/>
    <mergeCell ref="D320:D321"/>
    <mergeCell ref="I320:I321"/>
    <mergeCell ref="I393:I395"/>
    <mergeCell ref="C390:C392"/>
    <mergeCell ref="D390:D392"/>
    <mergeCell ref="I390:I392"/>
    <mergeCell ref="C393:C395"/>
    <mergeCell ref="D393:D395"/>
    <mergeCell ref="C465:C473"/>
    <mergeCell ref="D465:D473"/>
    <mergeCell ref="I465:I473"/>
    <mergeCell ref="C329:C332"/>
    <mergeCell ref="D329:D332"/>
    <mergeCell ref="C345:C346"/>
    <mergeCell ref="I342:I343"/>
    <mergeCell ref="C382:C384"/>
    <mergeCell ref="D382:D384"/>
    <mergeCell ref="I382:I384"/>
    <mergeCell ref="C385:C386"/>
    <mergeCell ref="D385:D386"/>
    <mergeCell ref="I385:I386"/>
    <mergeCell ref="I364:I370"/>
    <mergeCell ref="C340:C341"/>
    <mergeCell ref="D340:D341"/>
    <mergeCell ref="I340:I341"/>
    <mergeCell ref="D345:D346"/>
    <mergeCell ref="D314:D319"/>
    <mergeCell ref="I314:I319"/>
    <mergeCell ref="D323:D328"/>
    <mergeCell ref="I323:I328"/>
    <mergeCell ref="I276:I289"/>
    <mergeCell ref="D333:D336"/>
    <mergeCell ref="D294:D296"/>
    <mergeCell ref="I294:I296"/>
    <mergeCell ref="C297:C310"/>
    <mergeCell ref="D297:D310"/>
    <mergeCell ref="I297:I310"/>
    <mergeCell ref="C291:C292"/>
    <mergeCell ref="D291:D292"/>
    <mergeCell ref="D273:D275"/>
    <mergeCell ref="I291:I292"/>
    <mergeCell ref="D276:D289"/>
    <mergeCell ref="C273:C275"/>
    <mergeCell ref="I273:I275"/>
    <mergeCell ref="C276:C289"/>
    <mergeCell ref="C294:C296"/>
    <mergeCell ref="D311:D313"/>
    <mergeCell ref="I311:I313"/>
    <mergeCell ref="C314:C319"/>
    <mergeCell ref="C311:C313"/>
    <mergeCell ref="I329:I332"/>
    <mergeCell ref="C333:C336"/>
    <mergeCell ref="I333:I336"/>
    <mergeCell ref="I345:I346"/>
    <mergeCell ref="C323:C328"/>
    <mergeCell ref="C376:C377"/>
    <mergeCell ref="D376:D377"/>
    <mergeCell ref="I376:I377"/>
    <mergeCell ref="C350:C354"/>
    <mergeCell ref="D371:D373"/>
    <mergeCell ref="I371:I373"/>
    <mergeCell ref="C364:C370"/>
    <mergeCell ref="D350:D354"/>
    <mergeCell ref="I350:I354"/>
    <mergeCell ref="C371:C373"/>
    <mergeCell ref="C92:C93"/>
    <mergeCell ref="D92:D93"/>
    <mergeCell ref="I92:I93"/>
    <mergeCell ref="C94:C97"/>
    <mergeCell ref="D94:D97"/>
    <mergeCell ref="I94:I97"/>
    <mergeCell ref="C98:C99"/>
    <mergeCell ref="D98:D99"/>
    <mergeCell ref="I98:I99"/>
    <mergeCell ref="C100:C101"/>
    <mergeCell ref="D100:D101"/>
    <mergeCell ref="I100:I101"/>
    <mergeCell ref="C102:C103"/>
    <mergeCell ref="D102:D103"/>
    <mergeCell ref="I102:I103"/>
    <mergeCell ref="C104:C107"/>
    <mergeCell ref="D104:D107"/>
    <mergeCell ref="I125:I137"/>
    <mergeCell ref="D195:D198"/>
    <mergeCell ref="I195:I198"/>
    <mergeCell ref="D186:D189"/>
    <mergeCell ref="I186:I189"/>
    <mergeCell ref="C190:C192"/>
    <mergeCell ref="D190:D192"/>
    <mergeCell ref="I190:I192"/>
    <mergeCell ref="C114:C116"/>
    <mergeCell ref="I207:I208"/>
    <mergeCell ref="C233:C236"/>
    <mergeCell ref="D233:D236"/>
    <mergeCell ref="I233:I236"/>
    <mergeCell ref="C148:C178"/>
    <mergeCell ref="D148:D178"/>
    <mergeCell ref="I148:I178"/>
    <mergeCell ref="C146:C147"/>
    <mergeCell ref="D146:D147"/>
    <mergeCell ref="I146:I147"/>
    <mergeCell ref="I229:I231"/>
    <mergeCell ref="D114:D116"/>
    <mergeCell ref="I114:I116"/>
    <mergeCell ref="C117:C124"/>
    <mergeCell ref="D117:D124"/>
    <mergeCell ref="I117:I124"/>
    <mergeCell ref="I209:I216"/>
    <mergeCell ref="C217:C227"/>
    <mergeCell ref="D217:D227"/>
    <mergeCell ref="I217:I227"/>
    <mergeCell ref="C199:C200"/>
    <mergeCell ref="I104:I107"/>
    <mergeCell ref="D88:D91"/>
    <mergeCell ref="C138:C139"/>
    <mergeCell ref="D138:D139"/>
    <mergeCell ref="I138:I139"/>
    <mergeCell ref="C140:C142"/>
    <mergeCell ref="D140:D142"/>
    <mergeCell ref="I140:I142"/>
    <mergeCell ref="C143:C145"/>
    <mergeCell ref="D143:D145"/>
    <mergeCell ref="I143:I145"/>
    <mergeCell ref="C237:C240"/>
    <mergeCell ref="D237:D240"/>
    <mergeCell ref="I237:I240"/>
    <mergeCell ref="C241:C242"/>
    <mergeCell ref="D241:D242"/>
    <mergeCell ref="I241:I242"/>
    <mergeCell ref="I199:I200"/>
    <mergeCell ref="C204:C206"/>
    <mergeCell ref="D204:D206"/>
    <mergeCell ref="C125:C137"/>
    <mergeCell ref="D125:D137"/>
    <mergeCell ref="C108:C109"/>
    <mergeCell ref="D108:D109"/>
    <mergeCell ref="I108:I109"/>
    <mergeCell ref="C110:C113"/>
    <mergeCell ref="D110:D113"/>
    <mergeCell ref="C179:C180"/>
    <mergeCell ref="C184:C185"/>
    <mergeCell ref="D184:D185"/>
    <mergeCell ref="I184:I185"/>
    <mergeCell ref="C186:C189"/>
    <mergeCell ref="I110:I113"/>
    <mergeCell ref="C229:C231"/>
    <mergeCell ref="D229:D231"/>
    <mergeCell ref="D429:D439"/>
    <mergeCell ref="C459:C464"/>
    <mergeCell ref="D459:D464"/>
    <mergeCell ref="I459:I464"/>
    <mergeCell ref="C387:C389"/>
    <mergeCell ref="D387:D389"/>
    <mergeCell ref="I387:I389"/>
    <mergeCell ref="C403:C406"/>
    <mergeCell ref="D403:D406"/>
    <mergeCell ref="I403:I406"/>
    <mergeCell ref="C407:C409"/>
    <mergeCell ref="D407:D409"/>
    <mergeCell ref="I407:I409"/>
    <mergeCell ref="C410:C420"/>
    <mergeCell ref="D410:D420"/>
    <mergeCell ref="I410:I420"/>
    <mergeCell ref="C356:C358"/>
    <mergeCell ref="D356:D358"/>
    <mergeCell ref="I356:I358"/>
    <mergeCell ref="C359:C363"/>
    <mergeCell ref="D359:D363"/>
    <mergeCell ref="I359:I363"/>
    <mergeCell ref="C209:C216"/>
    <mergeCell ref="D209:D216"/>
    <mergeCell ref="D199:D200"/>
    <mergeCell ref="D364:D370"/>
    <mergeCell ref="C421:C428"/>
    <mergeCell ref="D421:D428"/>
    <mergeCell ref="I421:I428"/>
    <mergeCell ref="C484:C487"/>
    <mergeCell ref="D484:D487"/>
    <mergeCell ref="I484:I487"/>
    <mergeCell ref="C493:C496"/>
    <mergeCell ref="D493:D496"/>
    <mergeCell ref="I493:I496"/>
    <mergeCell ref="I429:I439"/>
    <mergeCell ref="C440:C443"/>
    <mergeCell ref="D440:D443"/>
    <mergeCell ref="I440:I443"/>
    <mergeCell ref="C497:C498"/>
    <mergeCell ref="D497:D498"/>
    <mergeCell ref="I497:I498"/>
    <mergeCell ref="C444:C446"/>
    <mergeCell ref="D444:D446"/>
    <mergeCell ref="I444:I446"/>
    <mergeCell ref="C447:C450"/>
    <mergeCell ref="D447:D450"/>
    <mergeCell ref="I447:I450"/>
    <mergeCell ref="C474:C483"/>
    <mergeCell ref="D474:D483"/>
    <mergeCell ref="I474:I483"/>
    <mergeCell ref="C429:C439"/>
    <mergeCell ref="C451:C458"/>
    <mergeCell ref="D451:D458"/>
    <mergeCell ref="I451:I458"/>
    <mergeCell ref="C499:C500"/>
    <mergeCell ref="D499:D500"/>
    <mergeCell ref="I515:I519"/>
    <mergeCell ref="C520:C528"/>
    <mergeCell ref="D520:D528"/>
    <mergeCell ref="I520:I528"/>
    <mergeCell ref="F527:F528"/>
    <mergeCell ref="G527:G528"/>
    <mergeCell ref="K527:K528"/>
    <mergeCell ref="C531:C532"/>
    <mergeCell ref="D531:D532"/>
    <mergeCell ref="I531:I532"/>
    <mergeCell ref="C537:C538"/>
    <mergeCell ref="D537:D538"/>
    <mergeCell ref="I537:I538"/>
    <mergeCell ref="C501:C504"/>
    <mergeCell ref="D501:D504"/>
    <mergeCell ref="I501:I504"/>
    <mergeCell ref="C505:C506"/>
    <mergeCell ref="D505:D506"/>
    <mergeCell ref="I505:I506"/>
    <mergeCell ref="C507:C510"/>
    <mergeCell ref="D507:D510"/>
    <mergeCell ref="I507:I510"/>
    <mergeCell ref="C511:C514"/>
    <mergeCell ref="D511:D514"/>
    <mergeCell ref="I511:I514"/>
    <mergeCell ref="C515:C519"/>
    <mergeCell ref="D515:D519"/>
    <mergeCell ref="C541:C544"/>
    <mergeCell ref="D541:D544"/>
    <mergeCell ref="I541:I544"/>
    <mergeCell ref="C545:C547"/>
    <mergeCell ref="D545:D547"/>
    <mergeCell ref="I545:I547"/>
    <mergeCell ref="C548:C549"/>
    <mergeCell ref="D548:D549"/>
    <mergeCell ref="I548:I549"/>
    <mergeCell ref="C550:C551"/>
    <mergeCell ref="D550:D551"/>
    <mergeCell ref="I550:I551"/>
    <mergeCell ref="C576:C579"/>
    <mergeCell ref="D576:D579"/>
    <mergeCell ref="I576:I579"/>
    <mergeCell ref="C580:C588"/>
    <mergeCell ref="D580:D588"/>
    <mergeCell ref="I580:I588"/>
    <mergeCell ref="C570:C574"/>
    <mergeCell ref="C552:C555"/>
    <mergeCell ref="D552:D555"/>
    <mergeCell ref="I552:I555"/>
    <mergeCell ref="C556:C561"/>
    <mergeCell ref="D556:D561"/>
    <mergeCell ref="I556:I561"/>
    <mergeCell ref="C562:C566"/>
    <mergeCell ref="D562:D566"/>
    <mergeCell ref="I562:I566"/>
    <mergeCell ref="C567:C569"/>
    <mergeCell ref="D567:D569"/>
    <mergeCell ref="I567:I569"/>
    <mergeCell ref="D570:D574"/>
    <mergeCell ref="C589:C597"/>
    <mergeCell ref="D589:D597"/>
    <mergeCell ref="I589:I597"/>
    <mergeCell ref="C598:C603"/>
    <mergeCell ref="D598:D603"/>
    <mergeCell ref="I598:I603"/>
    <mergeCell ref="C604:C608"/>
    <mergeCell ref="D604:D608"/>
    <mergeCell ref="I604:I608"/>
    <mergeCell ref="C609:C611"/>
    <mergeCell ref="D609:D611"/>
    <mergeCell ref="I609:I611"/>
    <mergeCell ref="C612:C614"/>
    <mergeCell ref="D612:D614"/>
    <mergeCell ref="I612:I614"/>
    <mergeCell ref="C615:C616"/>
    <mergeCell ref="D615:D616"/>
    <mergeCell ref="I615:I616"/>
    <mergeCell ref="C617:C621"/>
    <mergeCell ref="D617:D621"/>
    <mergeCell ref="I617:I621"/>
    <mergeCell ref="C624:C625"/>
    <mergeCell ref="D624:D625"/>
    <mergeCell ref="I624:I625"/>
    <mergeCell ref="C626:C628"/>
    <mergeCell ref="D626:D628"/>
    <mergeCell ref="I626:I628"/>
    <mergeCell ref="C622:C623"/>
    <mergeCell ref="D622:D623"/>
    <mergeCell ref="I622:I623"/>
    <mergeCell ref="D644:D649"/>
    <mergeCell ref="I644:I649"/>
    <mergeCell ref="C650:C653"/>
    <mergeCell ref="D650:D653"/>
    <mergeCell ref="I650:I653"/>
    <mergeCell ref="C632:C636"/>
    <mergeCell ref="D632:D636"/>
    <mergeCell ref="I632:I636"/>
    <mergeCell ref="C637:C639"/>
    <mergeCell ref="D637:D639"/>
    <mergeCell ref="I637:I639"/>
    <mergeCell ref="C640:C643"/>
    <mergeCell ref="D640:D643"/>
    <mergeCell ref="I640:I643"/>
    <mergeCell ref="C644:C649"/>
    <mergeCell ref="C629:C631"/>
    <mergeCell ref="D629:D631"/>
    <mergeCell ref="I629:I631"/>
    <mergeCell ref="C654:C655"/>
    <mergeCell ref="D654:D655"/>
    <mergeCell ref="I654:I655"/>
    <mergeCell ref="C656:C661"/>
    <mergeCell ref="D656:D661"/>
    <mergeCell ref="I656:I661"/>
    <mergeCell ref="K658:K661"/>
    <mergeCell ref="C662:C676"/>
    <mergeCell ref="D662:D676"/>
    <mergeCell ref="I662:I676"/>
    <mergeCell ref="C677:C682"/>
    <mergeCell ref="D677:D682"/>
    <mergeCell ref="I677:I682"/>
    <mergeCell ref="C735:C737"/>
    <mergeCell ref="D735:D737"/>
    <mergeCell ref="I735:I737"/>
    <mergeCell ref="C738:C741"/>
    <mergeCell ref="D738:D741"/>
    <mergeCell ref="I738:I741"/>
    <mergeCell ref="I723:I724"/>
    <mergeCell ref="C725:C728"/>
    <mergeCell ref="D725:D728"/>
    <mergeCell ref="I725:I728"/>
    <mergeCell ref="C729:C734"/>
    <mergeCell ref="D729:D734"/>
    <mergeCell ref="I729:I734"/>
    <mergeCell ref="C683:C721"/>
    <mergeCell ref="D683:D721"/>
    <mergeCell ref="I683:I721"/>
    <mergeCell ref="C723:C724"/>
    <mergeCell ref="D723:D724"/>
    <mergeCell ref="C742:C746"/>
    <mergeCell ref="D742:D746"/>
    <mergeCell ref="I742:I746"/>
    <mergeCell ref="C747:C754"/>
    <mergeCell ref="D747:D754"/>
    <mergeCell ref="I747:I754"/>
    <mergeCell ref="C755:C756"/>
    <mergeCell ref="D755:D756"/>
    <mergeCell ref="I755:I756"/>
    <mergeCell ref="C757:C758"/>
    <mergeCell ref="D757:D758"/>
    <mergeCell ref="I757:I758"/>
    <mergeCell ref="C759:C761"/>
    <mergeCell ref="D759:D761"/>
    <mergeCell ref="I759:I761"/>
    <mergeCell ref="C762:C768"/>
    <mergeCell ref="D762:D768"/>
    <mergeCell ref="I762:I768"/>
    <mergeCell ref="C812:C814"/>
    <mergeCell ref="D812:D814"/>
    <mergeCell ref="I812:I814"/>
    <mergeCell ref="C859:C874"/>
    <mergeCell ref="I810:I811"/>
    <mergeCell ref="I833:I835"/>
    <mergeCell ref="C849:C851"/>
    <mergeCell ref="D849:D851"/>
    <mergeCell ref="C815:C821"/>
    <mergeCell ref="D815:D821"/>
    <mergeCell ref="I815:I821"/>
    <mergeCell ref="C822:C823"/>
    <mergeCell ref="D822:D823"/>
    <mergeCell ref="C824:C826"/>
    <mergeCell ref="D824:D826"/>
    <mergeCell ref="I824:I826"/>
    <mergeCell ref="C833:C835"/>
    <mergeCell ref="I856:I858"/>
    <mergeCell ref="D859:D874"/>
    <mergeCell ref="I859:I874"/>
    <mergeCell ref="I841:I844"/>
    <mergeCell ref="C852:C854"/>
    <mergeCell ref="D852:D854"/>
    <mergeCell ref="I852:I854"/>
    <mergeCell ref="C856:C858"/>
    <mergeCell ref="D856:D858"/>
    <mergeCell ref="I849:I851"/>
    <mergeCell ref="I875:I876"/>
    <mergeCell ref="C877:C880"/>
    <mergeCell ref="D877:D880"/>
    <mergeCell ref="I877:I880"/>
    <mergeCell ref="C885:C886"/>
    <mergeCell ref="D885:D886"/>
    <mergeCell ref="C892:C894"/>
    <mergeCell ref="C887:C888"/>
    <mergeCell ref="D887:D888"/>
    <mergeCell ref="I887:I888"/>
    <mergeCell ref="I895:I902"/>
    <mergeCell ref="D892:D894"/>
    <mergeCell ref="C895:C902"/>
    <mergeCell ref="C903:C904"/>
    <mergeCell ref="D903:D904"/>
    <mergeCell ref="I903:I904"/>
    <mergeCell ref="C841:C844"/>
    <mergeCell ref="D841:D844"/>
    <mergeCell ref="I885:I886"/>
    <mergeCell ref="C875:C876"/>
    <mergeCell ref="D875:D876"/>
    <mergeCell ref="C1129:C1130"/>
    <mergeCell ref="D1131:D1134"/>
    <mergeCell ref="I1131:I1134"/>
    <mergeCell ref="D1129:D1130"/>
    <mergeCell ref="I1129:I1130"/>
    <mergeCell ref="C1131:C1134"/>
    <mergeCell ref="C1108:C1109"/>
    <mergeCell ref="C1137:C1139"/>
    <mergeCell ref="D1137:D1139"/>
    <mergeCell ref="C1073:C1074"/>
    <mergeCell ref="D895:D902"/>
    <mergeCell ref="C917:C918"/>
    <mergeCell ref="D917:D918"/>
    <mergeCell ref="I917:I918"/>
    <mergeCell ref="I892:I894"/>
    <mergeCell ref="D906:D908"/>
    <mergeCell ref="I906:I908"/>
    <mergeCell ref="C909:C910"/>
    <mergeCell ref="D909:D910"/>
    <mergeCell ref="C906:C908"/>
    <mergeCell ref="I928:I929"/>
    <mergeCell ref="C930:C933"/>
    <mergeCell ref="D930:D933"/>
    <mergeCell ref="I930:I933"/>
    <mergeCell ref="C935:C947"/>
    <mergeCell ref="D935:D947"/>
    <mergeCell ref="I935:I947"/>
    <mergeCell ref="C965:C967"/>
    <mergeCell ref="D965:D967"/>
    <mergeCell ref="I909:I910"/>
    <mergeCell ref="C911:C913"/>
    <mergeCell ref="D911:D913"/>
    <mergeCell ref="C1054:C1055"/>
    <mergeCell ref="D1054:D1055"/>
    <mergeCell ref="I1054:I1055"/>
    <mergeCell ref="C1022:C1024"/>
    <mergeCell ref="D1022:D1024"/>
    <mergeCell ref="I1022:I1024"/>
    <mergeCell ref="C1025:C1053"/>
    <mergeCell ref="C1056:C1059"/>
    <mergeCell ref="D1056:D1059"/>
    <mergeCell ref="I1056:I1059"/>
    <mergeCell ref="C1060:C1062"/>
    <mergeCell ref="D1060:D1062"/>
    <mergeCell ref="I1060:I1062"/>
    <mergeCell ref="C1063:C1067"/>
    <mergeCell ref="D1063:D1067"/>
    <mergeCell ref="I1063:I1067"/>
    <mergeCell ref="C1068:C1072"/>
    <mergeCell ref="D1068:D1072"/>
    <mergeCell ref="I1068:I1072"/>
    <mergeCell ref="D1073:D1074"/>
    <mergeCell ref="I1073:I1074"/>
    <mergeCell ref="C1075:C1076"/>
    <mergeCell ref="D1075:D1076"/>
    <mergeCell ref="I1075:I1076"/>
    <mergeCell ref="C1122:C1124"/>
    <mergeCell ref="D1122:D1124"/>
    <mergeCell ref="I1122:I1124"/>
    <mergeCell ref="C1198:C1200"/>
    <mergeCell ref="D1198:D1200"/>
    <mergeCell ref="I1198:I1200"/>
    <mergeCell ref="C1077:C1079"/>
    <mergeCell ref="D1077:D1079"/>
    <mergeCell ref="I1077:I1079"/>
    <mergeCell ref="C1080:C1084"/>
    <mergeCell ref="D1080:D1084"/>
    <mergeCell ref="I1080:I1084"/>
    <mergeCell ref="C1085:C1087"/>
    <mergeCell ref="D1085:D1087"/>
    <mergeCell ref="I1085:I1087"/>
    <mergeCell ref="C1088:C1089"/>
    <mergeCell ref="D1088:D1089"/>
    <mergeCell ref="I1088:I1089"/>
    <mergeCell ref="C1090:C1091"/>
    <mergeCell ref="D1090:D1091"/>
    <mergeCell ref="I1090:I1091"/>
    <mergeCell ref="C1092:C1094"/>
    <mergeCell ref="D1092:D1094"/>
    <mergeCell ref="I1092:I1094"/>
    <mergeCell ref="I1140:I1141"/>
    <mergeCell ref="C1142:C1184"/>
    <mergeCell ref="D1142:D1184"/>
    <mergeCell ref="I1307:I1312"/>
    <mergeCell ref="I1142:I1184"/>
    <mergeCell ref="D1108:D1109"/>
    <mergeCell ref="I1108:I1109"/>
    <mergeCell ref="C1112:C1113"/>
    <mergeCell ref="D1112:D1113"/>
    <mergeCell ref="I1112:I1113"/>
    <mergeCell ref="C1187:C1189"/>
    <mergeCell ref="D1187:D1189"/>
    <mergeCell ref="I1187:I1189"/>
    <mergeCell ref="C1190:C1197"/>
    <mergeCell ref="D1190:D1197"/>
    <mergeCell ref="C1097:C1098"/>
    <mergeCell ref="D1097:D1098"/>
    <mergeCell ref="I1097:I1098"/>
    <mergeCell ref="C1099:C1100"/>
    <mergeCell ref="D1099:D1100"/>
    <mergeCell ref="I1099:I1100"/>
    <mergeCell ref="C1102:C1104"/>
    <mergeCell ref="D1102:D1104"/>
    <mergeCell ref="I1102:I1104"/>
    <mergeCell ref="C1105:C1107"/>
    <mergeCell ref="D1105:D1107"/>
    <mergeCell ref="I1105:I1107"/>
    <mergeCell ref="D1114:D1115"/>
    <mergeCell ref="I1114:I1115"/>
    <mergeCell ref="I1137:I1139"/>
    <mergeCell ref="I1190:I1197"/>
    <mergeCell ref="C1114:C1115"/>
    <mergeCell ref="C1120:C1121"/>
    <mergeCell ref="D1120:D1121"/>
    <mergeCell ref="I1120:I1121"/>
    <mergeCell ref="C1314:C1316"/>
    <mergeCell ref="D1314:D1316"/>
    <mergeCell ref="I1314:I1316"/>
    <mergeCell ref="C1202:C1203"/>
    <mergeCell ref="D1202:D1203"/>
    <mergeCell ref="I1202:I1203"/>
    <mergeCell ref="C1204:C1224"/>
    <mergeCell ref="D1204:D1224"/>
    <mergeCell ref="I1204:I1224"/>
    <mergeCell ref="C1225:C1227"/>
    <mergeCell ref="D1225:D1227"/>
    <mergeCell ref="I1225:I1227"/>
    <mergeCell ref="C1296:C1298"/>
    <mergeCell ref="D1296:D1298"/>
    <mergeCell ref="C1318:C1319"/>
    <mergeCell ref="D1318:D1319"/>
    <mergeCell ref="I1318:I1319"/>
    <mergeCell ref="D1299:D1301"/>
    <mergeCell ref="I1299:I1301"/>
    <mergeCell ref="C1299:C1301"/>
    <mergeCell ref="C1228:C1230"/>
    <mergeCell ref="D1228:D1230"/>
    <mergeCell ref="I1228:I1230"/>
    <mergeCell ref="I1296:I1298"/>
    <mergeCell ref="C1302:C1303"/>
    <mergeCell ref="D1302:D1303"/>
    <mergeCell ref="I1302:I1303"/>
    <mergeCell ref="C1304:C1306"/>
    <mergeCell ref="D1304:D1306"/>
    <mergeCell ref="I1304:I1306"/>
    <mergeCell ref="C1307:C1312"/>
    <mergeCell ref="D1307:D1312"/>
    <mergeCell ref="C1320:C1326"/>
    <mergeCell ref="D1320:D1326"/>
    <mergeCell ref="I1320:I1326"/>
    <mergeCell ref="C1327:C1331"/>
    <mergeCell ref="D1327:D1331"/>
    <mergeCell ref="I1327:I1331"/>
    <mergeCell ref="C1332:C1334"/>
    <mergeCell ref="D1332:D1334"/>
    <mergeCell ref="I1332:I1334"/>
    <mergeCell ref="C1335:C1336"/>
    <mergeCell ref="D1335:D1336"/>
    <mergeCell ref="I1335:I1336"/>
    <mergeCell ref="C1337:C1338"/>
    <mergeCell ref="D1337:D1338"/>
    <mergeCell ref="I1337:I1338"/>
    <mergeCell ref="C1345:C1346"/>
    <mergeCell ref="D1345:D1346"/>
    <mergeCell ref="I1345:I1346"/>
    <mergeCell ref="C1347:C1348"/>
    <mergeCell ref="D1347:D1348"/>
    <mergeCell ref="I1347:I1348"/>
    <mergeCell ref="C1349:C1351"/>
    <mergeCell ref="D1349:D1351"/>
    <mergeCell ref="I1349:I1351"/>
    <mergeCell ref="C1352:C1370"/>
    <mergeCell ref="D1352:D1370"/>
    <mergeCell ref="I1352:I1370"/>
    <mergeCell ref="C1372:C1374"/>
    <mergeCell ref="D1372:D1374"/>
    <mergeCell ref="I1372:I1374"/>
    <mergeCell ref="C1375:C1378"/>
    <mergeCell ref="D1375:D1378"/>
    <mergeCell ref="I1375:I1378"/>
    <mergeCell ref="C1379:C1381"/>
    <mergeCell ref="D1379:D1381"/>
    <mergeCell ref="I1379:I1381"/>
    <mergeCell ref="C1382:C1386"/>
    <mergeCell ref="D1382:D1386"/>
    <mergeCell ref="I1382:I1386"/>
    <mergeCell ref="C1387:C1388"/>
    <mergeCell ref="D1387:D1388"/>
    <mergeCell ref="I1387:I1388"/>
    <mergeCell ref="C1389:C1390"/>
    <mergeCell ref="D1389:D1390"/>
    <mergeCell ref="I1389:I1390"/>
    <mergeCell ref="C1391:C1394"/>
    <mergeCell ref="D1391:D1394"/>
    <mergeCell ref="I1391:I1394"/>
    <mergeCell ref="C1395:C1400"/>
    <mergeCell ref="D1395:D1400"/>
    <mergeCell ref="I1395:I1400"/>
    <mergeCell ref="C1401:C1403"/>
    <mergeCell ref="D1401:D1403"/>
    <mergeCell ref="I1401:I1403"/>
    <mergeCell ref="C1439:C1440"/>
    <mergeCell ref="D1439:D1440"/>
    <mergeCell ref="C1476:C1477"/>
    <mergeCell ref="D1476:D1477"/>
    <mergeCell ref="C1478:C1482"/>
    <mergeCell ref="C1404:C1405"/>
    <mergeCell ref="D1404:D1405"/>
    <mergeCell ref="I1404:I1405"/>
    <mergeCell ref="C1406:C1409"/>
    <mergeCell ref="D1406:D1409"/>
    <mergeCell ref="I1406:I1409"/>
    <mergeCell ref="C1410:C1411"/>
    <mergeCell ref="D1410:D1411"/>
    <mergeCell ref="I1410:I1411"/>
    <mergeCell ref="I1439:I1440"/>
    <mergeCell ref="C1441:C1442"/>
    <mergeCell ref="D1441:D1442"/>
    <mergeCell ref="I1441:I1442"/>
    <mergeCell ref="C1444:C1447"/>
    <mergeCell ref="F1415:F1416"/>
    <mergeCell ref="C1423:C1424"/>
    <mergeCell ref="D1423:D1424"/>
    <mergeCell ref="I1423:I1424"/>
    <mergeCell ref="C1425:C1426"/>
    <mergeCell ref="D1425:D1426"/>
    <mergeCell ref="I1425:I1426"/>
    <mergeCell ref="C1427:C1428"/>
    <mergeCell ref="D1427:D1428"/>
    <mergeCell ref="I1427:I1428"/>
    <mergeCell ref="C1412:C1422"/>
    <mergeCell ref="D1412:D1422"/>
    <mergeCell ref="I1412:I1422"/>
    <mergeCell ref="I1489:I1492"/>
    <mergeCell ref="I1501:I1503"/>
    <mergeCell ref="C1504:C1505"/>
    <mergeCell ref="D1504:D1505"/>
    <mergeCell ref="I1504:I1505"/>
    <mergeCell ref="C1493:C1495"/>
    <mergeCell ref="D1493:D1495"/>
    <mergeCell ref="I1493:I1495"/>
    <mergeCell ref="C1501:C1503"/>
    <mergeCell ref="D1501:D1503"/>
    <mergeCell ref="C1429:C1432"/>
    <mergeCell ref="D1429:D1432"/>
    <mergeCell ref="I1429:I1432"/>
    <mergeCell ref="I1444:I1447"/>
    <mergeCell ref="C1448:C1456"/>
    <mergeCell ref="D1448:D1456"/>
    <mergeCell ref="I1448:I1456"/>
    <mergeCell ref="C1457:C1461"/>
    <mergeCell ref="D1457:D1461"/>
    <mergeCell ref="I1457:I1461"/>
    <mergeCell ref="C1462:C1470"/>
    <mergeCell ref="D1462:D1470"/>
    <mergeCell ref="I1462:I1470"/>
    <mergeCell ref="C1472:C1474"/>
    <mergeCell ref="D1472:D1474"/>
    <mergeCell ref="I1472:I1474"/>
    <mergeCell ref="C1433:C1434"/>
    <mergeCell ref="D1433:D1434"/>
    <mergeCell ref="I1433:I1434"/>
    <mergeCell ref="C1436:C1438"/>
    <mergeCell ref="D1436:D1438"/>
    <mergeCell ref="I1436:I1438"/>
    <mergeCell ref="I1573:I1576"/>
    <mergeCell ref="C1583:C1586"/>
    <mergeCell ref="D1583:D1586"/>
    <mergeCell ref="I1583:I1586"/>
    <mergeCell ref="D1578:D1582"/>
    <mergeCell ref="D1478:D1482"/>
    <mergeCell ref="I1478:I1482"/>
    <mergeCell ref="C1483:C1484"/>
    <mergeCell ref="D1483:D1484"/>
    <mergeCell ref="I1483:I1484"/>
    <mergeCell ref="C1485:C1486"/>
    <mergeCell ref="D1485:D1486"/>
    <mergeCell ref="I1485:I1486"/>
    <mergeCell ref="C1487:C1488"/>
    <mergeCell ref="D1487:D1488"/>
    <mergeCell ref="I1487:I1488"/>
    <mergeCell ref="I1547:I1550"/>
    <mergeCell ref="C1520:C1522"/>
    <mergeCell ref="D1520:D1522"/>
    <mergeCell ref="I1520:I1522"/>
    <mergeCell ref="C1528:C1532"/>
    <mergeCell ref="D1528:D1532"/>
    <mergeCell ref="I1528:I1532"/>
    <mergeCell ref="C1509:C1510"/>
    <mergeCell ref="D1509:D1510"/>
    <mergeCell ref="I1509:I1510"/>
    <mergeCell ref="C1533:C1537"/>
    <mergeCell ref="D1533:D1537"/>
    <mergeCell ref="I1533:I1537"/>
    <mergeCell ref="C1538:C1546"/>
    <mergeCell ref="C1489:C1492"/>
    <mergeCell ref="D1489:D1492"/>
    <mergeCell ref="D1654:D1656"/>
    <mergeCell ref="I1654:I1656"/>
    <mergeCell ref="C1662:C1663"/>
    <mergeCell ref="D1662:D1663"/>
    <mergeCell ref="D1632:D1634"/>
    <mergeCell ref="C1506:C1507"/>
    <mergeCell ref="D1506:D1507"/>
    <mergeCell ref="I1506:I1507"/>
    <mergeCell ref="C1511:C1514"/>
    <mergeCell ref="D1511:D1514"/>
    <mergeCell ref="I1511:I1514"/>
    <mergeCell ref="C1515:C1516"/>
    <mergeCell ref="D1515:D1516"/>
    <mergeCell ref="I1515:I1516"/>
    <mergeCell ref="D1547:D1550"/>
    <mergeCell ref="C1587:C1631"/>
    <mergeCell ref="D1587:D1631"/>
    <mergeCell ref="I1587:I1631"/>
    <mergeCell ref="C1552:C1554"/>
    <mergeCell ref="D1552:D1554"/>
    <mergeCell ref="I1552:I1554"/>
    <mergeCell ref="C1555:C1559"/>
    <mergeCell ref="D1555:D1559"/>
    <mergeCell ref="I1555:I1559"/>
    <mergeCell ref="C1560:C1564"/>
    <mergeCell ref="D1560:D1564"/>
    <mergeCell ref="I1560:I1564"/>
    <mergeCell ref="C1566:C1567"/>
    <mergeCell ref="D1566:D1567"/>
    <mergeCell ref="I1566:I1567"/>
    <mergeCell ref="C1568:C1572"/>
    <mergeCell ref="C1578:C1582"/>
    <mergeCell ref="C1747:C1749"/>
    <mergeCell ref="D1747:D1749"/>
    <mergeCell ref="I1747:I1749"/>
    <mergeCell ref="I1662:I1663"/>
    <mergeCell ref="D1637:D1643"/>
    <mergeCell ref="I1578:I1582"/>
    <mergeCell ref="C1573:C1576"/>
    <mergeCell ref="D1573:D1576"/>
    <mergeCell ref="C1669:C1671"/>
    <mergeCell ref="D1669:D1671"/>
    <mergeCell ref="I1669:I1671"/>
    <mergeCell ref="C1672:C1673"/>
    <mergeCell ref="D1672:D1673"/>
    <mergeCell ref="I1672:I1673"/>
    <mergeCell ref="C1674:C1678"/>
    <mergeCell ref="D1674:D1678"/>
    <mergeCell ref="I1674:I1678"/>
    <mergeCell ref="C1679:C1681"/>
    <mergeCell ref="D1679:D1681"/>
    <mergeCell ref="I1679:I1681"/>
    <mergeCell ref="I1632:I1634"/>
    <mergeCell ref="C1635:C1648"/>
    <mergeCell ref="D1635:D1636"/>
    <mergeCell ref="I1635:I1648"/>
    <mergeCell ref="D1644:D1648"/>
    <mergeCell ref="C1649:C1650"/>
    <mergeCell ref="D1649:D1650"/>
    <mergeCell ref="I1649:I1650"/>
    <mergeCell ref="C1651:C1653"/>
    <mergeCell ref="D1651:D1653"/>
    <mergeCell ref="I1651:I1653"/>
    <mergeCell ref="C1654:C1656"/>
    <mergeCell ref="C1632:C1634"/>
    <mergeCell ref="C1808:C1818"/>
    <mergeCell ref="D1808:D1818"/>
    <mergeCell ref="I1808:I1818"/>
    <mergeCell ref="C1819:C1824"/>
    <mergeCell ref="D1819:D1824"/>
    <mergeCell ref="I1819:I1824"/>
    <mergeCell ref="I1784:I1788"/>
    <mergeCell ref="C1789:C1797"/>
    <mergeCell ref="D1789:D1797"/>
    <mergeCell ref="I1789:I1797"/>
    <mergeCell ref="C1798:C1800"/>
    <mergeCell ref="D1798:D1800"/>
    <mergeCell ref="C1773:C1775"/>
    <mergeCell ref="D1773:D1775"/>
    <mergeCell ref="I1773:I1775"/>
    <mergeCell ref="I1798:I1800"/>
    <mergeCell ref="C1801:C1806"/>
    <mergeCell ref="C1784:C1788"/>
    <mergeCell ref="D1784:D1788"/>
    <mergeCell ref="C1690:C1693"/>
    <mergeCell ref="D1690:D1693"/>
    <mergeCell ref="I1690:I1693"/>
    <mergeCell ref="C1694:C1696"/>
    <mergeCell ref="D1694:D1696"/>
    <mergeCell ref="I1694:I1696"/>
    <mergeCell ref="C1697:C1743"/>
    <mergeCell ref="D1697:D1743"/>
    <mergeCell ref="I1697:I1743"/>
    <mergeCell ref="C1750:C1751"/>
    <mergeCell ref="D1750:D1751"/>
    <mergeCell ref="I1750:I1751"/>
    <mergeCell ref="D1885:D1891"/>
    <mergeCell ref="I1885:I1891"/>
    <mergeCell ref="D1853:D1855"/>
    <mergeCell ref="I1853:I1855"/>
    <mergeCell ref="C1866:C1870"/>
    <mergeCell ref="D1866:D1870"/>
    <mergeCell ref="D1849:D1852"/>
    <mergeCell ref="I2063:I2068"/>
    <mergeCell ref="C2134:C2165"/>
    <mergeCell ref="D2134:D2165"/>
    <mergeCell ref="I2134:I2165"/>
    <mergeCell ref="C2105:C2114"/>
    <mergeCell ref="C1961:C1978"/>
    <mergeCell ref="D1961:D1978"/>
    <mergeCell ref="I1961:I1978"/>
    <mergeCell ref="C1990:C1991"/>
    <mergeCell ref="D1990:D1991"/>
    <mergeCell ref="I1990:I1991"/>
    <mergeCell ref="C1992:C1994"/>
    <mergeCell ref="D1992:D1994"/>
    <mergeCell ref="I1992:I1994"/>
    <mergeCell ref="C1995:C1999"/>
    <mergeCell ref="D1995:D1999"/>
    <mergeCell ref="I1995:I1999"/>
    <mergeCell ref="C2000:C2004"/>
    <mergeCell ref="D2000:D2004"/>
    <mergeCell ref="I2000:I2004"/>
    <mergeCell ref="C1948:C1960"/>
    <mergeCell ref="D1948:D1960"/>
    <mergeCell ref="I1948:I1960"/>
    <mergeCell ref="C1871:C1877"/>
    <mergeCell ref="C2181:C2183"/>
    <mergeCell ref="D2181:D2183"/>
    <mergeCell ref="I2181:I2183"/>
    <mergeCell ref="C2031:C2035"/>
    <mergeCell ref="D2031:D2035"/>
    <mergeCell ref="I2031:I2035"/>
    <mergeCell ref="C2036:C2052"/>
    <mergeCell ref="D2036:D2052"/>
    <mergeCell ref="I2036:I2052"/>
    <mergeCell ref="C2053:C2057"/>
    <mergeCell ref="D2053:D2057"/>
    <mergeCell ref="I2053:I2057"/>
    <mergeCell ref="I2058:I2062"/>
    <mergeCell ref="C2128:C2133"/>
    <mergeCell ref="D2128:D2133"/>
    <mergeCell ref="I2128:I2133"/>
    <mergeCell ref="C2166:C2171"/>
    <mergeCell ref="C2069:C2076"/>
    <mergeCell ref="D2069:D2076"/>
    <mergeCell ref="I2069:I2076"/>
    <mergeCell ref="C2077:C2089"/>
    <mergeCell ref="D2077:D2089"/>
    <mergeCell ref="I2077:I2089"/>
    <mergeCell ref="C2058:C2062"/>
    <mergeCell ref="D2058:D2062"/>
    <mergeCell ref="C2063:C2068"/>
    <mergeCell ref="D2063:D2068"/>
    <mergeCell ref="D2105:D2114"/>
    <mergeCell ref="I2105:I2114"/>
    <mergeCell ref="C1776:C1783"/>
    <mergeCell ref="D1776:D1783"/>
    <mergeCell ref="I1776:I1783"/>
    <mergeCell ref="C1979:C1989"/>
    <mergeCell ref="D1979:D1989"/>
    <mergeCell ref="I1979:I1989"/>
    <mergeCell ref="C2014:C2030"/>
    <mergeCell ref="D2014:D2030"/>
    <mergeCell ref="I2014:I2030"/>
    <mergeCell ref="C2005:C2009"/>
    <mergeCell ref="D2005:D2009"/>
    <mergeCell ref="I2005:I2009"/>
    <mergeCell ref="C2010:C2013"/>
    <mergeCell ref="D2010:D2013"/>
    <mergeCell ref="I2010:I2013"/>
    <mergeCell ref="D1844:D1846"/>
    <mergeCell ref="I1844:I1846"/>
    <mergeCell ref="D1878:D1881"/>
    <mergeCell ref="I1878:I1881"/>
    <mergeCell ref="C1885:C1891"/>
    <mergeCell ref="C2203:C2211"/>
    <mergeCell ref="D2203:D2211"/>
    <mergeCell ref="I2203:I2211"/>
    <mergeCell ref="C2193:C2202"/>
    <mergeCell ref="D2193:D2202"/>
    <mergeCell ref="I2193:I2202"/>
    <mergeCell ref="C2212:C2221"/>
    <mergeCell ref="D2212:D2221"/>
    <mergeCell ref="I2212:I2221"/>
    <mergeCell ref="C2184:C2192"/>
    <mergeCell ref="D2184:D2192"/>
    <mergeCell ref="I2184:I2192"/>
    <mergeCell ref="C2172:C2177"/>
    <mergeCell ref="D2172:D2177"/>
    <mergeCell ref="I2172:I2177"/>
    <mergeCell ref="C2090:C2094"/>
    <mergeCell ref="D2090:D2094"/>
    <mergeCell ref="I2090:I2094"/>
    <mergeCell ref="C2095:C2098"/>
    <mergeCell ref="D2095:D2098"/>
    <mergeCell ref="I2095:I2098"/>
    <mergeCell ref="C2099:C2102"/>
    <mergeCell ref="D2099:D2102"/>
    <mergeCell ref="I2099:I2102"/>
    <mergeCell ref="C2115:C2124"/>
    <mergeCell ref="D2115:D2124"/>
    <mergeCell ref="I2115:I2124"/>
    <mergeCell ref="D2166:D2171"/>
    <mergeCell ref="I2166:I2171"/>
    <mergeCell ref="C2125:C2127"/>
    <mergeCell ref="D2125:D2127"/>
    <mergeCell ref="I2125:I2127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8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672" sqref="D672"/>
    </sheetView>
  </sheetViews>
  <sheetFormatPr defaultRowHeight="11.25" x14ac:dyDescent="0.2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9.140625" style="4" customWidth="1"/>
    <col min="11" max="11" width="9.140625" style="4"/>
    <col min="12" max="12" width="11.140625" style="4" customWidth="1"/>
    <col min="13" max="16384" width="9.140625" style="4"/>
  </cols>
  <sheetData>
    <row r="1" spans="1:14" x14ac:dyDescent="0.2">
      <c r="F1" s="5"/>
    </row>
    <row r="2" spans="1:14" ht="15" customHeight="1" x14ac:dyDescent="0.2">
      <c r="A2" s="7"/>
      <c r="B2" s="991" t="s">
        <v>11705</v>
      </c>
      <c r="C2" s="991"/>
      <c r="D2" s="991"/>
      <c r="E2" s="991"/>
      <c r="F2" s="991"/>
      <c r="G2" s="89"/>
      <c r="H2" s="6"/>
    </row>
    <row r="3" spans="1:14" ht="8.25" customHeight="1" x14ac:dyDescent="0.2">
      <c r="A3" s="4"/>
      <c r="C3" s="130"/>
      <c r="I3" s="4" t="s">
        <v>384</v>
      </c>
    </row>
    <row r="4" spans="1:14" ht="84.75" customHeight="1" x14ac:dyDescent="0.2">
      <c r="A4" s="305" t="s">
        <v>11707</v>
      </c>
      <c r="B4" s="305" t="s">
        <v>11708</v>
      </c>
      <c r="C4" s="305" t="s">
        <v>11709</v>
      </c>
      <c r="D4" s="305" t="s">
        <v>11711</v>
      </c>
      <c r="E4" s="305" t="s">
        <v>11716</v>
      </c>
      <c r="F4" s="305" t="s">
        <v>11713</v>
      </c>
      <c r="G4" s="305" t="s">
        <v>11714</v>
      </c>
      <c r="H4" s="305" t="s">
        <v>11715</v>
      </c>
      <c r="I4" s="305" t="s">
        <v>11718</v>
      </c>
      <c r="J4" s="305" t="s">
        <v>11717</v>
      </c>
    </row>
    <row r="5" spans="1:14" s="13" customFormat="1" ht="12.7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  <c r="N5" s="13" t="s">
        <v>13816</v>
      </c>
    </row>
    <row r="6" spans="1:14" ht="12.75" customHeight="1" x14ac:dyDescent="0.2">
      <c r="A6" s="308" t="s">
        <v>301</v>
      </c>
      <c r="B6" s="1002" t="s">
        <v>2827</v>
      </c>
      <c r="C6" s="1003"/>
      <c r="D6" s="309"/>
      <c r="E6" s="310"/>
      <c r="F6" s="311"/>
      <c r="G6" s="47"/>
      <c r="H6" s="47"/>
      <c r="I6" s="47"/>
      <c r="J6" s="47"/>
    </row>
    <row r="7" spans="1:14" ht="45.75" customHeight="1" x14ac:dyDescent="0.2">
      <c r="A7" s="646" t="s">
        <v>5469</v>
      </c>
      <c r="B7" s="646" t="s">
        <v>3996</v>
      </c>
      <c r="C7" s="646" t="s">
        <v>8706</v>
      </c>
      <c r="D7" s="642"/>
      <c r="E7" s="642"/>
      <c r="F7" s="113">
        <v>7.92</v>
      </c>
      <c r="G7" s="646" t="s">
        <v>3986</v>
      </c>
      <c r="H7" s="43"/>
      <c r="I7" s="646" t="s">
        <v>8941</v>
      </c>
      <c r="J7" s="646" t="s">
        <v>8941</v>
      </c>
    </row>
    <row r="8" spans="1:14" ht="56.25" customHeight="1" x14ac:dyDescent="0.2">
      <c r="A8" s="646" t="s">
        <v>2158</v>
      </c>
      <c r="B8" s="12" t="s">
        <v>494</v>
      </c>
      <c r="C8" s="12" t="s">
        <v>5862</v>
      </c>
      <c r="D8" s="12"/>
      <c r="E8" s="12" t="s">
        <v>4013</v>
      </c>
      <c r="F8" s="245">
        <v>24.6</v>
      </c>
      <c r="G8" s="12" t="s">
        <v>3250</v>
      </c>
      <c r="H8" s="155"/>
      <c r="I8" s="646" t="s">
        <v>4011</v>
      </c>
      <c r="J8" s="646" t="s">
        <v>4011</v>
      </c>
    </row>
    <row r="9" spans="1:14" s="70" customFormat="1" ht="33.75" customHeight="1" x14ac:dyDescent="0.2">
      <c r="A9" s="646" t="s">
        <v>6909</v>
      </c>
      <c r="B9" s="646" t="s">
        <v>7162</v>
      </c>
      <c r="C9" s="646" t="s">
        <v>7079</v>
      </c>
      <c r="D9" s="642" t="s">
        <v>7114</v>
      </c>
      <c r="E9" s="642" t="s">
        <v>7057</v>
      </c>
      <c r="F9" s="216">
        <v>58.88</v>
      </c>
      <c r="G9" s="49" t="s">
        <v>85</v>
      </c>
      <c r="H9" s="43">
        <v>1790328.52</v>
      </c>
      <c r="I9" s="84" t="s">
        <v>4377</v>
      </c>
      <c r="J9" s="84" t="s">
        <v>4377</v>
      </c>
    </row>
    <row r="10" spans="1:14" s="70" customFormat="1" ht="31.5" customHeight="1" x14ac:dyDescent="0.2">
      <c r="A10" s="646" t="s">
        <v>7055</v>
      </c>
      <c r="B10" s="646" t="s">
        <v>7162</v>
      </c>
      <c r="C10" s="646" t="s">
        <v>7080</v>
      </c>
      <c r="D10" s="642" t="s">
        <v>7113</v>
      </c>
      <c r="E10" s="642" t="s">
        <v>7057</v>
      </c>
      <c r="F10" s="216">
        <v>56.75</v>
      </c>
      <c r="G10" s="49">
        <v>1981</v>
      </c>
      <c r="H10" s="23">
        <v>1726496.78</v>
      </c>
      <c r="I10" s="49" t="s">
        <v>3946</v>
      </c>
      <c r="J10" s="49" t="s">
        <v>3946</v>
      </c>
    </row>
    <row r="11" spans="1:14" s="70" customFormat="1" ht="35.25" customHeight="1" x14ac:dyDescent="0.2">
      <c r="A11" s="646" t="s">
        <v>7056</v>
      </c>
      <c r="B11" s="646" t="s">
        <v>7162</v>
      </c>
      <c r="C11" s="646" t="s">
        <v>7081</v>
      </c>
      <c r="D11" s="642" t="s">
        <v>7112</v>
      </c>
      <c r="E11" s="20" t="s">
        <v>3971</v>
      </c>
      <c r="F11" s="217">
        <v>37.619999999999997</v>
      </c>
      <c r="G11" s="49">
        <v>1981</v>
      </c>
      <c r="H11" s="23">
        <v>1142892.23</v>
      </c>
      <c r="I11" s="49" t="s">
        <v>4042</v>
      </c>
      <c r="J11" s="49" t="s">
        <v>4043</v>
      </c>
    </row>
    <row r="12" spans="1:14" s="5" customFormat="1" ht="34.5" customHeight="1" x14ac:dyDescent="0.2">
      <c r="A12" s="646" t="s">
        <v>2159</v>
      </c>
      <c r="B12" s="646" t="s">
        <v>5954</v>
      </c>
      <c r="C12" s="646" t="s">
        <v>5520</v>
      </c>
      <c r="D12" s="642" t="s">
        <v>6687</v>
      </c>
      <c r="E12" s="642" t="s">
        <v>7058</v>
      </c>
      <c r="F12" s="113">
        <v>529.79999999999995</v>
      </c>
      <c r="G12" s="646">
        <v>1987</v>
      </c>
      <c r="H12" s="43">
        <v>9676301.9600000009</v>
      </c>
      <c r="I12" s="646" t="s">
        <v>3922</v>
      </c>
      <c r="J12" s="646" t="s">
        <v>3063</v>
      </c>
    </row>
    <row r="13" spans="1:14" s="71" customFormat="1" ht="36" customHeight="1" x14ac:dyDescent="0.2">
      <c r="A13" s="630" t="s">
        <v>2160</v>
      </c>
      <c r="B13" s="630" t="s">
        <v>514</v>
      </c>
      <c r="C13" s="646" t="s">
        <v>5522</v>
      </c>
      <c r="D13" s="642" t="s">
        <v>6197</v>
      </c>
      <c r="E13" s="642"/>
      <c r="F13" s="113">
        <v>3348.6</v>
      </c>
      <c r="G13" s="646" t="s">
        <v>167</v>
      </c>
      <c r="H13" s="43">
        <v>14519362.17</v>
      </c>
      <c r="I13" s="630" t="s">
        <v>515</v>
      </c>
      <c r="J13" s="630" t="s">
        <v>515</v>
      </c>
    </row>
    <row r="14" spans="1:14" s="124" customFormat="1" ht="43.5" customHeight="1" x14ac:dyDescent="0.2">
      <c r="A14" s="646" t="s">
        <v>2161</v>
      </c>
      <c r="B14" s="646" t="s">
        <v>8724</v>
      </c>
      <c r="C14" s="646" t="s">
        <v>8448</v>
      </c>
      <c r="D14" s="20" t="s">
        <v>8725</v>
      </c>
      <c r="E14" s="642" t="s">
        <v>8531</v>
      </c>
      <c r="F14" s="113">
        <v>117.4</v>
      </c>
      <c r="G14" s="646" t="s">
        <v>534</v>
      </c>
      <c r="H14" s="43"/>
      <c r="I14" s="210" t="s">
        <v>9288</v>
      </c>
      <c r="J14" s="210" t="s">
        <v>9288</v>
      </c>
    </row>
    <row r="15" spans="1:14" s="70" customFormat="1" ht="48.75" customHeight="1" x14ac:dyDescent="0.2">
      <c r="A15" s="646" t="s">
        <v>2162</v>
      </c>
      <c r="B15" s="646" t="s">
        <v>2170</v>
      </c>
      <c r="C15" s="646" t="s">
        <v>5523</v>
      </c>
      <c r="D15" s="99" t="s">
        <v>5575</v>
      </c>
      <c r="E15" s="642" t="s">
        <v>5466</v>
      </c>
      <c r="F15" s="113">
        <f>873.1-277.3</f>
        <v>595.79999999999995</v>
      </c>
      <c r="G15" s="646" t="s">
        <v>3872</v>
      </c>
      <c r="H15" s="637">
        <v>23294421.5</v>
      </c>
      <c r="I15" s="646" t="s">
        <v>9289</v>
      </c>
      <c r="J15" s="646" t="s">
        <v>9289</v>
      </c>
    </row>
    <row r="16" spans="1:14" s="70" customFormat="1" ht="38.25" customHeight="1" x14ac:dyDescent="0.2">
      <c r="A16" s="646" t="s">
        <v>2163</v>
      </c>
      <c r="B16" s="646" t="s">
        <v>11084</v>
      </c>
      <c r="C16" s="646" t="s">
        <v>5524</v>
      </c>
      <c r="D16" s="642" t="s">
        <v>6289</v>
      </c>
      <c r="E16" s="642" t="s">
        <v>6290</v>
      </c>
      <c r="F16" s="113">
        <v>454.5</v>
      </c>
      <c r="G16" s="646">
        <v>1962</v>
      </c>
      <c r="H16" s="43">
        <v>13815013.82</v>
      </c>
      <c r="I16" s="646" t="s">
        <v>88</v>
      </c>
      <c r="J16" s="646" t="s">
        <v>88</v>
      </c>
    </row>
    <row r="17" spans="1:10" s="70" customFormat="1" ht="33.75" customHeight="1" x14ac:dyDescent="0.2">
      <c r="A17" s="646" t="s">
        <v>2164</v>
      </c>
      <c r="B17" s="646" t="s">
        <v>11069</v>
      </c>
      <c r="C17" s="646" t="s">
        <v>5524</v>
      </c>
      <c r="D17" s="642" t="s">
        <v>11066</v>
      </c>
      <c r="E17" s="642" t="s">
        <v>183</v>
      </c>
      <c r="F17" s="113">
        <v>195</v>
      </c>
      <c r="G17" s="646">
        <v>1962</v>
      </c>
      <c r="H17" s="43"/>
      <c r="I17" s="646" t="s">
        <v>88</v>
      </c>
      <c r="J17" s="646" t="s">
        <v>88</v>
      </c>
    </row>
    <row r="18" spans="1:10" s="70" customFormat="1" ht="37.5" customHeight="1" x14ac:dyDescent="0.2">
      <c r="A18" s="646" t="s">
        <v>2165</v>
      </c>
      <c r="B18" s="630" t="s">
        <v>11070</v>
      </c>
      <c r="C18" s="630" t="s">
        <v>144</v>
      </c>
      <c r="D18" s="640" t="s">
        <v>6291</v>
      </c>
      <c r="E18" s="640" t="s">
        <v>6692</v>
      </c>
      <c r="F18" s="362">
        <v>757.5</v>
      </c>
      <c r="G18" s="630">
        <v>1992</v>
      </c>
      <c r="H18" s="637">
        <v>19573640.93</v>
      </c>
      <c r="I18" s="630" t="s">
        <v>10425</v>
      </c>
      <c r="J18" s="630" t="s">
        <v>10425</v>
      </c>
    </row>
    <row r="19" spans="1:10" s="60" customFormat="1" ht="23.25" customHeight="1" x14ac:dyDescent="0.2">
      <c r="A19" s="646" t="s">
        <v>3305</v>
      </c>
      <c r="B19" s="10" t="s">
        <v>3667</v>
      </c>
      <c r="C19" s="10" t="s">
        <v>5863</v>
      </c>
      <c r="D19" s="12"/>
      <c r="E19" s="12"/>
      <c r="F19" s="151">
        <v>138.69999999999999</v>
      </c>
      <c r="G19" s="10">
        <v>1985</v>
      </c>
      <c r="H19" s="155"/>
      <c r="I19" s="10" t="s">
        <v>3555</v>
      </c>
      <c r="J19" s="10" t="s">
        <v>3556</v>
      </c>
    </row>
    <row r="20" spans="1:10" s="70" customFormat="1" ht="37.5" customHeight="1" x14ac:dyDescent="0.2">
      <c r="A20" s="646" t="s">
        <v>2166</v>
      </c>
      <c r="B20" s="631" t="s">
        <v>11071</v>
      </c>
      <c r="C20" s="101" t="s">
        <v>9003</v>
      </c>
      <c r="D20" s="99" t="s">
        <v>6812</v>
      </c>
      <c r="E20" s="641" t="s">
        <v>9040</v>
      </c>
      <c r="F20" s="236">
        <f>2455.8-73.1-49.8</f>
        <v>2332.9</v>
      </c>
      <c r="G20" s="631">
        <v>1982</v>
      </c>
      <c r="H20" s="638">
        <v>61319975.310000002</v>
      </c>
      <c r="I20" s="101" t="s">
        <v>9049</v>
      </c>
      <c r="J20" s="101" t="s">
        <v>9049</v>
      </c>
    </row>
    <row r="21" spans="1:10" s="70" customFormat="1" ht="38.25" customHeight="1" x14ac:dyDescent="0.2">
      <c r="A21" s="646" t="s">
        <v>2448</v>
      </c>
      <c r="B21" s="646" t="s">
        <v>518</v>
      </c>
      <c r="C21" s="156"/>
      <c r="D21" s="642"/>
      <c r="E21" s="642" t="s">
        <v>2402</v>
      </c>
      <c r="F21" s="192"/>
      <c r="G21" s="646">
        <v>2006</v>
      </c>
      <c r="H21" s="43"/>
      <c r="I21" s="101" t="s">
        <v>9049</v>
      </c>
      <c r="J21" s="101" t="s">
        <v>8939</v>
      </c>
    </row>
    <row r="22" spans="1:10" s="70" customFormat="1" ht="36" customHeight="1" x14ac:dyDescent="0.2">
      <c r="A22" s="646" t="s">
        <v>2167</v>
      </c>
      <c r="B22" s="646" t="s">
        <v>11070</v>
      </c>
      <c r="C22" s="646" t="s">
        <v>6222</v>
      </c>
      <c r="D22" s="642" t="s">
        <v>5576</v>
      </c>
      <c r="E22" s="642" t="s">
        <v>5561</v>
      </c>
      <c r="F22" s="85">
        <v>1758.7</v>
      </c>
      <c r="G22" s="646" t="s">
        <v>78</v>
      </c>
      <c r="H22" s="43">
        <v>35000000</v>
      </c>
      <c r="I22" s="642" t="s">
        <v>9379</v>
      </c>
      <c r="J22" s="642" t="s">
        <v>9379</v>
      </c>
    </row>
    <row r="23" spans="1:10" s="61" customFormat="1" ht="45.75" customHeight="1" x14ac:dyDescent="0.2">
      <c r="A23" s="646" t="s">
        <v>2168</v>
      </c>
      <c r="B23" s="646" t="s">
        <v>11745</v>
      </c>
      <c r="C23" s="646" t="s">
        <v>5525</v>
      </c>
      <c r="D23" s="642" t="s">
        <v>5577</v>
      </c>
      <c r="E23" s="642" t="s">
        <v>5560</v>
      </c>
      <c r="F23" s="113">
        <f>2817.7-143.5-14.7-15.2-32.2</f>
        <v>2612.1000000000004</v>
      </c>
      <c r="G23" s="646">
        <v>1939</v>
      </c>
      <c r="H23" s="43">
        <v>28971535.050000001</v>
      </c>
      <c r="I23" s="646" t="s">
        <v>3071</v>
      </c>
      <c r="J23" s="646" t="s">
        <v>3071</v>
      </c>
    </row>
    <row r="24" spans="1:10" s="70" customFormat="1" ht="46.5" customHeight="1" x14ac:dyDescent="0.2">
      <c r="A24" s="646" t="s">
        <v>2169</v>
      </c>
      <c r="B24" s="646" t="s">
        <v>11072</v>
      </c>
      <c r="C24" s="101" t="s">
        <v>5526</v>
      </c>
      <c r="D24" s="99" t="s">
        <v>6293</v>
      </c>
      <c r="E24" s="642" t="s">
        <v>6294</v>
      </c>
      <c r="F24" s="113">
        <f>3288.8 -448-816</f>
        <v>2024.8000000000002</v>
      </c>
      <c r="G24" s="646">
        <v>1958</v>
      </c>
      <c r="H24" s="43">
        <v>40682982.210000001</v>
      </c>
      <c r="I24" s="101" t="s">
        <v>97</v>
      </c>
      <c r="J24" s="101" t="s">
        <v>97</v>
      </c>
    </row>
    <row r="25" spans="1:10" ht="47.25" customHeight="1" x14ac:dyDescent="0.2">
      <c r="A25" s="646" t="s">
        <v>2449</v>
      </c>
      <c r="B25" s="33" t="s">
        <v>293</v>
      </c>
      <c r="C25" s="141" t="s">
        <v>5527</v>
      </c>
      <c r="D25" s="139"/>
      <c r="E25" s="12" t="s">
        <v>7155</v>
      </c>
      <c r="F25" s="93">
        <v>448</v>
      </c>
      <c r="G25" s="646">
        <v>1958</v>
      </c>
      <c r="H25" s="43"/>
      <c r="I25" s="646" t="s">
        <v>3967</v>
      </c>
      <c r="J25" s="646" t="s">
        <v>3967</v>
      </c>
    </row>
    <row r="26" spans="1:10" ht="45.75" customHeight="1" x14ac:dyDescent="0.2">
      <c r="A26" s="646" t="s">
        <v>2450</v>
      </c>
      <c r="B26" s="33" t="s">
        <v>293</v>
      </c>
      <c r="C26" s="141" t="s">
        <v>5527</v>
      </c>
      <c r="D26" s="139"/>
      <c r="E26" s="5" t="s">
        <v>7156</v>
      </c>
      <c r="F26" s="93">
        <v>433</v>
      </c>
      <c r="G26" s="646" t="s">
        <v>4507</v>
      </c>
      <c r="H26" s="43"/>
      <c r="I26" s="646" t="s">
        <v>3967</v>
      </c>
      <c r="J26" s="646" t="s">
        <v>3967</v>
      </c>
    </row>
    <row r="27" spans="1:10" ht="47.25" customHeight="1" x14ac:dyDescent="0.2">
      <c r="A27" s="647" t="s">
        <v>2893</v>
      </c>
      <c r="B27" s="646" t="s">
        <v>293</v>
      </c>
      <c r="C27" s="83" t="s">
        <v>5526</v>
      </c>
      <c r="D27" s="139"/>
      <c r="E27" s="8" t="s">
        <v>7156</v>
      </c>
      <c r="F27" s="35">
        <f>816-433-282</f>
        <v>101</v>
      </c>
      <c r="G27" s="647">
        <v>1958</v>
      </c>
      <c r="H27" s="43"/>
      <c r="I27" s="646" t="s">
        <v>3967</v>
      </c>
      <c r="J27" s="646" t="s">
        <v>3967</v>
      </c>
    </row>
    <row r="28" spans="1:10" ht="48.75" customHeight="1" x14ac:dyDescent="0.2">
      <c r="A28" s="646" t="s">
        <v>5920</v>
      </c>
      <c r="B28" s="33" t="s">
        <v>293</v>
      </c>
      <c r="C28" s="141" t="s">
        <v>5527</v>
      </c>
      <c r="D28" s="139"/>
      <c r="E28" s="12" t="s">
        <v>7156</v>
      </c>
      <c r="F28" s="93">
        <v>282</v>
      </c>
      <c r="G28" s="646" t="s">
        <v>4507</v>
      </c>
      <c r="H28" s="43"/>
      <c r="I28" s="646" t="s">
        <v>3967</v>
      </c>
      <c r="J28" s="646" t="s">
        <v>3967</v>
      </c>
    </row>
    <row r="29" spans="1:10" s="70" customFormat="1" ht="45" customHeight="1" x14ac:dyDescent="0.2">
      <c r="A29" s="646" t="s">
        <v>7552</v>
      </c>
      <c r="B29" s="646" t="s">
        <v>98</v>
      </c>
      <c r="C29" s="141" t="s">
        <v>5527</v>
      </c>
      <c r="D29" s="20"/>
      <c r="E29" s="642" t="s">
        <v>2402</v>
      </c>
      <c r="F29" s="113"/>
      <c r="G29" s="646">
        <v>1978</v>
      </c>
      <c r="H29" s="43"/>
      <c r="I29" s="646" t="s">
        <v>97</v>
      </c>
      <c r="J29" s="646" t="s">
        <v>97</v>
      </c>
    </row>
    <row r="30" spans="1:10" s="70" customFormat="1" ht="48" customHeight="1" x14ac:dyDescent="0.2">
      <c r="A30" s="646" t="s">
        <v>2451</v>
      </c>
      <c r="B30" s="646" t="s">
        <v>6283</v>
      </c>
      <c r="C30" s="646" t="s">
        <v>5526</v>
      </c>
      <c r="D30" s="642" t="s">
        <v>6583</v>
      </c>
      <c r="E30" s="642" t="s">
        <v>183</v>
      </c>
      <c r="F30" s="113">
        <v>171</v>
      </c>
      <c r="G30" s="646">
        <v>1958</v>
      </c>
      <c r="H30" s="43">
        <v>1756614.6</v>
      </c>
      <c r="I30" s="276" t="s">
        <v>12725</v>
      </c>
      <c r="J30" s="276" t="s">
        <v>12725</v>
      </c>
    </row>
    <row r="31" spans="1:10" s="70" customFormat="1" ht="48.75" customHeight="1" x14ac:dyDescent="0.2">
      <c r="A31" s="646" t="s">
        <v>2171</v>
      </c>
      <c r="B31" s="646" t="s">
        <v>11073</v>
      </c>
      <c r="C31" s="646" t="s">
        <v>5528</v>
      </c>
      <c r="D31" s="12" t="s">
        <v>5941</v>
      </c>
      <c r="E31" s="642" t="s">
        <v>183</v>
      </c>
      <c r="F31" s="113">
        <f>1455.3</f>
        <v>1455.3</v>
      </c>
      <c r="G31" s="646">
        <v>1950</v>
      </c>
      <c r="H31" s="43">
        <v>19798439.66</v>
      </c>
      <c r="I31" s="646" t="s">
        <v>100</v>
      </c>
      <c r="J31" s="646" t="s">
        <v>100</v>
      </c>
    </row>
    <row r="32" spans="1:10" s="70" customFormat="1" ht="47.25" customHeight="1" x14ac:dyDescent="0.2">
      <c r="A32" s="646" t="s">
        <v>2172</v>
      </c>
      <c r="B32" s="646" t="s">
        <v>8710</v>
      </c>
      <c r="C32" s="646" t="s">
        <v>5528</v>
      </c>
      <c r="D32" s="12" t="s">
        <v>5941</v>
      </c>
      <c r="E32" s="642" t="s">
        <v>7551</v>
      </c>
      <c r="F32" s="113">
        <f>324</f>
        <v>324</v>
      </c>
      <c r="G32" s="646">
        <v>1990</v>
      </c>
      <c r="H32" s="43"/>
      <c r="I32" s="646" t="s">
        <v>100</v>
      </c>
      <c r="J32" s="646" t="s">
        <v>100</v>
      </c>
    </row>
    <row r="33" spans="1:10" s="70" customFormat="1" ht="49.5" customHeight="1" x14ac:dyDescent="0.2">
      <c r="A33" s="646" t="s">
        <v>2173</v>
      </c>
      <c r="B33" s="646" t="s">
        <v>8646</v>
      </c>
      <c r="C33" s="646" t="s">
        <v>5528</v>
      </c>
      <c r="D33" s="20" t="s">
        <v>8708</v>
      </c>
      <c r="E33" s="642" t="s">
        <v>8620</v>
      </c>
      <c r="F33" s="113">
        <v>43.6</v>
      </c>
      <c r="G33" s="646" t="s">
        <v>517</v>
      </c>
      <c r="H33" s="43">
        <v>168170.43</v>
      </c>
      <c r="I33" s="646" t="s">
        <v>100</v>
      </c>
      <c r="J33" s="646" t="s">
        <v>100</v>
      </c>
    </row>
    <row r="34" spans="1:10" s="70" customFormat="1" ht="46.5" customHeight="1" x14ac:dyDescent="0.2">
      <c r="A34" s="646" t="s">
        <v>2174</v>
      </c>
      <c r="B34" s="646" t="s">
        <v>8645</v>
      </c>
      <c r="C34" s="646" t="s">
        <v>5528</v>
      </c>
      <c r="D34" s="984" t="s">
        <v>8709</v>
      </c>
      <c r="E34" s="642" t="s">
        <v>63</v>
      </c>
      <c r="F34" s="992">
        <v>109</v>
      </c>
      <c r="G34" s="646" t="s">
        <v>4343</v>
      </c>
      <c r="H34" s="43">
        <v>420426.08</v>
      </c>
      <c r="I34" s="646" t="s">
        <v>100</v>
      </c>
      <c r="J34" s="646" t="s">
        <v>100</v>
      </c>
    </row>
    <row r="35" spans="1:10" s="70" customFormat="1" ht="48.75" customHeight="1" x14ac:dyDescent="0.2">
      <c r="A35" s="646" t="s">
        <v>2175</v>
      </c>
      <c r="B35" s="646" t="s">
        <v>2178</v>
      </c>
      <c r="C35" s="646" t="s">
        <v>5528</v>
      </c>
      <c r="D35" s="986"/>
      <c r="E35" s="642" t="s">
        <v>63</v>
      </c>
      <c r="F35" s="993"/>
      <c r="G35" s="646" t="s">
        <v>4343</v>
      </c>
      <c r="H35" s="43"/>
      <c r="I35" s="646" t="s">
        <v>100</v>
      </c>
      <c r="J35" s="646" t="s">
        <v>100</v>
      </c>
    </row>
    <row r="36" spans="1:10" s="70" customFormat="1" ht="48" customHeight="1" x14ac:dyDescent="0.2">
      <c r="A36" s="646" t="s">
        <v>2176</v>
      </c>
      <c r="B36" s="646" t="s">
        <v>12211</v>
      </c>
      <c r="C36" s="646" t="s">
        <v>5528</v>
      </c>
      <c r="D36" s="642" t="s">
        <v>11362</v>
      </c>
      <c r="E36" s="642" t="s">
        <v>63</v>
      </c>
      <c r="F36" s="113">
        <v>34.799999999999997</v>
      </c>
      <c r="G36" s="646">
        <v>2001</v>
      </c>
      <c r="H36" s="43">
        <v>446182.28</v>
      </c>
      <c r="I36" s="646" t="s">
        <v>100</v>
      </c>
      <c r="J36" s="646" t="s">
        <v>100</v>
      </c>
    </row>
    <row r="37" spans="1:10" ht="48" customHeight="1" x14ac:dyDescent="0.2">
      <c r="A37" s="630" t="s">
        <v>2177</v>
      </c>
      <c r="B37" s="630" t="s">
        <v>11073</v>
      </c>
      <c r="C37" s="101" t="s">
        <v>5529</v>
      </c>
      <c r="D37" s="20" t="s">
        <v>5578</v>
      </c>
      <c r="E37" s="642" t="s">
        <v>5562</v>
      </c>
      <c r="F37" s="113">
        <f>7018.1</f>
        <v>7018.1</v>
      </c>
      <c r="G37" s="646" t="s">
        <v>74</v>
      </c>
      <c r="H37" s="23">
        <v>90000000</v>
      </c>
      <c r="I37" s="101" t="s">
        <v>3241</v>
      </c>
      <c r="J37" s="101" t="s">
        <v>3241</v>
      </c>
    </row>
    <row r="38" spans="1:10" ht="45.75" customHeight="1" x14ac:dyDescent="0.2">
      <c r="A38" s="646" t="s">
        <v>2179</v>
      </c>
      <c r="B38" s="646" t="s">
        <v>11068</v>
      </c>
      <c r="C38" s="646" t="s">
        <v>5529</v>
      </c>
      <c r="D38" s="20" t="s">
        <v>11067</v>
      </c>
      <c r="E38" s="43"/>
      <c r="F38" s="113">
        <v>214</v>
      </c>
      <c r="G38" s="646">
        <v>1994</v>
      </c>
      <c r="H38" s="43">
        <v>2793596.66</v>
      </c>
      <c r="I38" s="646" t="s">
        <v>3240</v>
      </c>
      <c r="J38" s="646" t="s">
        <v>3240</v>
      </c>
    </row>
    <row r="39" spans="1:10" ht="47.25" customHeight="1" x14ac:dyDescent="0.2">
      <c r="A39" s="646" t="s">
        <v>2180</v>
      </c>
      <c r="B39" s="646" t="s">
        <v>11073</v>
      </c>
      <c r="C39" s="646" t="s">
        <v>5517</v>
      </c>
      <c r="D39" s="642" t="s">
        <v>5579</v>
      </c>
      <c r="E39" s="642" t="s">
        <v>5563</v>
      </c>
      <c r="F39" s="113">
        <f>5264.7</f>
        <v>5264.7</v>
      </c>
      <c r="G39" s="646" t="s">
        <v>166</v>
      </c>
      <c r="H39" s="43">
        <v>75000000</v>
      </c>
      <c r="I39" s="646" t="s">
        <v>3239</v>
      </c>
      <c r="J39" s="646" t="s">
        <v>3239</v>
      </c>
    </row>
    <row r="40" spans="1:10" ht="46.5" customHeight="1" x14ac:dyDescent="0.2">
      <c r="A40" s="646" t="s">
        <v>2181</v>
      </c>
      <c r="B40" s="646" t="s">
        <v>11074</v>
      </c>
      <c r="C40" s="646" t="s">
        <v>5517</v>
      </c>
      <c r="D40" s="20" t="s">
        <v>8919</v>
      </c>
      <c r="E40" s="642" t="s">
        <v>8647</v>
      </c>
      <c r="F40" s="113">
        <v>98.6</v>
      </c>
      <c r="G40" s="646">
        <v>1989</v>
      </c>
      <c r="H40" s="43">
        <v>1865736.81</v>
      </c>
      <c r="I40" s="646" t="s">
        <v>3239</v>
      </c>
      <c r="J40" s="646" t="s">
        <v>3239</v>
      </c>
    </row>
    <row r="41" spans="1:10" ht="43.5" customHeight="1" x14ac:dyDescent="0.2">
      <c r="A41" s="646" t="s">
        <v>2182</v>
      </c>
      <c r="B41" s="646" t="s">
        <v>11068</v>
      </c>
      <c r="C41" s="646" t="s">
        <v>5517</v>
      </c>
      <c r="D41" s="20" t="s">
        <v>8711</v>
      </c>
      <c r="E41" s="642" t="s">
        <v>183</v>
      </c>
      <c r="F41" s="113">
        <v>105.2</v>
      </c>
      <c r="G41" s="646">
        <v>1989</v>
      </c>
      <c r="H41" s="43">
        <v>1990623.86</v>
      </c>
      <c r="I41" s="646" t="s">
        <v>3239</v>
      </c>
      <c r="J41" s="646" t="s">
        <v>3239</v>
      </c>
    </row>
    <row r="42" spans="1:10" ht="29.25" customHeight="1" x14ac:dyDescent="0.2">
      <c r="A42" s="646" t="s">
        <v>2183</v>
      </c>
      <c r="B42" s="647" t="s">
        <v>3605</v>
      </c>
      <c r="C42" s="49" t="s">
        <v>5518</v>
      </c>
      <c r="D42" s="642"/>
      <c r="E42" s="33" t="s">
        <v>3244</v>
      </c>
      <c r="F42" s="113">
        <f>3918.8-87.2+813-274.9-408.2-307.6</f>
        <v>3653.900000000001</v>
      </c>
      <c r="G42" s="647">
        <v>1992</v>
      </c>
      <c r="H42" s="23"/>
      <c r="I42" s="647" t="s">
        <v>3290</v>
      </c>
      <c r="J42" s="647" t="s">
        <v>3290</v>
      </c>
    </row>
    <row r="43" spans="1:10" ht="21.75" customHeight="1" x14ac:dyDescent="0.2">
      <c r="A43" s="646" t="s">
        <v>2452</v>
      </c>
      <c r="B43" s="997" t="s">
        <v>3811</v>
      </c>
      <c r="C43" s="998"/>
      <c r="D43" s="116" t="s">
        <v>9414</v>
      </c>
      <c r="E43" s="91" t="s">
        <v>3244</v>
      </c>
      <c r="F43" s="95"/>
      <c r="G43" s="8"/>
      <c r="H43" s="43">
        <v>1382010.5</v>
      </c>
      <c r="I43" s="8"/>
      <c r="J43" s="8"/>
    </row>
    <row r="44" spans="1:10" s="70" customFormat="1" ht="72.75" customHeight="1" x14ac:dyDescent="0.2">
      <c r="A44" s="646" t="s">
        <v>3296</v>
      </c>
      <c r="B44" s="33" t="s">
        <v>292</v>
      </c>
      <c r="C44" s="648" t="s">
        <v>5518</v>
      </c>
      <c r="D44" s="20" t="s">
        <v>6395</v>
      </c>
      <c r="E44" s="213" t="s">
        <v>3342</v>
      </c>
      <c r="F44" s="125">
        <f>91.2</f>
        <v>91.2</v>
      </c>
      <c r="G44" s="20">
        <v>1992</v>
      </c>
      <c r="H44" s="43">
        <v>288876.90999999997</v>
      </c>
      <c r="I44" s="34" t="s">
        <v>77</v>
      </c>
      <c r="J44" s="34" t="s">
        <v>77</v>
      </c>
    </row>
    <row r="45" spans="1:10" s="87" customFormat="1" ht="123.75" customHeight="1" x14ac:dyDescent="0.2">
      <c r="A45" s="33" t="s">
        <v>3791</v>
      </c>
      <c r="B45" s="33" t="s">
        <v>2431</v>
      </c>
      <c r="C45" s="650" t="s">
        <v>5518</v>
      </c>
      <c r="D45" s="12" t="s">
        <v>9121</v>
      </c>
      <c r="E45" s="33" t="s">
        <v>4028</v>
      </c>
      <c r="F45" s="93">
        <f>40-17.7</f>
        <v>22.3</v>
      </c>
      <c r="G45" s="20" t="s">
        <v>78</v>
      </c>
      <c r="H45" s="43"/>
      <c r="I45" s="34" t="s">
        <v>13458</v>
      </c>
      <c r="J45" s="706" t="s">
        <v>13856</v>
      </c>
    </row>
    <row r="46" spans="1:10" s="87" customFormat="1" ht="40.5" customHeight="1" x14ac:dyDescent="0.2">
      <c r="A46" s="33" t="s">
        <v>3792</v>
      </c>
      <c r="B46" s="33" t="s">
        <v>2431</v>
      </c>
      <c r="C46" s="650" t="s">
        <v>5518</v>
      </c>
      <c r="D46" s="12" t="s">
        <v>9413</v>
      </c>
      <c r="E46" s="33" t="s">
        <v>3277</v>
      </c>
      <c r="F46" s="93">
        <v>17.7</v>
      </c>
      <c r="G46" s="99" t="s">
        <v>78</v>
      </c>
      <c r="H46" s="637">
        <v>56064.93</v>
      </c>
      <c r="I46" s="34" t="s">
        <v>13407</v>
      </c>
      <c r="J46" s="34" t="s">
        <v>13407</v>
      </c>
    </row>
    <row r="47" spans="1:10" s="5" customFormat="1" ht="48" customHeight="1" x14ac:dyDescent="0.2">
      <c r="A47" s="33" t="s">
        <v>3793</v>
      </c>
      <c r="B47" s="33" t="s">
        <v>292</v>
      </c>
      <c r="C47" s="648" t="s">
        <v>13405</v>
      </c>
      <c r="D47" s="99" t="s">
        <v>8381</v>
      </c>
      <c r="E47" s="146" t="s">
        <v>3277</v>
      </c>
      <c r="F47" s="125">
        <v>346.4</v>
      </c>
      <c r="G47" s="99" t="s">
        <v>78</v>
      </c>
      <c r="H47" s="979">
        <v>3478031.36</v>
      </c>
      <c r="I47" s="34" t="s">
        <v>13407</v>
      </c>
      <c r="J47" s="34" t="s">
        <v>13407</v>
      </c>
    </row>
    <row r="48" spans="1:10" s="5" customFormat="1" ht="48" customHeight="1" x14ac:dyDescent="0.2">
      <c r="A48" s="33" t="s">
        <v>3794</v>
      </c>
      <c r="B48" s="33" t="s">
        <v>292</v>
      </c>
      <c r="C48" s="648" t="s">
        <v>13406</v>
      </c>
      <c r="D48" s="99" t="s">
        <v>8381</v>
      </c>
      <c r="E48" s="146" t="s">
        <v>3277</v>
      </c>
      <c r="F48" s="93">
        <v>19.3</v>
      </c>
      <c r="G48" s="20" t="s">
        <v>78</v>
      </c>
      <c r="H48" s="999"/>
      <c r="I48" s="34" t="s">
        <v>13812</v>
      </c>
      <c r="J48" s="34" t="s">
        <v>13831</v>
      </c>
    </row>
    <row r="49" spans="1:10" s="5" customFormat="1" ht="48" customHeight="1" x14ac:dyDescent="0.2">
      <c r="A49" s="33" t="s">
        <v>3795</v>
      </c>
      <c r="B49" s="33" t="s">
        <v>2431</v>
      </c>
      <c r="C49" s="648" t="s">
        <v>13406</v>
      </c>
      <c r="D49" s="99" t="s">
        <v>8381</v>
      </c>
      <c r="E49" s="146" t="s">
        <v>3277</v>
      </c>
      <c r="F49" s="93">
        <v>7</v>
      </c>
      <c r="G49" s="20" t="s">
        <v>78</v>
      </c>
      <c r="H49" s="999"/>
      <c r="I49" s="34" t="s">
        <v>13408</v>
      </c>
      <c r="J49" s="34" t="s">
        <v>13408</v>
      </c>
    </row>
    <row r="50" spans="1:10" s="5" customFormat="1" ht="48" customHeight="1" x14ac:dyDescent="0.2">
      <c r="A50" s="33" t="s">
        <v>6274</v>
      </c>
      <c r="B50" s="33" t="s">
        <v>292</v>
      </c>
      <c r="C50" s="648" t="s">
        <v>13406</v>
      </c>
      <c r="D50" s="99" t="s">
        <v>8381</v>
      </c>
      <c r="E50" s="146" t="s">
        <v>3277</v>
      </c>
      <c r="F50" s="93">
        <v>6</v>
      </c>
      <c r="G50" s="99" t="s">
        <v>78</v>
      </c>
      <c r="H50" s="999"/>
      <c r="I50" s="34" t="s">
        <v>3292</v>
      </c>
      <c r="J50" s="34" t="s">
        <v>12212</v>
      </c>
    </row>
    <row r="51" spans="1:10" s="5" customFormat="1" ht="36" customHeight="1" x14ac:dyDescent="0.2">
      <c r="A51" s="33" t="s">
        <v>12215</v>
      </c>
      <c r="B51" s="33" t="s">
        <v>292</v>
      </c>
      <c r="C51" s="648" t="s">
        <v>13406</v>
      </c>
      <c r="D51" s="99" t="s">
        <v>8381</v>
      </c>
      <c r="E51" s="146" t="s">
        <v>3277</v>
      </c>
      <c r="F51" s="93">
        <v>2</v>
      </c>
      <c r="G51" s="99" t="s">
        <v>78</v>
      </c>
      <c r="H51" s="999"/>
      <c r="I51" s="34" t="s">
        <v>3292</v>
      </c>
      <c r="J51" s="34" t="s">
        <v>12213</v>
      </c>
    </row>
    <row r="52" spans="1:10" s="5" customFormat="1" ht="87.75" customHeight="1" x14ac:dyDescent="0.2">
      <c r="A52" s="33" t="s">
        <v>12216</v>
      </c>
      <c r="B52" s="33" t="s">
        <v>2431</v>
      </c>
      <c r="C52" s="648" t="s">
        <v>13406</v>
      </c>
      <c r="D52" s="99" t="s">
        <v>8381</v>
      </c>
      <c r="E52" s="146" t="s">
        <v>3277</v>
      </c>
      <c r="F52" s="93">
        <v>40</v>
      </c>
      <c r="G52" s="99" t="s">
        <v>78</v>
      </c>
      <c r="H52" s="980"/>
      <c r="I52" s="34" t="s">
        <v>13409</v>
      </c>
      <c r="J52" s="706" t="s">
        <v>13814</v>
      </c>
    </row>
    <row r="53" spans="1:10" s="5" customFormat="1" ht="38.25" customHeight="1" x14ac:dyDescent="0.2">
      <c r="A53" s="33" t="s">
        <v>12217</v>
      </c>
      <c r="B53" s="33" t="s">
        <v>3291</v>
      </c>
      <c r="C53" s="648" t="s">
        <v>10874</v>
      </c>
      <c r="D53" s="139"/>
      <c r="E53" s="248"/>
      <c r="F53" s="93">
        <v>40</v>
      </c>
      <c r="G53" s="139"/>
      <c r="H53" s="249"/>
      <c r="I53" s="34" t="s">
        <v>12214</v>
      </c>
      <c r="J53" s="34"/>
    </row>
    <row r="54" spans="1:10" ht="32.25" customHeight="1" x14ac:dyDescent="0.2">
      <c r="A54" s="646" t="s">
        <v>2894</v>
      </c>
      <c r="B54" s="997" t="s">
        <v>3757</v>
      </c>
      <c r="C54" s="998"/>
      <c r="D54" s="92" t="s">
        <v>11088</v>
      </c>
      <c r="E54" s="91" t="s">
        <v>3244</v>
      </c>
      <c r="F54" s="242"/>
      <c r="G54" s="647"/>
      <c r="H54" s="23" t="s">
        <v>12453</v>
      </c>
      <c r="I54" s="646"/>
      <c r="J54" s="647"/>
    </row>
    <row r="55" spans="1:10" s="5" customFormat="1" ht="45.75" customHeight="1" x14ac:dyDescent="0.2">
      <c r="A55" s="33" t="s">
        <v>3796</v>
      </c>
      <c r="B55" s="146" t="s">
        <v>11139</v>
      </c>
      <c r="C55" s="146" t="s">
        <v>5518</v>
      </c>
      <c r="D55" s="20" t="s">
        <v>11518</v>
      </c>
      <c r="E55" s="33" t="s">
        <v>3345</v>
      </c>
      <c r="F55" s="93">
        <f>630.2-260.6</f>
        <v>369.6</v>
      </c>
      <c r="G55" s="20" t="s">
        <v>78</v>
      </c>
      <c r="H55" s="43">
        <f>1996164.8/630.2*369.6</f>
        <v>1170711.694827039</v>
      </c>
      <c r="I55" s="34" t="s">
        <v>11211</v>
      </c>
      <c r="J55" s="34" t="s">
        <v>11211</v>
      </c>
    </row>
    <row r="56" spans="1:10" s="5" customFormat="1" ht="48" customHeight="1" x14ac:dyDescent="0.2">
      <c r="A56" s="33" t="s">
        <v>3797</v>
      </c>
      <c r="B56" s="33" t="s">
        <v>292</v>
      </c>
      <c r="C56" s="33" t="s">
        <v>5518</v>
      </c>
      <c r="D56" s="20" t="s">
        <v>9119</v>
      </c>
      <c r="E56" s="33" t="s">
        <v>3345</v>
      </c>
      <c r="F56" s="93">
        <v>34.6</v>
      </c>
      <c r="G56" s="20" t="s">
        <v>78</v>
      </c>
      <c r="H56" s="43"/>
      <c r="I56" s="34" t="s">
        <v>12218</v>
      </c>
      <c r="J56" s="34" t="s">
        <v>7429</v>
      </c>
    </row>
    <row r="57" spans="1:10" s="204" customFormat="1" ht="46.5" customHeight="1" x14ac:dyDescent="0.2">
      <c r="A57" s="33" t="s">
        <v>3798</v>
      </c>
      <c r="B57" s="238" t="s">
        <v>292</v>
      </c>
      <c r="C57" s="238" t="s">
        <v>5518</v>
      </c>
      <c r="D57" s="20" t="s">
        <v>9119</v>
      </c>
      <c r="E57" s="33" t="s">
        <v>3345</v>
      </c>
      <c r="F57" s="93">
        <v>18.8</v>
      </c>
      <c r="G57" s="20" t="s">
        <v>78</v>
      </c>
      <c r="H57" s="43"/>
      <c r="I57" s="34" t="s">
        <v>12218</v>
      </c>
      <c r="J57" s="34" t="s">
        <v>7429</v>
      </c>
    </row>
    <row r="58" spans="1:10" s="60" customFormat="1" ht="56.25" customHeight="1" x14ac:dyDescent="0.2">
      <c r="A58" s="33" t="s">
        <v>3799</v>
      </c>
      <c r="B58" s="33" t="s">
        <v>292</v>
      </c>
      <c r="C58" s="33" t="s">
        <v>5518</v>
      </c>
      <c r="D58" s="20" t="s">
        <v>9290</v>
      </c>
      <c r="E58" s="213" t="s">
        <v>3345</v>
      </c>
      <c r="F58" s="225">
        <f>49.5+13.6</f>
        <v>63.1</v>
      </c>
      <c r="G58" s="20">
        <v>1992</v>
      </c>
      <c r="H58" s="43"/>
      <c r="I58" s="34" t="s">
        <v>9233</v>
      </c>
      <c r="J58" s="34" t="s">
        <v>9231</v>
      </c>
    </row>
    <row r="59" spans="1:10" s="70" customFormat="1" ht="35.25" customHeight="1" x14ac:dyDescent="0.2">
      <c r="A59" s="33" t="s">
        <v>3959</v>
      </c>
      <c r="B59" s="238" t="s">
        <v>292</v>
      </c>
      <c r="C59" s="238" t="s">
        <v>5518</v>
      </c>
      <c r="D59" s="20" t="s">
        <v>9119</v>
      </c>
      <c r="E59" s="33" t="s">
        <v>3345</v>
      </c>
      <c r="F59" s="93">
        <v>80.3</v>
      </c>
      <c r="G59" s="20">
        <v>1992</v>
      </c>
      <c r="H59" s="43"/>
      <c r="I59" s="34" t="s">
        <v>3960</v>
      </c>
      <c r="J59" s="34" t="s">
        <v>3960</v>
      </c>
    </row>
    <row r="60" spans="1:10" ht="26.25" customHeight="1" x14ac:dyDescent="0.2">
      <c r="A60" s="33" t="s">
        <v>2895</v>
      </c>
      <c r="B60" s="997" t="s">
        <v>3758</v>
      </c>
      <c r="C60" s="998"/>
      <c r="D60" s="92" t="s">
        <v>11517</v>
      </c>
      <c r="E60" s="105" t="s">
        <v>4029</v>
      </c>
      <c r="F60" s="95"/>
      <c r="G60" s="106"/>
      <c r="H60" s="442"/>
      <c r="I60" s="8"/>
      <c r="J60" s="8"/>
    </row>
    <row r="61" spans="1:10" s="5" customFormat="1" ht="44.25" customHeight="1" x14ac:dyDescent="0.2">
      <c r="A61" s="33" t="s">
        <v>3800</v>
      </c>
      <c r="B61" s="146" t="s">
        <v>11139</v>
      </c>
      <c r="C61" s="33" t="s">
        <v>5518</v>
      </c>
      <c r="D61" s="20" t="s">
        <v>11518</v>
      </c>
      <c r="E61" s="642" t="s">
        <v>3344</v>
      </c>
      <c r="F61" s="93">
        <f>630.2-369.6</f>
        <v>260.60000000000002</v>
      </c>
      <c r="G61" s="642" t="s">
        <v>78</v>
      </c>
      <c r="H61" s="43">
        <f>1996164.8/630.2*260.6</f>
        <v>825453.1051729609</v>
      </c>
      <c r="I61" s="34" t="s">
        <v>11211</v>
      </c>
      <c r="J61" s="34" t="s">
        <v>11211</v>
      </c>
    </row>
    <row r="62" spans="1:10" s="5" customFormat="1" ht="59.25" customHeight="1" x14ac:dyDescent="0.2">
      <c r="A62" s="33" t="s">
        <v>5454</v>
      </c>
      <c r="B62" s="33" t="s">
        <v>292</v>
      </c>
      <c r="C62" s="33" t="s">
        <v>11516</v>
      </c>
      <c r="D62" s="20" t="s">
        <v>9119</v>
      </c>
      <c r="E62" s="642" t="s">
        <v>3344</v>
      </c>
      <c r="F62" s="216">
        <f>45.4-10.6-22.6</f>
        <v>12.199999999999996</v>
      </c>
      <c r="G62" s="642" t="s">
        <v>78</v>
      </c>
      <c r="H62" s="43"/>
      <c r="I62" s="642" t="s">
        <v>11023</v>
      </c>
      <c r="J62" s="642" t="s">
        <v>11023</v>
      </c>
    </row>
    <row r="63" spans="1:10" s="5" customFormat="1" ht="59.25" customHeight="1" x14ac:dyDescent="0.2">
      <c r="A63" s="33" t="s">
        <v>13459</v>
      </c>
      <c r="B63" s="33" t="s">
        <v>292</v>
      </c>
      <c r="C63" s="33" t="s">
        <v>11514</v>
      </c>
      <c r="D63" s="20" t="s">
        <v>9119</v>
      </c>
      <c r="E63" s="642" t="s">
        <v>3344</v>
      </c>
      <c r="F63" s="216">
        <v>10.6</v>
      </c>
      <c r="G63" s="642" t="s">
        <v>78</v>
      </c>
      <c r="H63" s="43"/>
      <c r="I63" s="642" t="s">
        <v>11023</v>
      </c>
      <c r="J63" s="642" t="s">
        <v>11023</v>
      </c>
    </row>
    <row r="64" spans="1:10" s="5" customFormat="1" ht="59.25" customHeight="1" x14ac:dyDescent="0.2">
      <c r="A64" s="33" t="s">
        <v>13460</v>
      </c>
      <c r="B64" s="33" t="s">
        <v>292</v>
      </c>
      <c r="C64" s="33" t="s">
        <v>11515</v>
      </c>
      <c r="D64" s="20" t="s">
        <v>9119</v>
      </c>
      <c r="E64" s="642" t="s">
        <v>3344</v>
      </c>
      <c r="F64" s="216">
        <v>22.6</v>
      </c>
      <c r="G64" s="642" t="s">
        <v>78</v>
      </c>
      <c r="H64" s="43"/>
      <c r="I64" s="642" t="s">
        <v>11023</v>
      </c>
      <c r="J64" s="642" t="s">
        <v>11023</v>
      </c>
    </row>
    <row r="65" spans="1:10" s="5" customFormat="1" ht="58.5" customHeight="1" x14ac:dyDescent="0.2">
      <c r="A65" s="33" t="s">
        <v>5455</v>
      </c>
      <c r="B65" s="33" t="s">
        <v>292</v>
      </c>
      <c r="C65" s="33" t="s">
        <v>5518</v>
      </c>
      <c r="D65" s="20" t="s">
        <v>9119</v>
      </c>
      <c r="E65" s="642" t="s">
        <v>3344</v>
      </c>
      <c r="F65" s="216">
        <f>10.9</f>
        <v>10.9</v>
      </c>
      <c r="G65" s="642" t="s">
        <v>78</v>
      </c>
      <c r="H65" s="43"/>
      <c r="I65" s="642" t="s">
        <v>11023</v>
      </c>
      <c r="J65" s="642" t="s">
        <v>11023</v>
      </c>
    </row>
    <row r="66" spans="1:10" s="5" customFormat="1" ht="47.25" customHeight="1" x14ac:dyDescent="0.2">
      <c r="A66" s="33" t="s">
        <v>5456</v>
      </c>
      <c r="B66" s="33" t="s">
        <v>292</v>
      </c>
      <c r="C66" s="33" t="s">
        <v>10901</v>
      </c>
      <c r="D66" s="20" t="s">
        <v>9119</v>
      </c>
      <c r="E66" s="33" t="s">
        <v>3344</v>
      </c>
      <c r="F66" s="216">
        <v>16.8</v>
      </c>
      <c r="G66" s="20" t="s">
        <v>78</v>
      </c>
      <c r="H66" s="43"/>
      <c r="I66" s="19" t="s">
        <v>3933</v>
      </c>
      <c r="J66" s="19" t="s">
        <v>6280</v>
      </c>
    </row>
    <row r="67" spans="1:10" s="235" customFormat="1" ht="90.75" customHeight="1" x14ac:dyDescent="0.2">
      <c r="A67" s="1000" t="s">
        <v>3801</v>
      </c>
      <c r="B67" s="33" t="s">
        <v>292</v>
      </c>
      <c r="C67" s="33" t="s">
        <v>13461</v>
      </c>
      <c r="D67" s="20" t="s">
        <v>9119</v>
      </c>
      <c r="E67" s="33" t="s">
        <v>3295</v>
      </c>
      <c r="F67" s="43">
        <f>14.5-7.25</f>
        <v>7.25</v>
      </c>
      <c r="G67" s="19" t="s">
        <v>78</v>
      </c>
      <c r="H67" s="192"/>
      <c r="I67" s="19" t="s">
        <v>13464</v>
      </c>
      <c r="J67" s="19" t="s">
        <v>13894</v>
      </c>
    </row>
    <row r="68" spans="1:10" s="235" customFormat="1" ht="89.25" customHeight="1" x14ac:dyDescent="0.2">
      <c r="A68" s="1001"/>
      <c r="B68" s="33" t="s">
        <v>292</v>
      </c>
      <c r="C68" s="33" t="s">
        <v>13462</v>
      </c>
      <c r="D68" s="20" t="s">
        <v>9119</v>
      </c>
      <c r="E68" s="33" t="s">
        <v>3295</v>
      </c>
      <c r="F68" s="43">
        <v>7.25</v>
      </c>
      <c r="G68" s="19" t="s">
        <v>78</v>
      </c>
      <c r="H68" s="192"/>
      <c r="I68" s="19" t="s">
        <v>13463</v>
      </c>
      <c r="J68" s="19" t="s">
        <v>13895</v>
      </c>
    </row>
    <row r="69" spans="1:10" s="235" customFormat="1" ht="45" customHeight="1" x14ac:dyDescent="0.2">
      <c r="A69" s="33" t="s">
        <v>3802</v>
      </c>
      <c r="B69" s="33" t="s">
        <v>292</v>
      </c>
      <c r="C69" s="33" t="s">
        <v>5518</v>
      </c>
      <c r="D69" s="20" t="s">
        <v>9119</v>
      </c>
      <c r="E69" s="33" t="s">
        <v>3295</v>
      </c>
      <c r="F69" s="216">
        <v>14.2</v>
      </c>
      <c r="G69" s="19" t="s">
        <v>78</v>
      </c>
      <c r="H69" s="43"/>
      <c r="I69" s="19" t="s">
        <v>5457</v>
      </c>
      <c r="J69" s="19" t="s">
        <v>13847</v>
      </c>
    </row>
    <row r="70" spans="1:10" s="5" customFormat="1" ht="45.75" customHeight="1" x14ac:dyDescent="0.2">
      <c r="A70" s="33" t="s">
        <v>4385</v>
      </c>
      <c r="B70" s="33" t="s">
        <v>292</v>
      </c>
      <c r="C70" s="33" t="s">
        <v>5518</v>
      </c>
      <c r="D70" s="642" t="s">
        <v>9290</v>
      </c>
      <c r="E70" s="33" t="s">
        <v>3295</v>
      </c>
      <c r="F70" s="216">
        <v>68.3</v>
      </c>
      <c r="G70" s="20" t="s">
        <v>78</v>
      </c>
      <c r="H70" s="43"/>
      <c r="I70" s="34" t="s">
        <v>5435</v>
      </c>
      <c r="J70" s="34" t="s">
        <v>5435</v>
      </c>
    </row>
    <row r="71" spans="1:10" s="5" customFormat="1" ht="36" customHeight="1" x14ac:dyDescent="0.2">
      <c r="A71" s="33" t="s">
        <v>4386</v>
      </c>
      <c r="B71" s="33" t="s">
        <v>292</v>
      </c>
      <c r="C71" s="33" t="s">
        <v>5518</v>
      </c>
      <c r="D71" s="642" t="s">
        <v>9290</v>
      </c>
      <c r="E71" s="33" t="s">
        <v>3344</v>
      </c>
      <c r="F71" s="216">
        <v>10.5</v>
      </c>
      <c r="G71" s="20" t="s">
        <v>78</v>
      </c>
      <c r="H71" s="43"/>
      <c r="I71" s="19" t="s">
        <v>6625</v>
      </c>
      <c r="J71" s="19" t="s">
        <v>13880</v>
      </c>
    </row>
    <row r="72" spans="1:10" s="235" customFormat="1" ht="40.5" customHeight="1" x14ac:dyDescent="0.2">
      <c r="A72" s="33" t="s">
        <v>4387</v>
      </c>
      <c r="B72" s="33" t="s">
        <v>292</v>
      </c>
      <c r="C72" s="33" t="s">
        <v>5518</v>
      </c>
      <c r="D72" s="33" t="s">
        <v>9119</v>
      </c>
      <c r="E72" s="33" t="s">
        <v>3344</v>
      </c>
      <c r="F72" s="216">
        <v>22.1</v>
      </c>
      <c r="G72" s="20" t="s">
        <v>78</v>
      </c>
      <c r="H72" s="43"/>
      <c r="I72" s="34" t="s">
        <v>13836</v>
      </c>
      <c r="J72" s="704" t="s">
        <v>13835</v>
      </c>
    </row>
    <row r="73" spans="1:10" s="5" customFormat="1" ht="45.75" customHeight="1" x14ac:dyDescent="0.2">
      <c r="A73" s="33" t="s">
        <v>4388</v>
      </c>
      <c r="B73" s="33" t="s">
        <v>292</v>
      </c>
      <c r="C73" s="33" t="s">
        <v>5518</v>
      </c>
      <c r="D73" s="33" t="s">
        <v>9119</v>
      </c>
      <c r="E73" s="33" t="s">
        <v>3344</v>
      </c>
      <c r="F73" s="216">
        <v>11.3</v>
      </c>
      <c r="G73" s="20" t="s">
        <v>78</v>
      </c>
      <c r="H73" s="43"/>
      <c r="I73" s="34" t="s">
        <v>12219</v>
      </c>
      <c r="J73" s="34" t="s">
        <v>12219</v>
      </c>
    </row>
    <row r="74" spans="1:10" s="235" customFormat="1" ht="55.5" customHeight="1" x14ac:dyDescent="0.2">
      <c r="A74" s="33" t="s">
        <v>4402</v>
      </c>
      <c r="B74" s="33" t="s">
        <v>292</v>
      </c>
      <c r="C74" s="33" t="s">
        <v>5518</v>
      </c>
      <c r="D74" s="33" t="s">
        <v>9119</v>
      </c>
      <c r="E74" s="33" t="s">
        <v>6623</v>
      </c>
      <c r="F74" s="216">
        <v>22.9</v>
      </c>
      <c r="G74" s="20" t="s">
        <v>78</v>
      </c>
      <c r="H74" s="43"/>
      <c r="I74" s="199" t="s">
        <v>13465</v>
      </c>
      <c r="J74" s="704" t="s">
        <v>13864</v>
      </c>
    </row>
    <row r="75" spans="1:10" s="235" customFormat="1" ht="45.75" customHeight="1" x14ac:dyDescent="0.2">
      <c r="A75" s="33" t="s">
        <v>4407</v>
      </c>
      <c r="B75" s="33" t="s">
        <v>292</v>
      </c>
      <c r="C75" s="33" t="s">
        <v>5518</v>
      </c>
      <c r="D75" s="33" t="s">
        <v>9119</v>
      </c>
      <c r="E75" s="33" t="s">
        <v>3344</v>
      </c>
      <c r="F75" s="216">
        <v>18.3</v>
      </c>
      <c r="G75" s="20" t="s">
        <v>78</v>
      </c>
      <c r="H75" s="43"/>
      <c r="I75" s="700" t="s">
        <v>6072</v>
      </c>
      <c r="J75" s="700" t="s">
        <v>13815</v>
      </c>
    </row>
    <row r="76" spans="1:10" s="5" customFormat="1" ht="46.5" customHeight="1" x14ac:dyDescent="0.2">
      <c r="A76" s="33" t="s">
        <v>5924</v>
      </c>
      <c r="B76" s="33" t="s">
        <v>292</v>
      </c>
      <c r="C76" s="33" t="s">
        <v>5518</v>
      </c>
      <c r="D76" s="33" t="s">
        <v>9119</v>
      </c>
      <c r="E76" s="33" t="s">
        <v>3344</v>
      </c>
      <c r="F76" s="43">
        <v>54.5</v>
      </c>
      <c r="G76" s="20" t="s">
        <v>2830</v>
      </c>
      <c r="H76" s="43"/>
      <c r="I76" s="642" t="s">
        <v>6072</v>
      </c>
      <c r="J76" s="642" t="s">
        <v>6072</v>
      </c>
    </row>
    <row r="77" spans="1:10" ht="22.5" customHeight="1" x14ac:dyDescent="0.2">
      <c r="A77" s="19" t="s">
        <v>2896</v>
      </c>
      <c r="B77" s="997" t="s">
        <v>3759</v>
      </c>
      <c r="C77" s="998"/>
      <c r="D77" s="443" t="s">
        <v>9120</v>
      </c>
      <c r="E77" s="91" t="s">
        <v>3244</v>
      </c>
      <c r="F77" s="401" t="s">
        <v>9117</v>
      </c>
      <c r="G77" s="647"/>
      <c r="H77" s="23">
        <v>6795879.0199999996</v>
      </c>
      <c r="I77" s="646"/>
      <c r="J77" s="647"/>
    </row>
    <row r="78" spans="1:10" s="69" customFormat="1" ht="39.75" customHeight="1" x14ac:dyDescent="0.2">
      <c r="A78" s="19" t="s">
        <v>3803</v>
      </c>
      <c r="B78" s="33" t="s">
        <v>292</v>
      </c>
      <c r="C78" s="33" t="s">
        <v>12268</v>
      </c>
      <c r="D78" s="213" t="s">
        <v>9120</v>
      </c>
      <c r="E78" s="213" t="s">
        <v>3294</v>
      </c>
      <c r="F78" s="182">
        <f>83.2-17.1</f>
        <v>66.099999999999994</v>
      </c>
      <c r="G78" s="20">
        <v>1992</v>
      </c>
      <c r="H78" s="43"/>
      <c r="I78" s="34" t="s">
        <v>13872</v>
      </c>
      <c r="J78" s="34" t="s">
        <v>13873</v>
      </c>
    </row>
    <row r="79" spans="1:10" s="60" customFormat="1" ht="50.25" customHeight="1" x14ac:dyDescent="0.2">
      <c r="A79" s="33" t="s">
        <v>3804</v>
      </c>
      <c r="B79" s="33" t="s">
        <v>292</v>
      </c>
      <c r="C79" s="33" t="s">
        <v>11521</v>
      </c>
      <c r="D79" s="213" t="s">
        <v>9120</v>
      </c>
      <c r="E79" s="213" t="s">
        <v>3294</v>
      </c>
      <c r="F79" s="93">
        <v>29.4</v>
      </c>
      <c r="G79" s="20">
        <v>1992</v>
      </c>
      <c r="H79" s="43"/>
      <c r="I79" s="34" t="s">
        <v>12266</v>
      </c>
      <c r="J79" s="34" t="s">
        <v>13838</v>
      </c>
    </row>
    <row r="80" spans="1:10" s="60" customFormat="1" ht="36" customHeight="1" x14ac:dyDescent="0.2">
      <c r="A80" s="33" t="s">
        <v>3805</v>
      </c>
      <c r="B80" s="33" t="s">
        <v>2431</v>
      </c>
      <c r="C80" s="33" t="s">
        <v>11520</v>
      </c>
      <c r="D80" s="33" t="s">
        <v>9120</v>
      </c>
      <c r="E80" s="33" t="s">
        <v>3294</v>
      </c>
      <c r="F80" s="93">
        <v>52.3</v>
      </c>
      <c r="G80" s="20" t="s">
        <v>78</v>
      </c>
      <c r="H80" s="43"/>
      <c r="I80" s="646" t="s">
        <v>9338</v>
      </c>
      <c r="J80" s="702" t="s">
        <v>13909</v>
      </c>
    </row>
    <row r="81" spans="1:14" s="70" customFormat="1" ht="32.25" customHeight="1" x14ac:dyDescent="0.2">
      <c r="A81" s="33" t="s">
        <v>3806</v>
      </c>
      <c r="B81" s="33" t="s">
        <v>292</v>
      </c>
      <c r="C81" s="33" t="s">
        <v>11522</v>
      </c>
      <c r="D81" s="33" t="s">
        <v>9120</v>
      </c>
      <c r="E81" s="33" t="s">
        <v>3289</v>
      </c>
      <c r="F81" s="93">
        <f>99.5-21-41.6-18-3.6</f>
        <v>15.299999999999999</v>
      </c>
      <c r="G81" s="20" t="s">
        <v>78</v>
      </c>
      <c r="H81" s="43"/>
      <c r="I81" s="646" t="s">
        <v>10997</v>
      </c>
      <c r="J81" s="34" t="s">
        <v>13884</v>
      </c>
    </row>
    <row r="82" spans="1:14" s="70" customFormat="1" ht="66" customHeight="1" x14ac:dyDescent="0.2">
      <c r="A82" s="33" t="s">
        <v>3845</v>
      </c>
      <c r="B82" s="33" t="s">
        <v>292</v>
      </c>
      <c r="C82" s="33" t="s">
        <v>11156</v>
      </c>
      <c r="D82" s="33" t="s">
        <v>9120</v>
      </c>
      <c r="E82" s="33" t="s">
        <v>3289</v>
      </c>
      <c r="F82" s="93">
        <v>21</v>
      </c>
      <c r="G82" s="20" t="s">
        <v>78</v>
      </c>
      <c r="H82" s="43"/>
      <c r="I82" s="646" t="s">
        <v>11159</v>
      </c>
      <c r="J82" s="646" t="s">
        <v>11384</v>
      </c>
    </row>
    <row r="83" spans="1:14" s="70" customFormat="1" ht="55.5" customHeight="1" x14ac:dyDescent="0.2">
      <c r="A83" s="33" t="s">
        <v>7327</v>
      </c>
      <c r="B83" s="33" t="s">
        <v>292</v>
      </c>
      <c r="C83" s="33" t="s">
        <v>11519</v>
      </c>
      <c r="D83" s="33" t="s">
        <v>9120</v>
      </c>
      <c r="E83" s="33" t="s">
        <v>3289</v>
      </c>
      <c r="F83" s="93">
        <v>41.6</v>
      </c>
      <c r="G83" s="20" t="s">
        <v>78</v>
      </c>
      <c r="H83" s="43"/>
      <c r="I83" s="646" t="s">
        <v>11160</v>
      </c>
      <c r="J83" s="646" t="s">
        <v>11160</v>
      </c>
    </row>
    <row r="84" spans="1:14" s="70" customFormat="1" ht="77.25" customHeight="1" x14ac:dyDescent="0.2">
      <c r="A84" s="33" t="s">
        <v>5897</v>
      </c>
      <c r="B84" s="33" t="s">
        <v>292</v>
      </c>
      <c r="C84" s="33" t="s">
        <v>11213</v>
      </c>
      <c r="D84" s="33" t="s">
        <v>9120</v>
      </c>
      <c r="E84" s="33" t="s">
        <v>3289</v>
      </c>
      <c r="F84" s="93">
        <v>18</v>
      </c>
      <c r="G84" s="20" t="s">
        <v>78</v>
      </c>
      <c r="H84" s="43"/>
      <c r="I84" s="34" t="s">
        <v>10995</v>
      </c>
      <c r="J84" s="34" t="s">
        <v>13908</v>
      </c>
    </row>
    <row r="85" spans="1:14" s="277" customFormat="1" ht="36.75" customHeight="1" x14ac:dyDescent="0.2">
      <c r="A85" s="33" t="s">
        <v>5898</v>
      </c>
      <c r="B85" s="33" t="s">
        <v>292</v>
      </c>
      <c r="C85" s="33" t="s">
        <v>11214</v>
      </c>
      <c r="D85" s="213" t="s">
        <v>9120</v>
      </c>
      <c r="E85" s="213" t="s">
        <v>3294</v>
      </c>
      <c r="F85" s="93">
        <v>33</v>
      </c>
      <c r="G85" s="20" t="s">
        <v>78</v>
      </c>
      <c r="H85" s="660"/>
      <c r="I85" s="34" t="s">
        <v>8699</v>
      </c>
      <c r="J85" s="34" t="s">
        <v>13834</v>
      </c>
    </row>
    <row r="86" spans="1:14" s="273" customFormat="1" ht="59.25" customHeight="1" x14ac:dyDescent="0.2">
      <c r="A86" s="33" t="s">
        <v>8384</v>
      </c>
      <c r="B86" s="33" t="s">
        <v>292</v>
      </c>
      <c r="C86" s="33" t="s">
        <v>11157</v>
      </c>
      <c r="D86" s="213" t="s">
        <v>9120</v>
      </c>
      <c r="E86" s="213" t="s">
        <v>3294</v>
      </c>
      <c r="F86" s="93">
        <f>192.6-10</f>
        <v>182.6</v>
      </c>
      <c r="G86" s="20" t="s">
        <v>78</v>
      </c>
      <c r="H86" s="43"/>
      <c r="I86" s="34" t="s">
        <v>3947</v>
      </c>
      <c r="J86" s="34" t="s">
        <v>3947</v>
      </c>
    </row>
    <row r="87" spans="1:14" s="70" customFormat="1" ht="59.25" customHeight="1" x14ac:dyDescent="0.2">
      <c r="A87" s="33" t="s">
        <v>9022</v>
      </c>
      <c r="B87" s="33" t="s">
        <v>292</v>
      </c>
      <c r="C87" s="33" t="s">
        <v>11157</v>
      </c>
      <c r="D87" s="213" t="s">
        <v>9120</v>
      </c>
      <c r="E87" s="213" t="s">
        <v>3294</v>
      </c>
      <c r="F87" s="93">
        <v>10</v>
      </c>
      <c r="G87" s="20" t="s">
        <v>78</v>
      </c>
      <c r="H87" s="43"/>
      <c r="I87" s="34" t="s">
        <v>11401</v>
      </c>
      <c r="J87" s="34" t="s">
        <v>11401</v>
      </c>
    </row>
    <row r="88" spans="1:14" s="5" customFormat="1" ht="57.75" customHeight="1" x14ac:dyDescent="0.2">
      <c r="A88" s="33" t="s">
        <v>9047</v>
      </c>
      <c r="B88" s="33" t="s">
        <v>292</v>
      </c>
      <c r="C88" s="33" t="s">
        <v>11215</v>
      </c>
      <c r="D88" s="213" t="s">
        <v>9120</v>
      </c>
      <c r="E88" s="213" t="s">
        <v>3294</v>
      </c>
      <c r="F88" s="93">
        <f>174.51+38.02-38.02-31.6-23.7</f>
        <v>119.21</v>
      </c>
      <c r="G88" s="20" t="s">
        <v>78</v>
      </c>
      <c r="H88" s="43"/>
      <c r="I88" s="642" t="s">
        <v>11023</v>
      </c>
      <c r="J88" s="642" t="s">
        <v>11023</v>
      </c>
    </row>
    <row r="89" spans="1:14" s="5" customFormat="1" ht="78" customHeight="1" x14ac:dyDescent="0.2">
      <c r="A89" s="33" t="s">
        <v>11398</v>
      </c>
      <c r="B89" s="33" t="s">
        <v>292</v>
      </c>
      <c r="C89" s="33" t="s">
        <v>11158</v>
      </c>
      <c r="D89" s="213" t="s">
        <v>9120</v>
      </c>
      <c r="E89" s="213" t="s">
        <v>3294</v>
      </c>
      <c r="F89" s="93">
        <v>31.6</v>
      </c>
      <c r="G89" s="20" t="s">
        <v>78</v>
      </c>
      <c r="H89" s="43"/>
      <c r="I89" s="12" t="s">
        <v>13615</v>
      </c>
      <c r="J89" s="12" t="s">
        <v>13917</v>
      </c>
    </row>
    <row r="90" spans="1:14" s="5" customFormat="1" ht="43.5" customHeight="1" x14ac:dyDescent="0.2">
      <c r="A90" s="33" t="s">
        <v>11399</v>
      </c>
      <c r="B90" s="33" t="s">
        <v>292</v>
      </c>
      <c r="C90" s="33" t="s">
        <v>11216</v>
      </c>
      <c r="D90" s="213" t="s">
        <v>9120</v>
      </c>
      <c r="E90" s="213" t="s">
        <v>3294</v>
      </c>
      <c r="F90" s="182">
        <v>23.7</v>
      </c>
      <c r="G90" s="20" t="s">
        <v>78</v>
      </c>
      <c r="H90" s="43"/>
      <c r="I90" s="642" t="s">
        <v>11353</v>
      </c>
      <c r="J90" s="642" t="s">
        <v>11353</v>
      </c>
    </row>
    <row r="91" spans="1:14" s="5" customFormat="1" ht="45" customHeight="1" x14ac:dyDescent="0.2">
      <c r="A91" s="33" t="s">
        <v>11400</v>
      </c>
      <c r="B91" s="33" t="s">
        <v>292</v>
      </c>
      <c r="C91" s="33" t="s">
        <v>11217</v>
      </c>
      <c r="D91" s="213" t="s">
        <v>9120</v>
      </c>
      <c r="E91" s="213" t="s">
        <v>3294</v>
      </c>
      <c r="F91" s="182">
        <v>21.5</v>
      </c>
      <c r="G91" s="20" t="s">
        <v>78</v>
      </c>
      <c r="H91" s="43"/>
      <c r="I91" s="642" t="s">
        <v>11353</v>
      </c>
      <c r="J91" s="642" t="s">
        <v>11353</v>
      </c>
    </row>
    <row r="92" spans="1:14" s="5" customFormat="1" ht="45" customHeight="1" x14ac:dyDescent="0.2">
      <c r="A92" s="33" t="s">
        <v>12267</v>
      </c>
      <c r="B92" s="33" t="s">
        <v>292</v>
      </c>
      <c r="C92" s="33" t="s">
        <v>13888</v>
      </c>
      <c r="D92" s="213" t="s">
        <v>9120</v>
      </c>
      <c r="E92" s="213" t="s">
        <v>3294</v>
      </c>
      <c r="F92" s="182">
        <f>(83.2-66.1)/2</f>
        <v>8.5500000000000043</v>
      </c>
      <c r="G92" s="20">
        <v>1992</v>
      </c>
      <c r="H92" s="23"/>
      <c r="I92" s="704" t="s">
        <v>4422</v>
      </c>
      <c r="J92" s="704" t="s">
        <v>13887</v>
      </c>
    </row>
    <row r="93" spans="1:14" s="5" customFormat="1" ht="45" customHeight="1" x14ac:dyDescent="0.2">
      <c r="A93" s="33" t="s">
        <v>13889</v>
      </c>
      <c r="B93" s="33" t="s">
        <v>292</v>
      </c>
      <c r="C93" s="33" t="s">
        <v>13890</v>
      </c>
      <c r="D93" s="213" t="s">
        <v>9120</v>
      </c>
      <c r="E93" s="213" t="s">
        <v>3294</v>
      </c>
      <c r="F93" s="182">
        <f>17.1/2</f>
        <v>8.5500000000000007</v>
      </c>
      <c r="G93" s="20">
        <v>1992</v>
      </c>
      <c r="H93" s="23"/>
      <c r="I93" s="704" t="s">
        <v>13820</v>
      </c>
      <c r="J93" s="704" t="s">
        <v>13821</v>
      </c>
    </row>
    <row r="94" spans="1:14" ht="21.75" customHeight="1" x14ac:dyDescent="0.2">
      <c r="A94" s="646" t="s">
        <v>2897</v>
      </c>
      <c r="B94" s="997" t="s">
        <v>3760</v>
      </c>
      <c r="C94" s="998"/>
      <c r="D94" s="443" t="s">
        <v>11550</v>
      </c>
      <c r="E94" s="91" t="s">
        <v>3244</v>
      </c>
      <c r="F94" s="123" t="s">
        <v>9118</v>
      </c>
      <c r="G94" s="647"/>
      <c r="H94" s="23">
        <v>3550454.85</v>
      </c>
      <c r="I94" s="646"/>
      <c r="J94" s="647"/>
      <c r="L94" s="5"/>
      <c r="M94" s="5"/>
      <c r="N94" s="5"/>
    </row>
    <row r="95" spans="1:14" s="60" customFormat="1" ht="58.5" customHeight="1" x14ac:dyDescent="0.2">
      <c r="A95" s="33" t="s">
        <v>3807</v>
      </c>
      <c r="B95" s="33" t="s">
        <v>292</v>
      </c>
      <c r="C95" s="33" t="s">
        <v>5518</v>
      </c>
      <c r="D95" s="642" t="s">
        <v>9148</v>
      </c>
      <c r="E95" s="33" t="s">
        <v>3288</v>
      </c>
      <c r="F95" s="93">
        <v>26.8</v>
      </c>
      <c r="G95" s="20" t="s">
        <v>78</v>
      </c>
      <c r="H95" s="43"/>
      <c r="I95" s="34" t="s">
        <v>9410</v>
      </c>
      <c r="J95" s="34" t="s">
        <v>9410</v>
      </c>
    </row>
    <row r="96" spans="1:14" s="60" customFormat="1" ht="44.25" customHeight="1" x14ac:dyDescent="0.2">
      <c r="A96" s="33" t="s">
        <v>3808</v>
      </c>
      <c r="B96" s="33" t="s">
        <v>292</v>
      </c>
      <c r="C96" s="33" t="s">
        <v>5518</v>
      </c>
      <c r="D96" s="642" t="s">
        <v>9148</v>
      </c>
      <c r="E96" s="213" t="s">
        <v>3350</v>
      </c>
      <c r="F96" s="182">
        <v>12.3</v>
      </c>
      <c r="G96" s="20">
        <v>1992</v>
      </c>
      <c r="H96" s="43"/>
      <c r="I96" s="34" t="s">
        <v>6600</v>
      </c>
      <c r="J96" s="34" t="s">
        <v>13860</v>
      </c>
    </row>
    <row r="97" spans="1:10" s="60" customFormat="1" ht="59.25" customHeight="1" x14ac:dyDescent="0.2">
      <c r="A97" s="33" t="s">
        <v>3809</v>
      </c>
      <c r="B97" s="33" t="s">
        <v>292</v>
      </c>
      <c r="C97" s="33" t="s">
        <v>5518</v>
      </c>
      <c r="D97" s="33" t="s">
        <v>9148</v>
      </c>
      <c r="E97" s="33" t="s">
        <v>3350</v>
      </c>
      <c r="F97" s="93">
        <f>43.8-11-22.1</f>
        <v>10.699999999999996</v>
      </c>
      <c r="G97" s="20" t="s">
        <v>78</v>
      </c>
      <c r="H97" s="43"/>
      <c r="I97" s="642" t="s">
        <v>4389</v>
      </c>
      <c r="J97" s="642" t="s">
        <v>4389</v>
      </c>
    </row>
    <row r="98" spans="1:10" s="60" customFormat="1" ht="38.25" customHeight="1" x14ac:dyDescent="0.2">
      <c r="A98" s="33" t="s">
        <v>3810</v>
      </c>
      <c r="B98" s="33" t="s">
        <v>292</v>
      </c>
      <c r="C98" s="33" t="s">
        <v>5518</v>
      </c>
      <c r="D98" s="33" t="s">
        <v>9148</v>
      </c>
      <c r="E98" s="33" t="s">
        <v>3350</v>
      </c>
      <c r="F98" s="93">
        <v>11</v>
      </c>
      <c r="G98" s="20" t="s">
        <v>78</v>
      </c>
      <c r="H98" s="43"/>
      <c r="I98" s="108" t="s">
        <v>3973</v>
      </c>
      <c r="J98" s="108" t="s">
        <v>3973</v>
      </c>
    </row>
    <row r="99" spans="1:10" s="60" customFormat="1" ht="44.25" customHeight="1" x14ac:dyDescent="0.2">
      <c r="A99" s="33" t="s">
        <v>13466</v>
      </c>
      <c r="B99" s="33" t="s">
        <v>292</v>
      </c>
      <c r="C99" s="33" t="s">
        <v>11221</v>
      </c>
      <c r="D99" s="33" t="s">
        <v>9148</v>
      </c>
      <c r="E99" s="33" t="s">
        <v>3350</v>
      </c>
      <c r="F99" s="182">
        <v>22.1</v>
      </c>
      <c r="G99" s="20" t="s">
        <v>78</v>
      </c>
      <c r="H99" s="43"/>
      <c r="I99" s="642" t="s">
        <v>11353</v>
      </c>
      <c r="J99" s="642" t="s">
        <v>11353</v>
      </c>
    </row>
    <row r="100" spans="1:10" s="60" customFormat="1" ht="39.75" customHeight="1" x14ac:dyDescent="0.2">
      <c r="A100" s="33" t="s">
        <v>3830</v>
      </c>
      <c r="B100" s="33" t="s">
        <v>292</v>
      </c>
      <c r="C100" s="33" t="s">
        <v>11222</v>
      </c>
      <c r="D100" s="33" t="s">
        <v>9148</v>
      </c>
      <c r="E100" s="213" t="s">
        <v>3350</v>
      </c>
      <c r="F100" s="52">
        <f>45-10.6-10.6</f>
        <v>23.799999999999997</v>
      </c>
      <c r="G100" s="20">
        <v>1992</v>
      </c>
      <c r="H100" s="43"/>
      <c r="I100" s="34" t="s">
        <v>3293</v>
      </c>
      <c r="J100" s="34"/>
    </row>
    <row r="101" spans="1:10" s="60" customFormat="1" ht="58.5" customHeight="1" x14ac:dyDescent="0.2">
      <c r="A101" s="33" t="s">
        <v>3843</v>
      </c>
      <c r="B101" s="33" t="s">
        <v>292</v>
      </c>
      <c r="C101" s="33" t="s">
        <v>11218</v>
      </c>
      <c r="D101" s="33" t="s">
        <v>9148</v>
      </c>
      <c r="E101" s="33" t="s">
        <v>3350</v>
      </c>
      <c r="F101" s="182">
        <f>11-0.4</f>
        <v>10.6</v>
      </c>
      <c r="G101" s="20" t="s">
        <v>78</v>
      </c>
      <c r="H101" s="43"/>
      <c r="I101" s="642" t="s">
        <v>11023</v>
      </c>
      <c r="J101" s="642" t="s">
        <v>11023</v>
      </c>
    </row>
    <row r="102" spans="1:10" s="60" customFormat="1" ht="58.5" customHeight="1" x14ac:dyDescent="0.2">
      <c r="A102" s="33" t="s">
        <v>5822</v>
      </c>
      <c r="B102" s="33" t="s">
        <v>292</v>
      </c>
      <c r="C102" s="33" t="s">
        <v>11219</v>
      </c>
      <c r="D102" s="33" t="s">
        <v>9148</v>
      </c>
      <c r="E102" s="33" t="s">
        <v>3350</v>
      </c>
      <c r="F102" s="182">
        <v>10.6</v>
      </c>
      <c r="G102" s="20" t="s">
        <v>78</v>
      </c>
      <c r="H102" s="43"/>
      <c r="I102" s="642" t="s">
        <v>11023</v>
      </c>
      <c r="J102" s="642" t="s">
        <v>11023</v>
      </c>
    </row>
    <row r="103" spans="1:10" s="60" customFormat="1" ht="58.5" customHeight="1" x14ac:dyDescent="0.2">
      <c r="A103" s="33" t="s">
        <v>4429</v>
      </c>
      <c r="B103" s="33" t="s">
        <v>6247</v>
      </c>
      <c r="C103" s="33" t="s">
        <v>5518</v>
      </c>
      <c r="D103" s="20" t="s">
        <v>6279</v>
      </c>
      <c r="E103" s="213" t="s">
        <v>3350</v>
      </c>
      <c r="F103" s="52">
        <v>307.60000000000002</v>
      </c>
      <c r="G103" s="20">
        <v>1992</v>
      </c>
      <c r="H103" s="43">
        <v>974326.08</v>
      </c>
      <c r="I103" s="646" t="s">
        <v>9289</v>
      </c>
      <c r="J103" s="646" t="s">
        <v>9289</v>
      </c>
    </row>
    <row r="104" spans="1:10" s="60" customFormat="1" ht="59.25" customHeight="1" x14ac:dyDescent="0.2">
      <c r="A104" s="33" t="s">
        <v>9411</v>
      </c>
      <c r="B104" s="33" t="s">
        <v>292</v>
      </c>
      <c r="C104" s="33" t="s">
        <v>5518</v>
      </c>
      <c r="D104" s="33" t="s">
        <v>9148</v>
      </c>
      <c r="E104" s="213" t="s">
        <v>3343</v>
      </c>
      <c r="F104" s="182">
        <v>32.1</v>
      </c>
      <c r="G104" s="20">
        <v>1992</v>
      </c>
      <c r="H104" s="43"/>
      <c r="I104" s="34" t="s">
        <v>9410</v>
      </c>
      <c r="J104" s="34" t="s">
        <v>9410</v>
      </c>
    </row>
    <row r="105" spans="1:10" s="60" customFormat="1" ht="78.75" customHeight="1" x14ac:dyDescent="0.2">
      <c r="A105" s="33" t="s">
        <v>9412</v>
      </c>
      <c r="B105" s="33" t="s">
        <v>292</v>
      </c>
      <c r="C105" s="33" t="s">
        <v>11223</v>
      </c>
      <c r="D105" s="33" t="s">
        <v>9148</v>
      </c>
      <c r="E105" s="33" t="s">
        <v>3350</v>
      </c>
      <c r="F105" s="52">
        <v>17.2</v>
      </c>
      <c r="G105" s="20" t="s">
        <v>78</v>
      </c>
      <c r="H105" s="660"/>
      <c r="I105" s="12" t="s">
        <v>13614</v>
      </c>
      <c r="J105" s="34" t="s">
        <v>13916</v>
      </c>
    </row>
    <row r="106" spans="1:10" s="60" customFormat="1" ht="45.75" customHeight="1" x14ac:dyDescent="0.2">
      <c r="A106" s="33" t="s">
        <v>11220</v>
      </c>
      <c r="B106" s="33" t="s">
        <v>292</v>
      </c>
      <c r="C106" s="33" t="s">
        <v>5518</v>
      </c>
      <c r="D106" s="642" t="s">
        <v>9148</v>
      </c>
      <c r="E106" s="33" t="s">
        <v>3350</v>
      </c>
      <c r="F106" s="93">
        <f>101.9</f>
        <v>101.9</v>
      </c>
      <c r="G106" s="20" t="s">
        <v>78</v>
      </c>
      <c r="H106" s="43"/>
      <c r="I106" s="649" t="s">
        <v>3287</v>
      </c>
      <c r="J106" s="649" t="s">
        <v>3844</v>
      </c>
    </row>
    <row r="107" spans="1:10" ht="57.75" customHeight="1" x14ac:dyDescent="0.2">
      <c r="A107" s="646" t="s">
        <v>9150</v>
      </c>
      <c r="B107" s="224" t="s">
        <v>5713</v>
      </c>
      <c r="C107" s="33" t="s">
        <v>5518</v>
      </c>
      <c r="D107" s="642" t="s">
        <v>9114</v>
      </c>
      <c r="E107" s="33" t="s">
        <v>4029</v>
      </c>
      <c r="F107" s="59">
        <f>613.6</f>
        <v>613.6</v>
      </c>
      <c r="G107" s="647" t="s">
        <v>78</v>
      </c>
      <c r="H107" s="43">
        <v>5228123.58</v>
      </c>
      <c r="I107" s="642" t="s">
        <v>11023</v>
      </c>
      <c r="J107" s="642" t="s">
        <v>11023</v>
      </c>
    </row>
    <row r="108" spans="1:10" s="70" customFormat="1" ht="57.75" customHeight="1" x14ac:dyDescent="0.2">
      <c r="A108" s="33" t="s">
        <v>9149</v>
      </c>
      <c r="B108" s="145" t="s">
        <v>11385</v>
      </c>
      <c r="C108" s="145" t="s">
        <v>5518</v>
      </c>
      <c r="D108" s="20"/>
      <c r="E108" s="250" t="s">
        <v>3285</v>
      </c>
      <c r="F108" s="93">
        <v>12</v>
      </c>
      <c r="G108" s="110" t="s">
        <v>78</v>
      </c>
      <c r="H108" s="126"/>
      <c r="I108" s="108" t="s">
        <v>6624</v>
      </c>
      <c r="J108" s="108" t="s">
        <v>6624</v>
      </c>
    </row>
    <row r="109" spans="1:10" s="60" customFormat="1" ht="28.5" customHeight="1" x14ac:dyDescent="0.2">
      <c r="A109" s="646" t="s">
        <v>2453</v>
      </c>
      <c r="B109" s="646" t="s">
        <v>2140</v>
      </c>
      <c r="C109" s="646" t="s">
        <v>5530</v>
      </c>
      <c r="D109" s="642"/>
      <c r="E109" s="642"/>
      <c r="F109" s="113">
        <v>96</v>
      </c>
      <c r="G109" s="646">
        <v>1978</v>
      </c>
      <c r="H109" s="43"/>
      <c r="I109" s="646" t="s">
        <v>3846</v>
      </c>
      <c r="J109" s="646" t="s">
        <v>3846</v>
      </c>
    </row>
    <row r="110" spans="1:10" s="70" customFormat="1" ht="40.5" customHeight="1" x14ac:dyDescent="0.2">
      <c r="A110" s="646" t="s">
        <v>2184</v>
      </c>
      <c r="B110" s="646" t="s">
        <v>11070</v>
      </c>
      <c r="C110" s="961" t="s">
        <v>8551</v>
      </c>
      <c r="D110" s="642" t="s">
        <v>6196</v>
      </c>
      <c r="E110" s="642" t="s">
        <v>5935</v>
      </c>
      <c r="F110" s="113">
        <v>460</v>
      </c>
      <c r="G110" s="646">
        <v>1978</v>
      </c>
      <c r="H110" s="43">
        <v>13527187.800000001</v>
      </c>
      <c r="I110" s="646" t="s">
        <v>5933</v>
      </c>
      <c r="J110" s="646" t="s">
        <v>5933</v>
      </c>
    </row>
    <row r="111" spans="1:10" s="70" customFormat="1" ht="36.75" customHeight="1" x14ac:dyDescent="0.2">
      <c r="A111" s="646" t="s">
        <v>2454</v>
      </c>
      <c r="B111" s="646" t="s">
        <v>3583</v>
      </c>
      <c r="C111" s="962"/>
      <c r="D111" s="642"/>
      <c r="E111" s="642" t="s">
        <v>2402</v>
      </c>
      <c r="F111" s="192"/>
      <c r="G111" s="646">
        <v>1999</v>
      </c>
      <c r="H111" s="43"/>
      <c r="I111" s="646" t="s">
        <v>5933</v>
      </c>
      <c r="J111" s="646" t="s">
        <v>5933</v>
      </c>
    </row>
    <row r="112" spans="1:10" s="70" customFormat="1" ht="24.75" customHeight="1" x14ac:dyDescent="0.2">
      <c r="A112" s="961" t="s">
        <v>2455</v>
      </c>
      <c r="B112" s="112" t="s">
        <v>3668</v>
      </c>
      <c r="C112" s="226" t="s">
        <v>5531</v>
      </c>
      <c r="D112" s="20" t="s">
        <v>5896</v>
      </c>
      <c r="E112" s="88" t="s">
        <v>2406</v>
      </c>
      <c r="F112" s="184" t="s">
        <v>10437</v>
      </c>
      <c r="G112" s="112">
        <v>1968</v>
      </c>
      <c r="H112" s="126">
        <v>412332.31</v>
      </c>
      <c r="I112" s="994" t="s">
        <v>3290</v>
      </c>
      <c r="J112" s="994" t="s">
        <v>3290</v>
      </c>
    </row>
    <row r="113" spans="1:10" s="70" customFormat="1" ht="12" customHeight="1" x14ac:dyDescent="0.2">
      <c r="A113" s="963"/>
      <c r="B113" s="112" t="s">
        <v>519</v>
      </c>
      <c r="C113" s="227"/>
      <c r="D113" s="642"/>
      <c r="E113" s="88"/>
      <c r="F113" s="128"/>
      <c r="G113" s="112">
        <v>2011</v>
      </c>
      <c r="H113" s="126"/>
      <c r="I113" s="995"/>
      <c r="J113" s="995"/>
    </row>
    <row r="114" spans="1:10" s="70" customFormat="1" ht="25.5" customHeight="1" x14ac:dyDescent="0.2">
      <c r="A114" s="963"/>
      <c r="B114" s="112" t="s">
        <v>489</v>
      </c>
      <c r="C114" s="227"/>
      <c r="D114" s="642"/>
      <c r="E114" s="88"/>
      <c r="F114" s="128"/>
      <c r="G114" s="112" t="s">
        <v>490</v>
      </c>
      <c r="H114" s="126"/>
      <c r="I114" s="995"/>
      <c r="J114" s="995"/>
    </row>
    <row r="115" spans="1:10" s="70" customFormat="1" ht="40.5" customHeight="1" x14ac:dyDescent="0.2">
      <c r="A115" s="963"/>
      <c r="B115" s="112" t="s">
        <v>492</v>
      </c>
      <c r="C115" s="227"/>
      <c r="D115" s="642"/>
      <c r="E115" s="88" t="s">
        <v>491</v>
      </c>
      <c r="F115" s="128"/>
      <c r="G115" s="112" t="s">
        <v>490</v>
      </c>
      <c r="H115" s="126"/>
      <c r="I115" s="996"/>
      <c r="J115" s="996"/>
    </row>
    <row r="116" spans="1:10" s="70" customFormat="1" ht="16.5" customHeight="1" x14ac:dyDescent="0.2">
      <c r="A116" s="962"/>
      <c r="B116" s="112" t="s">
        <v>11163</v>
      </c>
      <c r="C116" s="228"/>
      <c r="D116" s="402"/>
      <c r="E116" s="403"/>
      <c r="F116" s="128"/>
      <c r="G116" s="112" t="s">
        <v>9380</v>
      </c>
      <c r="H116" s="126"/>
      <c r="I116" s="644"/>
      <c r="J116" s="644"/>
    </row>
    <row r="117" spans="1:10" s="70" customFormat="1" ht="43.5" customHeight="1" x14ac:dyDescent="0.2">
      <c r="A117" s="33" t="s">
        <v>2185</v>
      </c>
      <c r="B117" s="145" t="s">
        <v>292</v>
      </c>
      <c r="C117" s="145" t="s">
        <v>5532</v>
      </c>
      <c r="D117" s="148"/>
      <c r="E117" s="145" t="s">
        <v>3848</v>
      </c>
      <c r="F117" s="186">
        <v>83.2</v>
      </c>
      <c r="G117" s="110">
        <v>1968</v>
      </c>
      <c r="H117" s="126"/>
      <c r="I117" s="108" t="s">
        <v>3850</v>
      </c>
      <c r="J117" s="108" t="s">
        <v>13813</v>
      </c>
    </row>
    <row r="118" spans="1:10" s="69" customFormat="1" ht="36" customHeight="1" x14ac:dyDescent="0.2">
      <c r="A118" s="33" t="s">
        <v>2456</v>
      </c>
      <c r="B118" s="145" t="s">
        <v>292</v>
      </c>
      <c r="C118" s="145" t="s">
        <v>5532</v>
      </c>
      <c r="D118" s="148"/>
      <c r="E118" s="145" t="s">
        <v>3847</v>
      </c>
      <c r="F118" s="175">
        <v>214.4</v>
      </c>
      <c r="G118" s="110" t="s">
        <v>3300</v>
      </c>
      <c r="H118" s="126"/>
      <c r="I118" s="108" t="s">
        <v>3952</v>
      </c>
      <c r="J118" s="108" t="s">
        <v>12273</v>
      </c>
    </row>
    <row r="119" spans="1:10" s="70" customFormat="1" ht="46.5" customHeight="1" x14ac:dyDescent="0.2">
      <c r="A119" s="33" t="s">
        <v>2457</v>
      </c>
      <c r="B119" s="145" t="s">
        <v>292</v>
      </c>
      <c r="C119" s="145" t="s">
        <v>5532</v>
      </c>
      <c r="D119" s="148"/>
      <c r="E119" s="145" t="s">
        <v>3847</v>
      </c>
      <c r="F119" s="175">
        <v>127.7</v>
      </c>
      <c r="G119" s="110">
        <v>1968</v>
      </c>
      <c r="H119" s="126"/>
      <c r="I119" s="108" t="s">
        <v>3972</v>
      </c>
      <c r="J119" s="108" t="s">
        <v>12274</v>
      </c>
    </row>
    <row r="120" spans="1:10" s="70" customFormat="1" ht="68.25" customHeight="1" x14ac:dyDescent="0.2">
      <c r="A120" s="33" t="s">
        <v>3552</v>
      </c>
      <c r="B120" s="145" t="s">
        <v>292</v>
      </c>
      <c r="C120" s="145" t="s">
        <v>5532</v>
      </c>
      <c r="D120" s="148"/>
      <c r="E120" s="145" t="s">
        <v>3849</v>
      </c>
      <c r="F120" s="186">
        <v>50.3</v>
      </c>
      <c r="G120" s="110" t="s">
        <v>3300</v>
      </c>
      <c r="H120" s="126"/>
      <c r="I120" s="108" t="s">
        <v>3973</v>
      </c>
      <c r="J120" s="34" t="s">
        <v>12275</v>
      </c>
    </row>
    <row r="121" spans="1:10" s="70" customFormat="1" ht="57.75" customHeight="1" x14ac:dyDescent="0.2">
      <c r="A121" s="33" t="s">
        <v>3553</v>
      </c>
      <c r="B121" s="145" t="s">
        <v>292</v>
      </c>
      <c r="C121" s="145" t="s">
        <v>5532</v>
      </c>
      <c r="D121" s="148"/>
      <c r="E121" s="145" t="s">
        <v>3847</v>
      </c>
      <c r="F121" s="175">
        <v>96.5</v>
      </c>
      <c r="G121" s="110" t="s">
        <v>3300</v>
      </c>
      <c r="H121" s="126"/>
      <c r="I121" s="108" t="s">
        <v>3976</v>
      </c>
      <c r="J121" s="34" t="s">
        <v>12276</v>
      </c>
    </row>
    <row r="122" spans="1:10" s="69" customFormat="1" ht="36.75" customHeight="1" x14ac:dyDescent="0.2">
      <c r="A122" s="33" t="s">
        <v>3975</v>
      </c>
      <c r="B122" s="145" t="s">
        <v>292</v>
      </c>
      <c r="C122" s="145" t="s">
        <v>5532</v>
      </c>
      <c r="D122" s="148"/>
      <c r="E122" s="145" t="s">
        <v>3847</v>
      </c>
      <c r="F122" s="175">
        <v>18</v>
      </c>
      <c r="G122" s="110" t="s">
        <v>3300</v>
      </c>
      <c r="H122" s="126"/>
      <c r="I122" s="108" t="s">
        <v>3952</v>
      </c>
      <c r="J122" s="108" t="s">
        <v>13791</v>
      </c>
    </row>
    <row r="123" spans="1:10" s="69" customFormat="1" ht="23.25" customHeight="1" x14ac:dyDescent="0.2">
      <c r="A123" s="33" t="s">
        <v>4374</v>
      </c>
      <c r="B123" s="145" t="s">
        <v>292</v>
      </c>
      <c r="C123" s="145" t="s">
        <v>5532</v>
      </c>
      <c r="D123" s="148"/>
      <c r="E123" s="145" t="s">
        <v>3848</v>
      </c>
      <c r="F123" s="175">
        <v>67.900000000000006</v>
      </c>
      <c r="G123" s="110" t="s">
        <v>3300</v>
      </c>
      <c r="H123" s="126"/>
      <c r="I123" s="108" t="s">
        <v>4377</v>
      </c>
      <c r="J123" s="34"/>
    </row>
    <row r="124" spans="1:10" s="69" customFormat="1" ht="47.25" customHeight="1" x14ac:dyDescent="0.2">
      <c r="A124" s="33" t="s">
        <v>4375</v>
      </c>
      <c r="B124" s="145" t="s">
        <v>292</v>
      </c>
      <c r="C124" s="145" t="s">
        <v>5532</v>
      </c>
      <c r="D124" s="148"/>
      <c r="E124" s="145" t="s">
        <v>3847</v>
      </c>
      <c r="F124" s="175">
        <f>47.7-15.53</f>
        <v>32.17</v>
      </c>
      <c r="G124" s="110" t="s">
        <v>3300</v>
      </c>
      <c r="H124" s="126"/>
      <c r="I124" s="108" t="s">
        <v>4376</v>
      </c>
      <c r="J124" s="34" t="s">
        <v>12277</v>
      </c>
    </row>
    <row r="125" spans="1:10" s="69" customFormat="1" ht="34.5" customHeight="1" x14ac:dyDescent="0.2">
      <c r="A125" s="33" t="s">
        <v>5444</v>
      </c>
      <c r="B125" s="145" t="s">
        <v>5446</v>
      </c>
      <c r="C125" s="145" t="s">
        <v>5532</v>
      </c>
      <c r="D125" s="148"/>
      <c r="E125" s="145" t="s">
        <v>5445</v>
      </c>
      <c r="F125" s="708">
        <v>4.32</v>
      </c>
      <c r="G125" s="110" t="s">
        <v>3300</v>
      </c>
      <c r="H125" s="126"/>
      <c r="I125" s="108" t="s">
        <v>5447</v>
      </c>
      <c r="J125" s="112" t="s">
        <v>13843</v>
      </c>
    </row>
    <row r="126" spans="1:10" s="69" customFormat="1" ht="35.25" customHeight="1" x14ac:dyDescent="0.2">
      <c r="A126" s="33" t="s">
        <v>5785</v>
      </c>
      <c r="B126" s="33" t="s">
        <v>292</v>
      </c>
      <c r="C126" s="33" t="s">
        <v>5532</v>
      </c>
      <c r="D126" s="141"/>
      <c r="E126" s="33" t="s">
        <v>5786</v>
      </c>
      <c r="F126" s="93">
        <f>1315.63-16.2-6-75.3-5</f>
        <v>1213.1300000000001</v>
      </c>
      <c r="G126" s="20" t="s">
        <v>3300</v>
      </c>
      <c r="H126" s="43"/>
      <c r="I126" s="34" t="s">
        <v>1</v>
      </c>
      <c r="J126" s="646"/>
    </row>
    <row r="127" spans="1:10" s="69" customFormat="1" ht="44.25" customHeight="1" x14ac:dyDescent="0.2">
      <c r="A127" s="33" t="s">
        <v>11547</v>
      </c>
      <c r="B127" s="33" t="s">
        <v>292</v>
      </c>
      <c r="C127" s="33" t="s">
        <v>5532</v>
      </c>
      <c r="D127" s="141"/>
      <c r="E127" s="33" t="s">
        <v>3847</v>
      </c>
      <c r="F127" s="93">
        <v>16.2</v>
      </c>
      <c r="G127" s="20" t="s">
        <v>3300</v>
      </c>
      <c r="H127" s="43"/>
      <c r="I127" s="34" t="s">
        <v>12221</v>
      </c>
      <c r="J127" s="34" t="s">
        <v>12221</v>
      </c>
    </row>
    <row r="128" spans="1:10" s="69" customFormat="1" ht="48" customHeight="1" x14ac:dyDescent="0.2">
      <c r="A128" s="33" t="s">
        <v>12220</v>
      </c>
      <c r="B128" s="33" t="s">
        <v>292</v>
      </c>
      <c r="C128" s="33" t="s">
        <v>5532</v>
      </c>
      <c r="D128" s="141"/>
      <c r="E128" s="33" t="s">
        <v>5786</v>
      </c>
      <c r="F128" s="93">
        <v>6</v>
      </c>
      <c r="G128" s="20" t="s">
        <v>3300</v>
      </c>
      <c r="H128" s="43"/>
      <c r="I128" s="34" t="s">
        <v>11548</v>
      </c>
      <c r="J128" s="34" t="s">
        <v>12278</v>
      </c>
    </row>
    <row r="129" spans="1:10" s="69" customFormat="1" ht="54.75" customHeight="1" x14ac:dyDescent="0.2">
      <c r="A129" s="33" t="s">
        <v>12272</v>
      </c>
      <c r="B129" s="33" t="s">
        <v>292</v>
      </c>
      <c r="C129" s="33" t="s">
        <v>5532</v>
      </c>
      <c r="D129" s="141"/>
      <c r="E129" s="145" t="s">
        <v>3848</v>
      </c>
      <c r="F129" s="93">
        <v>75.3</v>
      </c>
      <c r="G129" s="20" t="s">
        <v>3300</v>
      </c>
      <c r="H129" s="43"/>
      <c r="I129" s="34" t="s">
        <v>12221</v>
      </c>
      <c r="J129" s="34" t="s">
        <v>12279</v>
      </c>
    </row>
    <row r="130" spans="1:10" s="69" customFormat="1" ht="60" customHeight="1" x14ac:dyDescent="0.2">
      <c r="A130" s="33" t="s">
        <v>12411</v>
      </c>
      <c r="B130" s="33" t="s">
        <v>292</v>
      </c>
      <c r="C130" s="33" t="s">
        <v>5532</v>
      </c>
      <c r="D130" s="141"/>
      <c r="E130" s="145" t="s">
        <v>3849</v>
      </c>
      <c r="F130" s="93">
        <v>5</v>
      </c>
      <c r="G130" s="20" t="s">
        <v>3300</v>
      </c>
      <c r="H130" s="43"/>
      <c r="I130" s="34" t="s">
        <v>12506</v>
      </c>
      <c r="J130" s="34" t="s">
        <v>12507</v>
      </c>
    </row>
    <row r="131" spans="1:10" s="70" customFormat="1" ht="34.5" customHeight="1" x14ac:dyDescent="0.2">
      <c r="A131" s="642" t="s">
        <v>2458</v>
      </c>
      <c r="B131" s="112" t="s">
        <v>13</v>
      </c>
      <c r="C131" s="112" t="s">
        <v>12454</v>
      </c>
      <c r="D131" s="642" t="s">
        <v>6930</v>
      </c>
      <c r="E131" s="88" t="s">
        <v>2407</v>
      </c>
      <c r="F131" s="184">
        <v>515.1</v>
      </c>
      <c r="G131" s="112" t="s">
        <v>3306</v>
      </c>
      <c r="H131" s="126">
        <v>5409059.9500000002</v>
      </c>
      <c r="I131" s="112" t="s">
        <v>84</v>
      </c>
      <c r="J131" s="112" t="s">
        <v>5080</v>
      </c>
    </row>
    <row r="132" spans="1:10" ht="33.75" customHeight="1" x14ac:dyDescent="0.2">
      <c r="A132" s="642" t="s">
        <v>2186</v>
      </c>
      <c r="B132" s="647" t="s">
        <v>3669</v>
      </c>
      <c r="C132" s="647" t="s">
        <v>5984</v>
      </c>
      <c r="D132" s="642" t="s">
        <v>12455</v>
      </c>
      <c r="E132" s="380" t="s">
        <v>2405</v>
      </c>
      <c r="F132" s="183">
        <v>143.1</v>
      </c>
      <c r="G132" s="647" t="s">
        <v>3789</v>
      </c>
      <c r="H132" s="23">
        <v>991441.16</v>
      </c>
      <c r="I132" s="647" t="s">
        <v>3852</v>
      </c>
      <c r="J132" s="647" t="s">
        <v>3851</v>
      </c>
    </row>
    <row r="133" spans="1:10" ht="36" customHeight="1" x14ac:dyDescent="0.2">
      <c r="A133" s="646" t="s">
        <v>5081</v>
      </c>
      <c r="B133" s="646" t="s">
        <v>5082</v>
      </c>
      <c r="C133" s="646" t="s">
        <v>5983</v>
      </c>
      <c r="D133" s="642" t="s">
        <v>5580</v>
      </c>
      <c r="E133" s="642" t="s">
        <v>2405</v>
      </c>
      <c r="F133" s="85">
        <v>10.7</v>
      </c>
      <c r="G133" s="646" t="s">
        <v>3772</v>
      </c>
      <c r="H133" s="43">
        <v>2199.6</v>
      </c>
      <c r="I133" s="276" t="s">
        <v>9123</v>
      </c>
      <c r="J133" s="276" t="s">
        <v>9123</v>
      </c>
    </row>
    <row r="134" spans="1:10" ht="37.5" customHeight="1" x14ac:dyDescent="0.2">
      <c r="A134" s="640" t="s">
        <v>3278</v>
      </c>
      <c r="B134" s="635" t="s">
        <v>10649</v>
      </c>
      <c r="C134" s="635" t="s">
        <v>9377</v>
      </c>
      <c r="D134" s="642" t="s">
        <v>5581</v>
      </c>
      <c r="E134" s="380" t="s">
        <v>2408</v>
      </c>
      <c r="F134" s="183">
        <v>491.5</v>
      </c>
      <c r="G134" s="647" t="s">
        <v>74</v>
      </c>
      <c r="H134" s="634">
        <v>1086957.17</v>
      </c>
      <c r="I134" s="635" t="s">
        <v>11166</v>
      </c>
      <c r="J134" s="728" t="s">
        <v>14046</v>
      </c>
    </row>
    <row r="135" spans="1:10" ht="35.25" customHeight="1" x14ac:dyDescent="0.2">
      <c r="A135" s="642" t="s">
        <v>2187</v>
      </c>
      <c r="B135" s="647" t="s">
        <v>3670</v>
      </c>
      <c r="C135" s="240" t="s">
        <v>5985</v>
      </c>
      <c r="D135" s="642" t="s">
        <v>5582</v>
      </c>
      <c r="E135" s="380" t="s">
        <v>2409</v>
      </c>
      <c r="F135" s="242">
        <v>1584.3</v>
      </c>
      <c r="G135" s="647" t="s">
        <v>534</v>
      </c>
      <c r="H135" s="23">
        <v>8315714.8799999999</v>
      </c>
      <c r="I135" s="635" t="s">
        <v>11166</v>
      </c>
      <c r="J135" s="728" t="s">
        <v>14046</v>
      </c>
    </row>
    <row r="136" spans="1:10" ht="36.75" customHeight="1" x14ac:dyDescent="0.2">
      <c r="A136" s="646" t="s">
        <v>2836</v>
      </c>
      <c r="B136" s="647" t="s">
        <v>10650</v>
      </c>
      <c r="C136" s="240" t="s">
        <v>9377</v>
      </c>
      <c r="D136" s="642" t="s">
        <v>5583</v>
      </c>
      <c r="E136" s="380" t="s">
        <v>2411</v>
      </c>
      <c r="F136" s="242">
        <v>257.10000000000002</v>
      </c>
      <c r="G136" s="647" t="s">
        <v>3315</v>
      </c>
      <c r="H136" s="23">
        <v>52852.05</v>
      </c>
      <c r="I136" s="635" t="s">
        <v>11166</v>
      </c>
      <c r="J136" s="728" t="s">
        <v>14046</v>
      </c>
    </row>
    <row r="137" spans="1:10" ht="36" customHeight="1" x14ac:dyDescent="0.2">
      <c r="A137" s="961" t="s">
        <v>2188</v>
      </c>
      <c r="B137" s="975" t="s">
        <v>11189</v>
      </c>
      <c r="C137" s="975" t="s">
        <v>11192</v>
      </c>
      <c r="D137" s="642" t="s">
        <v>5584</v>
      </c>
      <c r="E137" s="380" t="s">
        <v>2409</v>
      </c>
      <c r="F137" s="242">
        <v>10.6</v>
      </c>
      <c r="G137" s="647">
        <v>1962</v>
      </c>
      <c r="H137" s="23">
        <v>23442.01</v>
      </c>
      <c r="I137" s="635" t="s">
        <v>11166</v>
      </c>
      <c r="J137" s="728" t="s">
        <v>14046</v>
      </c>
    </row>
    <row r="138" spans="1:10" ht="34.5" customHeight="1" x14ac:dyDescent="0.2">
      <c r="A138" s="962"/>
      <c r="B138" s="976"/>
      <c r="C138" s="976"/>
      <c r="D138" s="280"/>
      <c r="E138" s="251" t="s">
        <v>3320</v>
      </c>
      <c r="F138" s="252"/>
      <c r="G138" s="647" t="s">
        <v>512</v>
      </c>
      <c r="H138" s="23"/>
      <c r="I138" s="635" t="s">
        <v>11166</v>
      </c>
      <c r="J138" s="728" t="s">
        <v>14046</v>
      </c>
    </row>
    <row r="139" spans="1:10" ht="38.25" customHeight="1" x14ac:dyDescent="0.2">
      <c r="A139" s="646" t="s">
        <v>2189</v>
      </c>
      <c r="B139" s="647" t="s">
        <v>10651</v>
      </c>
      <c r="C139" s="240" t="s">
        <v>11195</v>
      </c>
      <c r="D139" s="642" t="s">
        <v>5585</v>
      </c>
      <c r="E139" s="380" t="s">
        <v>2409</v>
      </c>
      <c r="F139" s="59">
        <v>121.8</v>
      </c>
      <c r="G139" s="647">
        <v>1962</v>
      </c>
      <c r="H139" s="23">
        <v>269361.91999999998</v>
      </c>
      <c r="I139" s="635" t="s">
        <v>11166</v>
      </c>
      <c r="J139" s="728" t="s">
        <v>14046</v>
      </c>
    </row>
    <row r="140" spans="1:10" ht="36" customHeight="1" x14ac:dyDescent="0.2">
      <c r="A140" s="646" t="s">
        <v>2190</v>
      </c>
      <c r="B140" s="647" t="s">
        <v>3307</v>
      </c>
      <c r="C140" s="240" t="s">
        <v>11193</v>
      </c>
      <c r="D140" s="642" t="s">
        <v>5586</v>
      </c>
      <c r="E140" s="380" t="s">
        <v>2412</v>
      </c>
      <c r="F140" s="59">
        <v>183.1</v>
      </c>
      <c r="G140" s="647">
        <v>1996</v>
      </c>
      <c r="H140" s="23">
        <v>404927.48</v>
      </c>
      <c r="I140" s="635" t="s">
        <v>11166</v>
      </c>
      <c r="J140" s="728" t="s">
        <v>14046</v>
      </c>
    </row>
    <row r="141" spans="1:10" ht="35.25" customHeight="1" x14ac:dyDescent="0.2">
      <c r="A141" s="646" t="s">
        <v>2191</v>
      </c>
      <c r="B141" s="647" t="s">
        <v>3681</v>
      </c>
      <c r="C141" s="647" t="s">
        <v>5986</v>
      </c>
      <c r="D141" s="642" t="s">
        <v>5587</v>
      </c>
      <c r="E141" s="380" t="s">
        <v>2409</v>
      </c>
      <c r="F141" s="59">
        <v>73.2</v>
      </c>
      <c r="G141" s="647" t="s">
        <v>3627</v>
      </c>
      <c r="H141" s="23">
        <v>161882.53</v>
      </c>
      <c r="I141" s="635" t="s">
        <v>11166</v>
      </c>
      <c r="J141" s="728" t="s">
        <v>14046</v>
      </c>
    </row>
    <row r="142" spans="1:10" ht="37.5" customHeight="1" x14ac:dyDescent="0.2">
      <c r="A142" s="646" t="s">
        <v>2192</v>
      </c>
      <c r="B142" s="647" t="s">
        <v>10648</v>
      </c>
      <c r="C142" s="647" t="s">
        <v>11192</v>
      </c>
      <c r="D142" s="642" t="s">
        <v>5588</v>
      </c>
      <c r="E142" s="380" t="s">
        <v>2409</v>
      </c>
      <c r="F142" s="59">
        <v>12.8</v>
      </c>
      <c r="G142" s="647">
        <v>1976</v>
      </c>
      <c r="H142" s="23">
        <v>28307.33</v>
      </c>
      <c r="I142" s="635" t="s">
        <v>11166</v>
      </c>
      <c r="J142" s="728" t="s">
        <v>14046</v>
      </c>
    </row>
    <row r="143" spans="1:10" ht="35.25" customHeight="1" x14ac:dyDescent="0.2">
      <c r="A143" s="646" t="s">
        <v>2193</v>
      </c>
      <c r="B143" s="647" t="s">
        <v>11190</v>
      </c>
      <c r="C143" s="647" t="s">
        <v>11194</v>
      </c>
      <c r="D143" s="642" t="s">
        <v>5589</v>
      </c>
      <c r="E143" s="380" t="s">
        <v>2409</v>
      </c>
      <c r="F143" s="59">
        <v>309.3</v>
      </c>
      <c r="G143" s="647" t="s">
        <v>3627</v>
      </c>
      <c r="H143" s="23">
        <v>684020.04</v>
      </c>
      <c r="I143" s="635" t="s">
        <v>11166</v>
      </c>
      <c r="J143" s="728" t="s">
        <v>14046</v>
      </c>
    </row>
    <row r="144" spans="1:10" ht="36" customHeight="1" x14ac:dyDescent="0.2">
      <c r="A144" s="646" t="s">
        <v>2194</v>
      </c>
      <c r="B144" s="647" t="s">
        <v>3669</v>
      </c>
      <c r="C144" s="647" t="s">
        <v>5985</v>
      </c>
      <c r="D144" s="642" t="s">
        <v>5590</v>
      </c>
      <c r="E144" s="380" t="s">
        <v>2412</v>
      </c>
      <c r="F144" s="59">
        <v>20.9</v>
      </c>
      <c r="G144" s="647">
        <v>1962</v>
      </c>
      <c r="H144" s="23">
        <v>46220.56</v>
      </c>
      <c r="I144" s="635" t="s">
        <v>11166</v>
      </c>
      <c r="J144" s="726" t="s">
        <v>14046</v>
      </c>
    </row>
    <row r="145" spans="1:10" ht="33.75" customHeight="1" x14ac:dyDescent="0.2">
      <c r="A145" s="646" t="s">
        <v>2195</v>
      </c>
      <c r="B145" s="647" t="s">
        <v>3675</v>
      </c>
      <c r="C145" s="647" t="s">
        <v>5982</v>
      </c>
      <c r="D145" s="642" t="s">
        <v>8525</v>
      </c>
      <c r="E145" s="380" t="s">
        <v>2409</v>
      </c>
      <c r="F145" s="183">
        <v>18.100000000000001</v>
      </c>
      <c r="G145" s="647" t="s">
        <v>3627</v>
      </c>
      <c r="H145" s="23">
        <v>550168.87</v>
      </c>
      <c r="I145" s="276" t="s">
        <v>9123</v>
      </c>
      <c r="J145" s="276" t="s">
        <v>9123</v>
      </c>
    </row>
    <row r="146" spans="1:10" s="5" customFormat="1" ht="36" customHeight="1" x14ac:dyDescent="0.2">
      <c r="A146" s="646" t="s">
        <v>2196</v>
      </c>
      <c r="B146" s="646" t="s">
        <v>10654</v>
      </c>
      <c r="C146" s="646" t="s">
        <v>8624</v>
      </c>
      <c r="D146" s="642" t="s">
        <v>5591</v>
      </c>
      <c r="E146" s="642" t="s">
        <v>2409</v>
      </c>
      <c r="F146" s="113">
        <v>50.4</v>
      </c>
      <c r="G146" s="646">
        <v>1996</v>
      </c>
      <c r="H146" s="43">
        <v>1531961.93</v>
      </c>
      <c r="I146" s="647" t="s">
        <v>11166</v>
      </c>
      <c r="J146" s="729" t="s">
        <v>14046</v>
      </c>
    </row>
    <row r="147" spans="1:10" s="70" customFormat="1" ht="33.75" customHeight="1" x14ac:dyDescent="0.2">
      <c r="A147" s="646" t="s">
        <v>2898</v>
      </c>
      <c r="B147" s="112" t="s">
        <v>10646</v>
      </c>
      <c r="C147" s="112" t="s">
        <v>5981</v>
      </c>
      <c r="D147" s="642" t="s">
        <v>12222</v>
      </c>
      <c r="E147" s="88" t="s">
        <v>2413</v>
      </c>
      <c r="F147" s="127">
        <v>192.2</v>
      </c>
      <c r="G147" s="112">
        <v>1971</v>
      </c>
      <c r="H147" s="126">
        <v>1109745.5</v>
      </c>
      <c r="I147" s="8" t="s">
        <v>11180</v>
      </c>
      <c r="J147" s="8" t="s">
        <v>11180</v>
      </c>
    </row>
    <row r="148" spans="1:10" s="70" customFormat="1" ht="45" customHeight="1" x14ac:dyDescent="0.2">
      <c r="A148" s="646" t="s">
        <v>2370</v>
      </c>
      <c r="B148" s="112" t="s">
        <v>5714</v>
      </c>
      <c r="C148" s="112" t="s">
        <v>5981</v>
      </c>
      <c r="D148" s="642" t="s">
        <v>12223</v>
      </c>
      <c r="E148" s="88" t="s">
        <v>294</v>
      </c>
      <c r="F148" s="127">
        <v>60.1</v>
      </c>
      <c r="G148" s="112">
        <v>1942</v>
      </c>
      <c r="H148" s="43">
        <v>347011.99</v>
      </c>
      <c r="I148" s="8" t="s">
        <v>11180</v>
      </c>
      <c r="J148" s="8" t="s">
        <v>11180</v>
      </c>
    </row>
    <row r="149" spans="1:10" s="70" customFormat="1" ht="27" customHeight="1" x14ac:dyDescent="0.2">
      <c r="A149" s="646" t="s">
        <v>2371</v>
      </c>
      <c r="B149" s="112" t="s">
        <v>10864</v>
      </c>
      <c r="C149" s="994" t="s">
        <v>5981</v>
      </c>
      <c r="D149" s="984" t="s">
        <v>12224</v>
      </c>
      <c r="E149" s="253" t="s">
        <v>183</v>
      </c>
      <c r="F149" s="127">
        <v>21.2</v>
      </c>
      <c r="G149" s="112">
        <v>1971</v>
      </c>
      <c r="H149" s="977">
        <v>122406.89</v>
      </c>
      <c r="I149" s="994" t="s">
        <v>11180</v>
      </c>
      <c r="J149" s="994" t="s">
        <v>11180</v>
      </c>
    </row>
    <row r="150" spans="1:10" s="70" customFormat="1" ht="19.5" customHeight="1" x14ac:dyDescent="0.2">
      <c r="A150" s="630" t="s">
        <v>2899</v>
      </c>
      <c r="B150" s="643" t="s">
        <v>295</v>
      </c>
      <c r="C150" s="995"/>
      <c r="D150" s="986"/>
      <c r="E150" s="193"/>
      <c r="F150" s="127" t="s">
        <v>7090</v>
      </c>
      <c r="G150" s="112"/>
      <c r="H150" s="978"/>
      <c r="I150" s="995"/>
      <c r="J150" s="995"/>
    </row>
    <row r="151" spans="1:10" ht="35.25" customHeight="1" x14ac:dyDescent="0.2">
      <c r="A151" s="646" t="s">
        <v>2372</v>
      </c>
      <c r="B151" s="647" t="s">
        <v>11075</v>
      </c>
      <c r="C151" s="647" t="s">
        <v>5980</v>
      </c>
      <c r="D151" s="642" t="s">
        <v>5592</v>
      </c>
      <c r="E151" s="380" t="s">
        <v>183</v>
      </c>
      <c r="F151" s="183">
        <v>41.7</v>
      </c>
      <c r="G151" s="647" t="s">
        <v>3872</v>
      </c>
      <c r="H151" s="43">
        <v>324893.03999999998</v>
      </c>
      <c r="I151" s="647" t="s">
        <v>11011</v>
      </c>
      <c r="J151" s="647" t="s">
        <v>11011</v>
      </c>
    </row>
    <row r="152" spans="1:10" ht="26.25" customHeight="1" x14ac:dyDescent="0.2">
      <c r="A152" s="646" t="s">
        <v>2373</v>
      </c>
      <c r="B152" s="647" t="s">
        <v>3870</v>
      </c>
      <c r="C152" s="647" t="s">
        <v>7991</v>
      </c>
      <c r="D152" s="642" t="s">
        <v>5593</v>
      </c>
      <c r="E152" s="380" t="s">
        <v>183</v>
      </c>
      <c r="F152" s="113">
        <v>77</v>
      </c>
      <c r="G152" s="647" t="s">
        <v>3627</v>
      </c>
      <c r="H152" s="43">
        <v>697302.76</v>
      </c>
      <c r="I152" s="276" t="s">
        <v>9123</v>
      </c>
      <c r="J152" s="276" t="s">
        <v>9123</v>
      </c>
    </row>
    <row r="153" spans="1:10" s="5" customFormat="1" ht="22.5" customHeight="1" x14ac:dyDescent="0.2">
      <c r="A153" s="646" t="s">
        <v>3703</v>
      </c>
      <c r="B153" s="646" t="s">
        <v>2139</v>
      </c>
      <c r="C153" s="646" t="s">
        <v>5976</v>
      </c>
      <c r="D153" s="642"/>
      <c r="E153" s="642"/>
      <c r="F153" s="113">
        <v>123.2</v>
      </c>
      <c r="G153" s="646">
        <v>1996</v>
      </c>
      <c r="H153" s="43"/>
      <c r="I153" s="646" t="s">
        <v>351</v>
      </c>
      <c r="J153" s="646" t="s">
        <v>351</v>
      </c>
    </row>
    <row r="154" spans="1:10" s="5" customFormat="1" ht="24.75" customHeight="1" x14ac:dyDescent="0.2">
      <c r="A154" s="646" t="s">
        <v>3704</v>
      </c>
      <c r="B154" s="646" t="s">
        <v>2414</v>
      </c>
      <c r="C154" s="646" t="s">
        <v>5976</v>
      </c>
      <c r="D154" s="642"/>
      <c r="E154" s="642" t="s">
        <v>2415</v>
      </c>
      <c r="F154" s="113">
        <v>88.4</v>
      </c>
      <c r="G154" s="646">
        <v>1996</v>
      </c>
      <c r="H154" s="43"/>
      <c r="I154" s="646" t="s">
        <v>34</v>
      </c>
      <c r="J154" s="646"/>
    </row>
    <row r="155" spans="1:10" s="5" customFormat="1" ht="21.75" customHeight="1" x14ac:dyDescent="0.2">
      <c r="A155" s="646" t="s">
        <v>2374</v>
      </c>
      <c r="B155" s="646" t="s">
        <v>335</v>
      </c>
      <c r="C155" s="646" t="s">
        <v>5976</v>
      </c>
      <c r="D155" s="642"/>
      <c r="E155" s="642"/>
      <c r="F155" s="113">
        <v>573</v>
      </c>
      <c r="G155" s="646">
        <v>1991</v>
      </c>
      <c r="H155" s="43"/>
      <c r="I155" s="646" t="s">
        <v>351</v>
      </c>
      <c r="J155" s="646" t="s">
        <v>351</v>
      </c>
    </row>
    <row r="156" spans="1:10" ht="27" customHeight="1" x14ac:dyDescent="0.2">
      <c r="A156" s="646" t="s">
        <v>2375</v>
      </c>
      <c r="B156" s="646" t="s">
        <v>4441</v>
      </c>
      <c r="C156" s="647" t="s">
        <v>5977</v>
      </c>
      <c r="D156" s="642" t="s">
        <v>5594</v>
      </c>
      <c r="E156" s="380" t="s">
        <v>183</v>
      </c>
      <c r="F156" s="59">
        <v>172.9</v>
      </c>
      <c r="G156" s="647" t="s">
        <v>169</v>
      </c>
      <c r="H156" s="23">
        <v>2862520.3</v>
      </c>
      <c r="I156" s="8" t="s">
        <v>11180</v>
      </c>
      <c r="J156" s="8" t="s">
        <v>11180</v>
      </c>
    </row>
    <row r="157" spans="1:10" s="70" customFormat="1" ht="25.5" customHeight="1" x14ac:dyDescent="0.2">
      <c r="A157" s="10" t="s">
        <v>3705</v>
      </c>
      <c r="B157" s="150" t="s">
        <v>3764</v>
      </c>
      <c r="C157" s="112" t="s">
        <v>5978</v>
      </c>
      <c r="D157" s="12" t="s">
        <v>5595</v>
      </c>
      <c r="E157" s="68" t="s">
        <v>4450</v>
      </c>
      <c r="F157" s="151">
        <f>285.4-48.4</f>
        <v>236.99999999999997</v>
      </c>
      <c r="G157" s="150" t="s">
        <v>76</v>
      </c>
      <c r="H157" s="155">
        <v>4216587.87</v>
      </c>
      <c r="I157" s="150" t="s">
        <v>3853</v>
      </c>
      <c r="J157" s="150" t="s">
        <v>3853</v>
      </c>
    </row>
    <row r="158" spans="1:10" s="70" customFormat="1" ht="27.75" customHeight="1" x14ac:dyDescent="0.2">
      <c r="A158" s="10" t="s">
        <v>3706</v>
      </c>
      <c r="B158" s="150" t="s">
        <v>2494</v>
      </c>
      <c r="C158" s="112" t="s">
        <v>5978</v>
      </c>
      <c r="D158" s="12" t="s">
        <v>5596</v>
      </c>
      <c r="E158" s="68" t="s">
        <v>404</v>
      </c>
      <c r="F158" s="151">
        <v>48.4</v>
      </c>
      <c r="G158" s="150">
        <v>1986</v>
      </c>
      <c r="H158" s="155">
        <v>861109.08</v>
      </c>
      <c r="I158" s="150" t="s">
        <v>3853</v>
      </c>
      <c r="J158" s="150" t="s">
        <v>3853</v>
      </c>
    </row>
    <row r="159" spans="1:10" s="70" customFormat="1" ht="24.75" customHeight="1" x14ac:dyDescent="0.2">
      <c r="A159" s="10" t="s">
        <v>2376</v>
      </c>
      <c r="B159" s="150" t="s">
        <v>4369</v>
      </c>
      <c r="C159" s="112" t="s">
        <v>5978</v>
      </c>
      <c r="D159" s="12" t="s">
        <v>5597</v>
      </c>
      <c r="E159" s="68" t="s">
        <v>4357</v>
      </c>
      <c r="F159" s="151">
        <f>286.8+44.9</f>
        <v>331.7</v>
      </c>
      <c r="G159" s="150" t="s">
        <v>76</v>
      </c>
      <c r="H159" s="155">
        <v>591443.87</v>
      </c>
      <c r="I159" s="150" t="s">
        <v>3853</v>
      </c>
      <c r="J159" s="150" t="s">
        <v>3853</v>
      </c>
    </row>
    <row r="160" spans="1:10" s="70" customFormat="1" ht="27.75" customHeight="1" x14ac:dyDescent="0.2">
      <c r="A160" s="10" t="s">
        <v>2377</v>
      </c>
      <c r="B160" s="150" t="s">
        <v>14</v>
      </c>
      <c r="C160" s="112" t="s">
        <v>5978</v>
      </c>
      <c r="D160" s="12" t="s">
        <v>5598</v>
      </c>
      <c r="E160" s="68" t="s">
        <v>4032</v>
      </c>
      <c r="F160" s="185">
        <v>250.9</v>
      </c>
      <c r="G160" s="150">
        <v>1986</v>
      </c>
      <c r="H160" s="155">
        <v>4463889.8600000003</v>
      </c>
      <c r="I160" s="150" t="s">
        <v>3853</v>
      </c>
      <c r="J160" s="150" t="s">
        <v>3853</v>
      </c>
    </row>
    <row r="161" spans="1:10" s="70" customFormat="1" ht="27.75" customHeight="1" x14ac:dyDescent="0.2">
      <c r="A161" s="10" t="s">
        <v>2378</v>
      </c>
      <c r="B161" s="150" t="s">
        <v>5041</v>
      </c>
      <c r="C161" s="112" t="s">
        <v>5978</v>
      </c>
      <c r="D161" s="12" t="s">
        <v>5599</v>
      </c>
      <c r="E161" s="68" t="s">
        <v>4033</v>
      </c>
      <c r="F161" s="151">
        <v>536</v>
      </c>
      <c r="G161" s="150" t="s">
        <v>78</v>
      </c>
      <c r="H161" s="155">
        <v>9536249.3599999994</v>
      </c>
      <c r="I161" s="150" t="s">
        <v>3853</v>
      </c>
      <c r="J161" s="150" t="s">
        <v>3853</v>
      </c>
    </row>
    <row r="162" spans="1:10" s="70" customFormat="1" ht="27.75" customHeight="1" x14ac:dyDescent="0.2">
      <c r="A162" s="10" t="s">
        <v>12412</v>
      </c>
      <c r="B162" s="150" t="s">
        <v>12413</v>
      </c>
      <c r="C162" s="112" t="s">
        <v>5978</v>
      </c>
      <c r="D162" s="12" t="s">
        <v>5599</v>
      </c>
      <c r="E162" s="68" t="s">
        <v>4033</v>
      </c>
      <c r="F162" s="151">
        <v>435.4</v>
      </c>
      <c r="G162" s="150" t="s">
        <v>78</v>
      </c>
      <c r="H162" s="68"/>
      <c r="I162" s="150" t="s">
        <v>12414</v>
      </c>
      <c r="J162" s="150"/>
    </row>
    <row r="163" spans="1:10" s="70" customFormat="1" ht="23.25" customHeight="1" x14ac:dyDescent="0.2">
      <c r="A163" s="10" t="s">
        <v>2379</v>
      </c>
      <c r="B163" s="150" t="s">
        <v>3761</v>
      </c>
      <c r="C163" s="112" t="s">
        <v>5978</v>
      </c>
      <c r="D163" s="12" t="s">
        <v>5600</v>
      </c>
      <c r="E163" s="68" t="s">
        <v>4034</v>
      </c>
      <c r="F163" s="185">
        <v>484.3</v>
      </c>
      <c r="G163" s="150"/>
      <c r="H163" s="155">
        <v>861428.29</v>
      </c>
      <c r="I163" s="150" t="s">
        <v>3853</v>
      </c>
      <c r="J163" s="150" t="s">
        <v>3853</v>
      </c>
    </row>
    <row r="164" spans="1:10" s="70" customFormat="1" ht="33.75" customHeight="1" x14ac:dyDescent="0.2">
      <c r="A164" s="10" t="s">
        <v>2380</v>
      </c>
      <c r="B164" s="150" t="s">
        <v>11</v>
      </c>
      <c r="C164" s="112" t="s">
        <v>5978</v>
      </c>
      <c r="D164" s="12" t="s">
        <v>5601</v>
      </c>
      <c r="E164" s="68" t="s">
        <v>4035</v>
      </c>
      <c r="F164" s="185">
        <v>466.2</v>
      </c>
      <c r="G164" s="150"/>
      <c r="H164" s="155">
        <v>8294401.96</v>
      </c>
      <c r="I164" s="150" t="s">
        <v>3853</v>
      </c>
      <c r="J164" s="150" t="s">
        <v>3853</v>
      </c>
    </row>
    <row r="165" spans="1:10" s="70" customFormat="1" ht="29.25" customHeight="1" x14ac:dyDescent="0.2">
      <c r="A165" s="10" t="s">
        <v>2381</v>
      </c>
      <c r="B165" s="150" t="s">
        <v>3762</v>
      </c>
      <c r="C165" s="112" t="s">
        <v>5978</v>
      </c>
      <c r="D165" s="12" t="s">
        <v>5602</v>
      </c>
      <c r="E165" s="68" t="s">
        <v>4036</v>
      </c>
      <c r="F165" s="152">
        <v>1635.7</v>
      </c>
      <c r="G165" s="150">
        <v>1986</v>
      </c>
      <c r="H165" s="155">
        <v>29101572.91</v>
      </c>
      <c r="I165" s="150" t="s">
        <v>3853</v>
      </c>
      <c r="J165" s="150" t="s">
        <v>3853</v>
      </c>
    </row>
    <row r="166" spans="1:10" s="70" customFormat="1" ht="29.25" customHeight="1" x14ac:dyDescent="0.2">
      <c r="A166" s="10" t="s">
        <v>12415</v>
      </c>
      <c r="B166" s="150" t="s">
        <v>12416</v>
      </c>
      <c r="C166" s="112" t="s">
        <v>5978</v>
      </c>
      <c r="D166" s="12" t="s">
        <v>5602</v>
      </c>
      <c r="E166" s="68" t="s">
        <v>12417</v>
      </c>
      <c r="F166" s="152">
        <v>52.2</v>
      </c>
      <c r="G166" s="150">
        <v>1986</v>
      </c>
      <c r="H166" s="12"/>
      <c r="I166" s="150" t="s">
        <v>12414</v>
      </c>
      <c r="J166" s="150"/>
    </row>
    <row r="167" spans="1:10" s="70" customFormat="1" ht="29.25" customHeight="1" x14ac:dyDescent="0.2">
      <c r="A167" s="10" t="s">
        <v>12418</v>
      </c>
      <c r="B167" s="150" t="s">
        <v>12419</v>
      </c>
      <c r="C167" s="112" t="s">
        <v>5978</v>
      </c>
      <c r="D167" s="12" t="s">
        <v>5602</v>
      </c>
      <c r="E167" s="68" t="s">
        <v>12417</v>
      </c>
      <c r="F167" s="152">
        <v>102.1</v>
      </c>
      <c r="G167" s="150">
        <v>1986</v>
      </c>
      <c r="H167" s="12"/>
      <c r="I167" s="150" t="s">
        <v>12414</v>
      </c>
      <c r="J167" s="150"/>
    </row>
    <row r="168" spans="1:10" s="70" customFormat="1" ht="29.25" customHeight="1" x14ac:dyDescent="0.2">
      <c r="A168" s="10" t="s">
        <v>12420</v>
      </c>
      <c r="B168" s="150" t="s">
        <v>12421</v>
      </c>
      <c r="C168" s="112" t="s">
        <v>5978</v>
      </c>
      <c r="D168" s="12" t="s">
        <v>5602</v>
      </c>
      <c r="E168" s="68" t="s">
        <v>12422</v>
      </c>
      <c r="F168" s="152">
        <v>15.1</v>
      </c>
      <c r="G168" s="150">
        <v>1986</v>
      </c>
      <c r="H168" s="68"/>
      <c r="I168" s="150" t="s">
        <v>12414</v>
      </c>
      <c r="J168" s="150"/>
    </row>
    <row r="169" spans="1:10" s="70" customFormat="1" ht="29.25" customHeight="1" x14ac:dyDescent="0.2">
      <c r="A169" s="10" t="s">
        <v>2900</v>
      </c>
      <c r="B169" s="150" t="s">
        <v>3763</v>
      </c>
      <c r="C169" s="112" t="s">
        <v>5978</v>
      </c>
      <c r="D169" s="12" t="s">
        <v>5603</v>
      </c>
      <c r="E169" s="68" t="s">
        <v>4370</v>
      </c>
      <c r="F169" s="152">
        <v>91.9</v>
      </c>
      <c r="G169" s="150">
        <v>1986</v>
      </c>
      <c r="H169" s="155">
        <v>1635039.77</v>
      </c>
      <c r="I169" s="150" t="s">
        <v>3853</v>
      </c>
      <c r="J169" s="150" t="s">
        <v>3853</v>
      </c>
    </row>
    <row r="170" spans="1:10" ht="27" customHeight="1" x14ac:dyDescent="0.2">
      <c r="A170" s="647" t="s">
        <v>2495</v>
      </c>
      <c r="B170" s="647" t="s">
        <v>3765</v>
      </c>
      <c r="C170" s="112" t="s">
        <v>5978</v>
      </c>
      <c r="D170" s="642" t="s">
        <v>5604</v>
      </c>
      <c r="E170" s="380" t="s">
        <v>2484</v>
      </c>
      <c r="F170" s="59">
        <v>5.4</v>
      </c>
      <c r="G170" s="647"/>
      <c r="H170" s="43">
        <v>89402.02</v>
      </c>
      <c r="I170" s="10" t="s">
        <v>3853</v>
      </c>
      <c r="J170" s="10" t="s">
        <v>3853</v>
      </c>
    </row>
    <row r="171" spans="1:10" ht="50.25" customHeight="1" x14ac:dyDescent="0.2">
      <c r="A171" s="646" t="s">
        <v>2496</v>
      </c>
      <c r="B171" s="12" t="s">
        <v>336</v>
      </c>
      <c r="C171" s="12" t="s">
        <v>3931</v>
      </c>
      <c r="D171" s="97"/>
      <c r="E171" s="12" t="s">
        <v>3932</v>
      </c>
      <c r="F171" s="113">
        <v>24</v>
      </c>
      <c r="G171" s="19" t="s">
        <v>490</v>
      </c>
      <c r="H171" s="43"/>
      <c r="I171" s="646" t="s">
        <v>508</v>
      </c>
      <c r="J171" s="210" t="s">
        <v>9398</v>
      </c>
    </row>
    <row r="172" spans="1:10" s="70" customFormat="1" ht="42.75" customHeight="1" x14ac:dyDescent="0.2">
      <c r="A172" s="630" t="s">
        <v>3619</v>
      </c>
      <c r="B172" s="630" t="s">
        <v>548</v>
      </c>
      <c r="C172" s="630" t="s">
        <v>5979</v>
      </c>
      <c r="D172" s="20" t="s">
        <v>5605</v>
      </c>
      <c r="E172" s="640" t="s">
        <v>7238</v>
      </c>
      <c r="F172" s="362">
        <v>1942.1</v>
      </c>
      <c r="G172" s="646" t="s">
        <v>3787</v>
      </c>
      <c r="H172" s="637">
        <v>6151621.1699999999</v>
      </c>
      <c r="I172" s="161" t="s">
        <v>9123</v>
      </c>
      <c r="J172" s="161" t="s">
        <v>9123</v>
      </c>
    </row>
    <row r="173" spans="1:10" s="70" customFormat="1" ht="35.25" customHeight="1" x14ac:dyDescent="0.2">
      <c r="A173" s="646" t="s">
        <v>3620</v>
      </c>
      <c r="B173" s="646" t="s">
        <v>3608</v>
      </c>
      <c r="C173" s="646" t="s">
        <v>5979</v>
      </c>
      <c r="D173" s="642" t="s">
        <v>5606</v>
      </c>
      <c r="E173" s="642" t="s">
        <v>547</v>
      </c>
      <c r="F173" s="85">
        <v>138.19999999999999</v>
      </c>
      <c r="G173" s="646" t="s">
        <v>3306</v>
      </c>
      <c r="H173" s="43">
        <v>437749.88</v>
      </c>
      <c r="I173" s="276" t="s">
        <v>9123</v>
      </c>
      <c r="J173" s="276" t="s">
        <v>9123</v>
      </c>
    </row>
    <row r="174" spans="1:10" s="70" customFormat="1" ht="35.25" customHeight="1" x14ac:dyDescent="0.2">
      <c r="A174" s="646" t="s">
        <v>3621</v>
      </c>
      <c r="B174" s="646" t="s">
        <v>3608</v>
      </c>
      <c r="C174" s="646" t="s">
        <v>5979</v>
      </c>
      <c r="D174" s="642" t="s">
        <v>5607</v>
      </c>
      <c r="E174" s="642" t="s">
        <v>547</v>
      </c>
      <c r="F174" s="85">
        <v>59.1</v>
      </c>
      <c r="G174" s="646" t="s">
        <v>3306</v>
      </c>
      <c r="H174" s="43">
        <v>1628563.74</v>
      </c>
      <c r="I174" s="276" t="s">
        <v>9123</v>
      </c>
      <c r="J174" s="276" t="s">
        <v>9123</v>
      </c>
    </row>
    <row r="175" spans="1:10" s="70" customFormat="1" ht="36" customHeight="1" x14ac:dyDescent="0.2">
      <c r="A175" s="646" t="s">
        <v>2497</v>
      </c>
      <c r="B175" s="646" t="s">
        <v>4004</v>
      </c>
      <c r="C175" s="646" t="s">
        <v>5979</v>
      </c>
      <c r="D175" s="642" t="s">
        <v>5608</v>
      </c>
      <c r="E175" s="642" t="s">
        <v>404</v>
      </c>
      <c r="F175" s="85">
        <v>24.1</v>
      </c>
      <c r="G175" s="646" t="s">
        <v>3306</v>
      </c>
      <c r="H175" s="43"/>
      <c r="I175" s="276" t="s">
        <v>9123</v>
      </c>
      <c r="J175" s="276" t="s">
        <v>9123</v>
      </c>
    </row>
    <row r="176" spans="1:10" s="70" customFormat="1" ht="36.75" customHeight="1" x14ac:dyDescent="0.2">
      <c r="A176" s="646" t="s">
        <v>2498</v>
      </c>
      <c r="B176" s="646" t="s">
        <v>494</v>
      </c>
      <c r="C176" s="646" t="s">
        <v>5979</v>
      </c>
      <c r="D176" s="642" t="s">
        <v>5609</v>
      </c>
      <c r="E176" s="642" t="s">
        <v>550</v>
      </c>
      <c r="F176" s="113">
        <v>132.19999999999999</v>
      </c>
      <c r="G176" s="646" t="s">
        <v>166</v>
      </c>
      <c r="H176" s="43">
        <v>418744.82</v>
      </c>
      <c r="I176" s="276" t="s">
        <v>9123</v>
      </c>
      <c r="J176" s="276" t="s">
        <v>9123</v>
      </c>
    </row>
    <row r="177" spans="1:10" s="70" customFormat="1" ht="36" customHeight="1" x14ac:dyDescent="0.2">
      <c r="A177" s="646" t="s">
        <v>2499</v>
      </c>
      <c r="B177" s="646" t="s">
        <v>3605</v>
      </c>
      <c r="C177" s="646" t="s">
        <v>5979</v>
      </c>
      <c r="D177" s="642" t="s">
        <v>5610</v>
      </c>
      <c r="E177" s="642" t="s">
        <v>18</v>
      </c>
      <c r="F177" s="113">
        <v>388.1</v>
      </c>
      <c r="G177" s="646" t="s">
        <v>73</v>
      </c>
      <c r="H177" s="43">
        <v>10694510.77</v>
      </c>
      <c r="I177" s="276" t="s">
        <v>9123</v>
      </c>
      <c r="J177" s="276" t="s">
        <v>9123</v>
      </c>
    </row>
    <row r="178" spans="1:10" s="70" customFormat="1" ht="37.5" customHeight="1" x14ac:dyDescent="0.2">
      <c r="A178" s="646" t="s">
        <v>2500</v>
      </c>
      <c r="B178" s="646" t="s">
        <v>3606</v>
      </c>
      <c r="C178" s="646" t="s">
        <v>5979</v>
      </c>
      <c r="D178" s="642" t="s">
        <v>5611</v>
      </c>
      <c r="E178" s="642" t="s">
        <v>404</v>
      </c>
      <c r="F178" s="113">
        <v>49.9</v>
      </c>
      <c r="G178" s="646" t="s">
        <v>3609</v>
      </c>
      <c r="H178" s="43">
        <v>158058.75</v>
      </c>
      <c r="I178" s="276" t="s">
        <v>9123</v>
      </c>
      <c r="J178" s="276" t="s">
        <v>9123</v>
      </c>
    </row>
    <row r="179" spans="1:10" s="70" customFormat="1" ht="36" customHeight="1" x14ac:dyDescent="0.2">
      <c r="A179" s="646" t="s">
        <v>2501</v>
      </c>
      <c r="B179" s="646" t="s">
        <v>3607</v>
      </c>
      <c r="C179" s="961" t="s">
        <v>5979</v>
      </c>
      <c r="D179" s="642" t="s">
        <v>5612</v>
      </c>
      <c r="E179" s="642" t="s">
        <v>551</v>
      </c>
      <c r="F179" s="113">
        <v>448.5</v>
      </c>
      <c r="G179" s="646" t="s">
        <v>70</v>
      </c>
      <c r="H179" s="977">
        <v>1420628.24</v>
      </c>
      <c r="I179" s="276" t="s">
        <v>9123</v>
      </c>
      <c r="J179" s="276" t="s">
        <v>9123</v>
      </c>
    </row>
    <row r="180" spans="1:10" s="70" customFormat="1" ht="37.5" customHeight="1" x14ac:dyDescent="0.2">
      <c r="A180" s="646" t="s">
        <v>3707</v>
      </c>
      <c r="B180" s="646" t="s">
        <v>3622</v>
      </c>
      <c r="C180" s="963"/>
      <c r="D180" s="642"/>
      <c r="E180" s="642" t="s">
        <v>183</v>
      </c>
      <c r="F180" s="113">
        <v>36.5</v>
      </c>
      <c r="G180" s="646" t="s">
        <v>70</v>
      </c>
      <c r="H180" s="978"/>
      <c r="I180" s="276" t="s">
        <v>9123</v>
      </c>
      <c r="J180" s="276" t="s">
        <v>9123</v>
      </c>
    </row>
    <row r="181" spans="1:10" s="70" customFormat="1" ht="36" customHeight="1" x14ac:dyDescent="0.2">
      <c r="A181" s="646" t="s">
        <v>3708</v>
      </c>
      <c r="B181" s="646" t="s">
        <v>3623</v>
      </c>
      <c r="C181" s="962"/>
      <c r="D181" s="642"/>
      <c r="E181" s="642" t="s">
        <v>3624</v>
      </c>
      <c r="F181" s="113">
        <v>72.7</v>
      </c>
      <c r="G181" s="646" t="s">
        <v>70</v>
      </c>
      <c r="H181" s="43"/>
      <c r="I181" s="276" t="s">
        <v>9123</v>
      </c>
      <c r="J181" s="276" t="s">
        <v>9123</v>
      </c>
    </row>
    <row r="182" spans="1:10" s="72" customFormat="1" ht="28.5" customHeight="1" x14ac:dyDescent="0.2">
      <c r="A182" s="112" t="s">
        <v>2502</v>
      </c>
      <c r="B182" s="112" t="s">
        <v>4294</v>
      </c>
      <c r="C182" s="112" t="s">
        <v>5979</v>
      </c>
      <c r="D182" s="642" t="s">
        <v>5613</v>
      </c>
      <c r="E182" s="88" t="s">
        <v>404</v>
      </c>
      <c r="F182" s="184">
        <v>195.5</v>
      </c>
      <c r="G182" s="112" t="s">
        <v>83</v>
      </c>
      <c r="H182" s="43">
        <v>5387211.6900000004</v>
      </c>
      <c r="I182" s="112" t="s">
        <v>4045</v>
      </c>
      <c r="J182" s="112"/>
    </row>
    <row r="183" spans="1:10" ht="38.25" customHeight="1" x14ac:dyDescent="0.2">
      <c r="A183" s="646" t="s">
        <v>2503</v>
      </c>
      <c r="B183" s="647" t="s">
        <v>5814</v>
      </c>
      <c r="C183" s="647" t="s">
        <v>5973</v>
      </c>
      <c r="D183" s="642" t="s">
        <v>5900</v>
      </c>
      <c r="E183" s="88" t="s">
        <v>5815</v>
      </c>
      <c r="F183" s="183">
        <v>39.9</v>
      </c>
      <c r="G183" s="647">
        <v>1997</v>
      </c>
      <c r="H183" s="43">
        <v>239629.43</v>
      </c>
      <c r="I183" s="34" t="s">
        <v>6224</v>
      </c>
      <c r="J183" s="34" t="s">
        <v>5573</v>
      </c>
    </row>
    <row r="184" spans="1:10" ht="34.5" customHeight="1" x14ac:dyDescent="0.2">
      <c r="A184" s="19" t="s">
        <v>2504</v>
      </c>
      <c r="B184" s="975" t="s">
        <v>7041</v>
      </c>
      <c r="C184" s="975" t="s">
        <v>5974</v>
      </c>
      <c r="D184" s="642" t="s">
        <v>7042</v>
      </c>
      <c r="E184" s="380" t="s">
        <v>63</v>
      </c>
      <c r="F184" s="59">
        <f>107.2-54</f>
        <v>53.2</v>
      </c>
      <c r="G184" s="647" t="s">
        <v>74</v>
      </c>
      <c r="H184" s="977">
        <v>657198.18000000005</v>
      </c>
      <c r="I184" s="961" t="s">
        <v>7083</v>
      </c>
      <c r="J184" s="961" t="s">
        <v>7083</v>
      </c>
    </row>
    <row r="185" spans="1:10" ht="27" customHeight="1" x14ac:dyDescent="0.2">
      <c r="A185" s="49" t="s">
        <v>5904</v>
      </c>
      <c r="B185" s="976"/>
      <c r="C185" s="976"/>
      <c r="D185" s="642" t="s">
        <v>7042</v>
      </c>
      <c r="E185" s="380" t="s">
        <v>63</v>
      </c>
      <c r="F185" s="59">
        <v>54</v>
      </c>
      <c r="G185" s="647" t="s">
        <v>74</v>
      </c>
      <c r="H185" s="978"/>
      <c r="I185" s="962"/>
      <c r="J185" s="962"/>
    </row>
    <row r="186" spans="1:10" ht="29.25" customHeight="1" x14ac:dyDescent="0.2">
      <c r="A186" s="646" t="s">
        <v>5729</v>
      </c>
      <c r="B186" s="647" t="s">
        <v>2431</v>
      </c>
      <c r="C186" s="647" t="s">
        <v>5972</v>
      </c>
      <c r="D186" s="642" t="s">
        <v>10779</v>
      </c>
      <c r="E186" s="380" t="s">
        <v>4015</v>
      </c>
      <c r="F186" s="59">
        <v>40.1</v>
      </c>
      <c r="G186" s="647" t="s">
        <v>17</v>
      </c>
      <c r="H186" s="43">
        <v>395096.88</v>
      </c>
      <c r="I186" s="154" t="s">
        <v>5574</v>
      </c>
      <c r="J186" s="154" t="s">
        <v>5574</v>
      </c>
    </row>
    <row r="187" spans="1:10" ht="37.5" customHeight="1" x14ac:dyDescent="0.2">
      <c r="A187" s="646" t="s">
        <v>3958</v>
      </c>
      <c r="B187" s="647" t="s">
        <v>5427</v>
      </c>
      <c r="C187" s="647" t="s">
        <v>5972</v>
      </c>
      <c r="D187" s="642" t="s">
        <v>5614</v>
      </c>
      <c r="E187" s="380" t="s">
        <v>4015</v>
      </c>
      <c r="F187" s="59">
        <v>81.599999999999994</v>
      </c>
      <c r="G187" s="647">
        <v>1940</v>
      </c>
      <c r="H187" s="43">
        <v>803987.66</v>
      </c>
      <c r="I187" s="49" t="s">
        <v>3946</v>
      </c>
      <c r="J187" s="49" t="s">
        <v>3946</v>
      </c>
    </row>
    <row r="188" spans="1:10" s="272" customFormat="1" ht="37.5" customHeight="1" x14ac:dyDescent="0.2">
      <c r="A188" s="647" t="s">
        <v>3968</v>
      </c>
      <c r="B188" s="646" t="s">
        <v>292</v>
      </c>
      <c r="C188" s="647" t="s">
        <v>5972</v>
      </c>
      <c r="D188" s="642" t="s">
        <v>10993</v>
      </c>
      <c r="E188" s="380" t="s">
        <v>5464</v>
      </c>
      <c r="F188" s="477">
        <v>96.8</v>
      </c>
      <c r="G188" s="647">
        <v>1969</v>
      </c>
      <c r="H188" s="43">
        <v>953750.07</v>
      </c>
      <c r="I188" s="34" t="s">
        <v>11182</v>
      </c>
      <c r="J188" s="729" t="s">
        <v>13851</v>
      </c>
    </row>
    <row r="189" spans="1:10" s="70" customFormat="1" ht="26.25" customHeight="1" x14ac:dyDescent="0.2">
      <c r="A189" s="646" t="s">
        <v>2505</v>
      </c>
      <c r="B189" s="646" t="s">
        <v>15</v>
      </c>
      <c r="C189" s="646" t="s">
        <v>5972</v>
      </c>
      <c r="D189" s="642"/>
      <c r="E189" s="642" t="s">
        <v>3641</v>
      </c>
      <c r="F189" s="85">
        <v>65.3</v>
      </c>
      <c r="G189" s="646">
        <v>1940</v>
      </c>
      <c r="H189" s="43"/>
      <c r="I189" s="78" t="s">
        <v>5574</v>
      </c>
      <c r="J189" s="78" t="s">
        <v>5574</v>
      </c>
    </row>
    <row r="190" spans="1:10" s="5" customFormat="1" ht="22.5" customHeight="1" x14ac:dyDescent="0.2">
      <c r="A190" s="646" t="s">
        <v>2506</v>
      </c>
      <c r="B190" s="646" t="s">
        <v>2141</v>
      </c>
      <c r="C190" s="646" t="s">
        <v>5975</v>
      </c>
      <c r="D190" s="642"/>
      <c r="E190" s="642"/>
      <c r="F190" s="113">
        <v>123</v>
      </c>
      <c r="G190" s="646">
        <v>1980</v>
      </c>
      <c r="H190" s="43"/>
      <c r="I190" s="646" t="s">
        <v>525</v>
      </c>
      <c r="J190" s="646" t="s">
        <v>525</v>
      </c>
    </row>
    <row r="191" spans="1:10" s="5" customFormat="1" ht="27" customHeight="1" x14ac:dyDescent="0.2">
      <c r="A191" s="646" t="s">
        <v>2507</v>
      </c>
      <c r="B191" s="646" t="s">
        <v>2416</v>
      </c>
      <c r="C191" s="646" t="s">
        <v>5975</v>
      </c>
      <c r="D191" s="642"/>
      <c r="E191" s="642" t="s">
        <v>2404</v>
      </c>
      <c r="F191" s="113">
        <v>28</v>
      </c>
      <c r="G191" s="646">
        <v>1980</v>
      </c>
      <c r="H191" s="43"/>
      <c r="I191" s="646"/>
      <c r="J191" s="646"/>
    </row>
    <row r="192" spans="1:10" s="5" customFormat="1" ht="45" customHeight="1" x14ac:dyDescent="0.2">
      <c r="A192" s="646" t="s">
        <v>2508</v>
      </c>
      <c r="B192" s="646" t="s">
        <v>3606</v>
      </c>
      <c r="C192" s="646" t="s">
        <v>5975</v>
      </c>
      <c r="D192" s="642"/>
      <c r="E192" s="642" t="s">
        <v>2417</v>
      </c>
      <c r="F192" s="113">
        <v>101.9</v>
      </c>
      <c r="G192" s="646">
        <v>1980</v>
      </c>
      <c r="H192" s="43"/>
      <c r="I192" s="646"/>
      <c r="J192" s="646"/>
    </row>
    <row r="193" spans="1:13" s="36" customFormat="1" ht="30" customHeight="1" x14ac:dyDescent="0.2">
      <c r="A193" s="647" t="s">
        <v>2509</v>
      </c>
      <c r="B193" s="647" t="s">
        <v>2842</v>
      </c>
      <c r="C193" s="647" t="s">
        <v>5966</v>
      </c>
      <c r="D193" s="642"/>
      <c r="E193" s="647" t="s">
        <v>3693</v>
      </c>
      <c r="F193" s="59">
        <v>35.6</v>
      </c>
      <c r="G193" s="647" t="s">
        <v>2841</v>
      </c>
      <c r="H193" s="43"/>
      <c r="I193" s="380"/>
      <c r="J193" s="115"/>
    </row>
    <row r="194" spans="1:13" ht="37.5" customHeight="1" x14ac:dyDescent="0.2">
      <c r="A194" s="630" t="s">
        <v>2510</v>
      </c>
      <c r="B194" s="630" t="s">
        <v>11078</v>
      </c>
      <c r="C194" s="630" t="s">
        <v>5967</v>
      </c>
      <c r="D194" s="642" t="s">
        <v>9349</v>
      </c>
      <c r="E194" s="642" t="s">
        <v>2409</v>
      </c>
      <c r="F194" s="113">
        <f>278+92.5+110.3</f>
        <v>480.8</v>
      </c>
      <c r="G194" s="646">
        <v>1959</v>
      </c>
      <c r="H194" s="43">
        <v>3844750.21</v>
      </c>
      <c r="I194" s="630" t="s">
        <v>5934</v>
      </c>
      <c r="J194" s="630" t="s">
        <v>5934</v>
      </c>
    </row>
    <row r="195" spans="1:13" ht="31.5" customHeight="1" x14ac:dyDescent="0.2">
      <c r="A195" s="647" t="s">
        <v>2511</v>
      </c>
      <c r="B195" s="647" t="s">
        <v>3676</v>
      </c>
      <c r="C195" s="647" t="s">
        <v>6117</v>
      </c>
      <c r="D195" s="642" t="s">
        <v>5615</v>
      </c>
      <c r="E195" s="380" t="s">
        <v>2411</v>
      </c>
      <c r="F195" s="183">
        <v>62.3</v>
      </c>
      <c r="G195" s="647" t="s">
        <v>3872</v>
      </c>
      <c r="H195" s="43">
        <v>275004.03999999998</v>
      </c>
      <c r="I195" s="276" t="s">
        <v>9123</v>
      </c>
      <c r="J195" s="276" t="s">
        <v>9123</v>
      </c>
    </row>
    <row r="196" spans="1:13" s="198" customFormat="1" ht="40.5" customHeight="1" x14ac:dyDescent="0.2">
      <c r="A196" s="646" t="s">
        <v>2512</v>
      </c>
      <c r="B196" s="646" t="s">
        <v>6985</v>
      </c>
      <c r="C196" s="646" t="s">
        <v>5968</v>
      </c>
      <c r="D196" s="642" t="s">
        <v>6854</v>
      </c>
      <c r="E196" s="642" t="s">
        <v>2418</v>
      </c>
      <c r="F196" s="113">
        <v>679</v>
      </c>
      <c r="G196" s="646">
        <v>1995</v>
      </c>
      <c r="H196" s="43">
        <v>7130172.21</v>
      </c>
      <c r="I196" s="646" t="s">
        <v>3790</v>
      </c>
      <c r="J196" s="646" t="s">
        <v>3790</v>
      </c>
    </row>
    <row r="197" spans="1:13" s="200" customFormat="1" ht="38.25" customHeight="1" x14ac:dyDescent="0.2">
      <c r="A197" s="646" t="s">
        <v>2840</v>
      </c>
      <c r="B197" s="646" t="s">
        <v>7040</v>
      </c>
      <c r="C197" s="646" t="s">
        <v>6853</v>
      </c>
      <c r="D197" s="642" t="s">
        <v>6851</v>
      </c>
      <c r="E197" s="642" t="s">
        <v>2438</v>
      </c>
      <c r="F197" s="113">
        <f>2394.7</f>
        <v>2394.6999999999998</v>
      </c>
      <c r="G197" s="646">
        <v>1952</v>
      </c>
      <c r="H197" s="43">
        <v>36551383.719999999</v>
      </c>
      <c r="I197" s="646" t="s">
        <v>3790</v>
      </c>
      <c r="J197" s="646" t="s">
        <v>11153</v>
      </c>
    </row>
    <row r="198" spans="1:13" s="5" customFormat="1" ht="34.5" customHeight="1" x14ac:dyDescent="0.2">
      <c r="A198" s="33" t="s">
        <v>5467</v>
      </c>
      <c r="B198" s="33" t="s">
        <v>292</v>
      </c>
      <c r="C198" s="646" t="s">
        <v>6853</v>
      </c>
      <c r="D198" s="20"/>
      <c r="E198" s="33" t="s">
        <v>6852</v>
      </c>
      <c r="F198" s="93">
        <v>10</v>
      </c>
      <c r="G198" s="20" t="s">
        <v>80</v>
      </c>
      <c r="H198" s="50"/>
      <c r="I198" s="34" t="s">
        <v>6600</v>
      </c>
      <c r="J198" s="34" t="s">
        <v>13861</v>
      </c>
    </row>
    <row r="199" spans="1:13" s="5" customFormat="1" ht="45" customHeight="1" x14ac:dyDescent="0.2">
      <c r="A199" s="33" t="s">
        <v>5468</v>
      </c>
      <c r="B199" s="33" t="s">
        <v>292</v>
      </c>
      <c r="C199" s="646" t="s">
        <v>6853</v>
      </c>
      <c r="D199" s="20"/>
      <c r="E199" s="33" t="s">
        <v>6852</v>
      </c>
      <c r="F199" s="93">
        <v>6</v>
      </c>
      <c r="G199" s="20" t="s">
        <v>80</v>
      </c>
      <c r="H199" s="660"/>
      <c r="I199" s="19" t="s">
        <v>6625</v>
      </c>
      <c r="J199" s="34" t="s">
        <v>13881</v>
      </c>
    </row>
    <row r="200" spans="1:13" s="198" customFormat="1" ht="36.75" customHeight="1" x14ac:dyDescent="0.2">
      <c r="A200" s="646" t="s">
        <v>2513</v>
      </c>
      <c r="B200" s="646" t="s">
        <v>3672</v>
      </c>
      <c r="C200" s="646" t="s">
        <v>5969</v>
      </c>
      <c r="D200" s="642" t="s">
        <v>6568</v>
      </c>
      <c r="E200" s="642" t="s">
        <v>2419</v>
      </c>
      <c r="F200" s="113">
        <v>273.10000000000002</v>
      </c>
      <c r="G200" s="646">
        <v>1956</v>
      </c>
      <c r="H200" s="43">
        <v>1260528.56</v>
      </c>
      <c r="I200" s="646" t="s">
        <v>3790</v>
      </c>
      <c r="J200" s="646" t="s">
        <v>3790</v>
      </c>
    </row>
    <row r="201" spans="1:13" s="198" customFormat="1" ht="36" customHeight="1" x14ac:dyDescent="0.2">
      <c r="A201" s="646" t="s">
        <v>2514</v>
      </c>
      <c r="B201" s="646" t="s">
        <v>507</v>
      </c>
      <c r="C201" s="646" t="s">
        <v>5970</v>
      </c>
      <c r="D201" s="642" t="s">
        <v>6567</v>
      </c>
      <c r="E201" s="642" t="s">
        <v>2411</v>
      </c>
      <c r="F201" s="113">
        <v>258</v>
      </c>
      <c r="G201" s="646">
        <v>1994</v>
      </c>
      <c r="H201" s="43">
        <v>53037.06</v>
      </c>
      <c r="I201" s="646" t="s">
        <v>3790</v>
      </c>
      <c r="J201" s="646" t="s">
        <v>3790</v>
      </c>
    </row>
    <row r="202" spans="1:13" s="198" customFormat="1" ht="36" customHeight="1" x14ac:dyDescent="0.2">
      <c r="A202" s="646" t="s">
        <v>2515</v>
      </c>
      <c r="B202" s="646" t="s">
        <v>3671</v>
      </c>
      <c r="C202" s="646" t="s">
        <v>5971</v>
      </c>
      <c r="D202" s="642" t="s">
        <v>6633</v>
      </c>
      <c r="E202" s="642" t="s">
        <v>2438</v>
      </c>
      <c r="F202" s="113">
        <v>1088.3</v>
      </c>
      <c r="G202" s="646">
        <v>1976</v>
      </c>
      <c r="H202" s="43">
        <v>223721.83</v>
      </c>
      <c r="I202" s="646" t="s">
        <v>6834</v>
      </c>
      <c r="J202" s="646" t="s">
        <v>6834</v>
      </c>
    </row>
    <row r="203" spans="1:13" s="70" customFormat="1" ht="48" customHeight="1" x14ac:dyDescent="0.2">
      <c r="A203" s="630" t="s">
        <v>2516</v>
      </c>
      <c r="B203" s="630" t="s">
        <v>8644</v>
      </c>
      <c r="C203" s="630" t="s">
        <v>5864</v>
      </c>
      <c r="D203" s="642" t="s">
        <v>6928</v>
      </c>
      <c r="E203" s="642" t="s">
        <v>5567</v>
      </c>
      <c r="F203" s="113">
        <v>2619.4</v>
      </c>
      <c r="G203" s="646">
        <v>1962</v>
      </c>
      <c r="H203" s="43">
        <v>19564534.350000001</v>
      </c>
      <c r="I203" s="630" t="s">
        <v>501</v>
      </c>
      <c r="J203" s="630" t="s">
        <v>501</v>
      </c>
    </row>
    <row r="204" spans="1:13" ht="36.75" customHeight="1" x14ac:dyDescent="0.2">
      <c r="A204" s="646" t="s">
        <v>2517</v>
      </c>
      <c r="B204" s="646" t="s">
        <v>11076</v>
      </c>
      <c r="C204" s="646" t="s">
        <v>5865</v>
      </c>
      <c r="D204" s="642" t="s">
        <v>6800</v>
      </c>
      <c r="E204" s="642" t="s">
        <v>6801</v>
      </c>
      <c r="F204" s="113">
        <v>1409</v>
      </c>
      <c r="G204" s="646">
        <v>1980</v>
      </c>
      <c r="H204" s="43">
        <v>40696950.130000003</v>
      </c>
      <c r="I204" s="646" t="s">
        <v>8940</v>
      </c>
      <c r="J204" s="646" t="s">
        <v>8940</v>
      </c>
    </row>
    <row r="205" spans="1:13" ht="41.25" customHeight="1" x14ac:dyDescent="0.2">
      <c r="A205" s="646" t="s">
        <v>2518</v>
      </c>
      <c r="B205" s="646" t="s">
        <v>8656</v>
      </c>
      <c r="C205" s="646" t="s">
        <v>5865</v>
      </c>
      <c r="D205" s="642" t="s">
        <v>8718</v>
      </c>
      <c r="E205" s="642" t="s">
        <v>8650</v>
      </c>
      <c r="F205" s="113">
        <v>75.3</v>
      </c>
      <c r="G205" s="646">
        <v>1980</v>
      </c>
      <c r="H205" s="43">
        <v>562422.48</v>
      </c>
      <c r="I205" s="646" t="s">
        <v>8940</v>
      </c>
      <c r="J205" s="646" t="s">
        <v>8940</v>
      </c>
    </row>
    <row r="206" spans="1:13" s="198" customFormat="1" ht="33.75" customHeight="1" x14ac:dyDescent="0.2">
      <c r="A206" s="646" t="s">
        <v>2519</v>
      </c>
      <c r="B206" s="646" t="s">
        <v>8657</v>
      </c>
      <c r="C206" s="646" t="s">
        <v>5866</v>
      </c>
      <c r="D206" s="642"/>
      <c r="E206" s="642" t="s">
        <v>170</v>
      </c>
      <c r="F206" s="85">
        <v>122.5</v>
      </c>
      <c r="G206" s="646">
        <v>1966</v>
      </c>
      <c r="H206" s="43"/>
      <c r="I206" s="34" t="s">
        <v>321</v>
      </c>
      <c r="J206" s="34" t="s">
        <v>321</v>
      </c>
    </row>
    <row r="207" spans="1:13" s="70" customFormat="1" ht="27" customHeight="1" x14ac:dyDescent="0.2">
      <c r="A207" s="646" t="s">
        <v>2520</v>
      </c>
      <c r="B207" s="646" t="s">
        <v>37</v>
      </c>
      <c r="C207" s="646" t="s">
        <v>5867</v>
      </c>
      <c r="D207" s="642" t="s">
        <v>9439</v>
      </c>
      <c r="E207" s="642" t="s">
        <v>5533</v>
      </c>
      <c r="F207" s="113">
        <v>221.4</v>
      </c>
      <c r="G207" s="646">
        <v>1956</v>
      </c>
      <c r="H207" s="43">
        <v>1916735.08</v>
      </c>
      <c r="I207" s="646" t="s">
        <v>12225</v>
      </c>
      <c r="J207" s="646" t="s">
        <v>12225</v>
      </c>
      <c r="K207" s="198"/>
      <c r="L207" s="198"/>
      <c r="M207" s="198"/>
    </row>
    <row r="208" spans="1:13" s="198" customFormat="1" ht="38.25" customHeight="1" x14ac:dyDescent="0.2">
      <c r="A208" s="646" t="s">
        <v>2521</v>
      </c>
      <c r="B208" s="646" t="s">
        <v>3671</v>
      </c>
      <c r="C208" s="646" t="s">
        <v>5868</v>
      </c>
      <c r="D208" s="642" t="s">
        <v>5616</v>
      </c>
      <c r="E208" s="642" t="s">
        <v>183</v>
      </c>
      <c r="F208" s="113">
        <v>280.5</v>
      </c>
      <c r="G208" s="646">
        <v>1960</v>
      </c>
      <c r="H208" s="43">
        <v>5700000</v>
      </c>
      <c r="I208" s="646" t="s">
        <v>6832</v>
      </c>
      <c r="J208" s="646" t="s">
        <v>6832</v>
      </c>
    </row>
    <row r="209" spans="1:10" s="201" customFormat="1" ht="33.75" customHeight="1" x14ac:dyDescent="0.2">
      <c r="A209" s="646" t="s">
        <v>2522</v>
      </c>
      <c r="B209" s="646" t="s">
        <v>6303</v>
      </c>
      <c r="C209" s="646" t="s">
        <v>5869</v>
      </c>
      <c r="D209" s="642" t="s">
        <v>6597</v>
      </c>
      <c r="E209" s="642" t="s">
        <v>170</v>
      </c>
      <c r="F209" s="113">
        <v>819</v>
      </c>
      <c r="G209" s="646">
        <v>1952</v>
      </c>
      <c r="H209" s="43">
        <v>6117184.71</v>
      </c>
      <c r="I209" s="646" t="s">
        <v>3790</v>
      </c>
      <c r="J209" s="646" t="s">
        <v>3790</v>
      </c>
    </row>
    <row r="210" spans="1:10" ht="34.5" customHeight="1" x14ac:dyDescent="0.2">
      <c r="A210" s="646" t="s">
        <v>2523</v>
      </c>
      <c r="B210" s="646" t="s">
        <v>2142</v>
      </c>
      <c r="C210" s="646" t="s">
        <v>5870</v>
      </c>
      <c r="D210" s="642"/>
      <c r="E210" s="642"/>
      <c r="F210" s="113">
        <v>4282</v>
      </c>
      <c r="G210" s="646">
        <v>1962</v>
      </c>
      <c r="H210" s="43"/>
      <c r="I210" s="646" t="s">
        <v>546</v>
      </c>
      <c r="J210" s="646" t="s">
        <v>546</v>
      </c>
    </row>
    <row r="211" spans="1:10" ht="35.25" customHeight="1" x14ac:dyDescent="0.2">
      <c r="A211" s="646" t="s">
        <v>2524</v>
      </c>
      <c r="B211" s="646" t="s">
        <v>2143</v>
      </c>
      <c r="C211" s="646" t="s">
        <v>5870</v>
      </c>
      <c r="D211" s="642"/>
      <c r="E211" s="642"/>
      <c r="F211" s="113">
        <v>180</v>
      </c>
      <c r="G211" s="646">
        <v>1997</v>
      </c>
      <c r="H211" s="43"/>
      <c r="I211" s="646" t="s">
        <v>546</v>
      </c>
      <c r="J211" s="646" t="s">
        <v>546</v>
      </c>
    </row>
    <row r="212" spans="1:10" ht="36" customHeight="1" x14ac:dyDescent="0.2">
      <c r="A212" s="646" t="s">
        <v>2525</v>
      </c>
      <c r="B212" s="646" t="s">
        <v>335</v>
      </c>
      <c r="C212" s="646" t="s">
        <v>5870</v>
      </c>
      <c r="D212" s="642"/>
      <c r="E212" s="642"/>
      <c r="F212" s="113">
        <v>200</v>
      </c>
      <c r="G212" s="646">
        <v>1995</v>
      </c>
      <c r="H212" s="43"/>
      <c r="I212" s="646" t="s">
        <v>546</v>
      </c>
      <c r="J212" s="646" t="s">
        <v>546</v>
      </c>
    </row>
    <row r="213" spans="1:10" ht="36" customHeight="1" x14ac:dyDescent="0.2">
      <c r="A213" s="646" t="s">
        <v>3709</v>
      </c>
      <c r="B213" s="646" t="s">
        <v>12508</v>
      </c>
      <c r="C213" s="630" t="s">
        <v>12509</v>
      </c>
      <c r="D213" s="642" t="s">
        <v>12510</v>
      </c>
      <c r="E213" s="642" t="s">
        <v>5930</v>
      </c>
      <c r="F213" s="93" t="s">
        <v>13612</v>
      </c>
      <c r="G213" s="646" t="s">
        <v>3994</v>
      </c>
      <c r="H213" s="192" t="s">
        <v>13613</v>
      </c>
      <c r="I213" s="630" t="s">
        <v>3290</v>
      </c>
      <c r="J213" s="630" t="s">
        <v>3290</v>
      </c>
    </row>
    <row r="214" spans="1:10" s="5" customFormat="1" ht="35.25" customHeight="1" x14ac:dyDescent="0.2">
      <c r="A214" s="646" t="s">
        <v>3710</v>
      </c>
      <c r="B214" s="646" t="s">
        <v>292</v>
      </c>
      <c r="C214" s="101" t="s">
        <v>5871</v>
      </c>
      <c r="D214" s="99" t="s">
        <v>9147</v>
      </c>
      <c r="E214" s="642" t="s">
        <v>12226</v>
      </c>
      <c r="F214" s="113">
        <f>(661+1340)</f>
        <v>2001</v>
      </c>
      <c r="G214" s="19" t="s">
        <v>3994</v>
      </c>
      <c r="H214" s="192">
        <v>11003599.050000001</v>
      </c>
      <c r="I214" s="630" t="s">
        <v>6827</v>
      </c>
      <c r="J214" s="630" t="s">
        <v>6827</v>
      </c>
    </row>
    <row r="215" spans="1:10" s="5" customFormat="1" ht="33.75" customHeight="1" x14ac:dyDescent="0.2">
      <c r="A215" s="646" t="s">
        <v>3711</v>
      </c>
      <c r="B215" s="646" t="s">
        <v>2431</v>
      </c>
      <c r="C215" s="101" t="s">
        <v>5871</v>
      </c>
      <c r="D215" s="642" t="s">
        <v>9146</v>
      </c>
      <c r="E215" s="642" t="s">
        <v>13414</v>
      </c>
      <c r="F215" s="192">
        <f>1280-33.8-54.2-50.4-62.4-72.32</f>
        <v>1006.8799999999999</v>
      </c>
      <c r="G215" s="631" t="s">
        <v>3994</v>
      </c>
      <c r="H215" s="43">
        <v>7038784</v>
      </c>
      <c r="I215" s="646" t="s">
        <v>12227</v>
      </c>
      <c r="J215" s="646" t="s">
        <v>12227</v>
      </c>
    </row>
    <row r="216" spans="1:10" s="5" customFormat="1" ht="38.25" customHeight="1" x14ac:dyDescent="0.2">
      <c r="A216" s="646" t="s">
        <v>12423</v>
      </c>
      <c r="B216" s="646" t="s">
        <v>2431</v>
      </c>
      <c r="C216" s="101" t="s">
        <v>5871</v>
      </c>
      <c r="D216" s="642" t="s">
        <v>9146</v>
      </c>
      <c r="E216" s="642" t="s">
        <v>3995</v>
      </c>
      <c r="F216" s="113">
        <v>33.799999999999997</v>
      </c>
      <c r="G216" s="631" t="s">
        <v>3994</v>
      </c>
      <c r="H216" s="478"/>
      <c r="I216" s="630" t="s">
        <v>3951</v>
      </c>
      <c r="J216" s="630" t="s">
        <v>3951</v>
      </c>
    </row>
    <row r="217" spans="1:10" s="5" customFormat="1" ht="38.25" customHeight="1" x14ac:dyDescent="0.2">
      <c r="A217" s="646" t="s">
        <v>12424</v>
      </c>
      <c r="B217" s="646" t="s">
        <v>2431</v>
      </c>
      <c r="C217" s="101" t="s">
        <v>5871</v>
      </c>
      <c r="D217" s="642" t="s">
        <v>9146</v>
      </c>
      <c r="E217" s="642" t="s">
        <v>3995</v>
      </c>
      <c r="F217" s="113">
        <v>54.2</v>
      </c>
      <c r="G217" s="631" t="s">
        <v>3994</v>
      </c>
      <c r="H217" s="192"/>
      <c r="I217" s="630" t="s">
        <v>3951</v>
      </c>
      <c r="J217" s="630" t="s">
        <v>3951</v>
      </c>
    </row>
    <row r="218" spans="1:10" s="5" customFormat="1" ht="56.25" customHeight="1" x14ac:dyDescent="0.2">
      <c r="A218" s="646" t="s">
        <v>12425</v>
      </c>
      <c r="B218" s="646" t="s">
        <v>2431</v>
      </c>
      <c r="C218" s="101" t="s">
        <v>12512</v>
      </c>
      <c r="D218" s="642" t="s">
        <v>12513</v>
      </c>
      <c r="E218" s="642" t="s">
        <v>3995</v>
      </c>
      <c r="F218" s="113">
        <v>50.4</v>
      </c>
      <c r="G218" s="631" t="s">
        <v>3994</v>
      </c>
      <c r="H218" s="43">
        <v>43592.98</v>
      </c>
      <c r="I218" s="630" t="s">
        <v>12514</v>
      </c>
      <c r="J218" s="630" t="s">
        <v>12514</v>
      </c>
    </row>
    <row r="219" spans="1:10" s="5" customFormat="1" ht="56.25" customHeight="1" x14ac:dyDescent="0.2">
      <c r="A219" s="646" t="s">
        <v>12511</v>
      </c>
      <c r="B219" s="646" t="s">
        <v>2431</v>
      </c>
      <c r="C219" s="101" t="s">
        <v>12515</v>
      </c>
      <c r="D219" s="642" t="s">
        <v>12516</v>
      </c>
      <c r="E219" s="642" t="s">
        <v>3995</v>
      </c>
      <c r="F219" s="113">
        <v>62.4</v>
      </c>
      <c r="G219" s="631" t="s">
        <v>3994</v>
      </c>
      <c r="H219" s="43"/>
      <c r="I219" s="630" t="s">
        <v>12517</v>
      </c>
      <c r="J219" s="701" t="s">
        <v>13907</v>
      </c>
    </row>
    <row r="220" spans="1:10" s="5" customFormat="1" ht="25.5" customHeight="1" x14ac:dyDescent="0.2">
      <c r="A220" s="646" t="s">
        <v>13410</v>
      </c>
      <c r="B220" s="646" t="s">
        <v>13411</v>
      </c>
      <c r="C220" s="101" t="s">
        <v>5871</v>
      </c>
      <c r="D220" s="642" t="s">
        <v>9146</v>
      </c>
      <c r="E220" s="642" t="s">
        <v>3995</v>
      </c>
      <c r="F220" s="192">
        <v>72.319999999999993</v>
      </c>
      <c r="G220" s="631" t="s">
        <v>3994</v>
      </c>
      <c r="H220" s="43"/>
      <c r="I220" s="630"/>
      <c r="J220" s="630"/>
    </row>
    <row r="221" spans="1:10" s="5" customFormat="1" ht="23.25" customHeight="1" x14ac:dyDescent="0.2">
      <c r="A221" s="646" t="s">
        <v>13412</v>
      </c>
      <c r="B221" s="646" t="s">
        <v>13413</v>
      </c>
      <c r="C221" s="101" t="s">
        <v>5871</v>
      </c>
      <c r="D221" s="642" t="s">
        <v>9146</v>
      </c>
      <c r="E221" s="642" t="s">
        <v>3995</v>
      </c>
      <c r="F221" s="192">
        <v>72.319999999999993</v>
      </c>
      <c r="G221" s="631" t="s">
        <v>3994</v>
      </c>
      <c r="H221" s="43">
        <v>53972.26</v>
      </c>
      <c r="I221" s="630"/>
      <c r="J221" s="630"/>
    </row>
    <row r="222" spans="1:10" s="70" customFormat="1" ht="35.25" customHeight="1" x14ac:dyDescent="0.2">
      <c r="A222" s="646" t="s">
        <v>3712</v>
      </c>
      <c r="B222" s="646" t="s">
        <v>497</v>
      </c>
      <c r="C222" s="961" t="s">
        <v>5872</v>
      </c>
      <c r="D222" s="642" t="s">
        <v>6112</v>
      </c>
      <c r="E222" s="642" t="s">
        <v>6073</v>
      </c>
      <c r="F222" s="113">
        <v>5230</v>
      </c>
      <c r="G222" s="646" t="s">
        <v>166</v>
      </c>
      <c r="H222" s="43">
        <v>28760031.5</v>
      </c>
      <c r="I222" s="961" t="s">
        <v>498</v>
      </c>
      <c r="J222" s="961" t="s">
        <v>498</v>
      </c>
    </row>
    <row r="223" spans="1:10" s="70" customFormat="1" ht="17.25" customHeight="1" x14ac:dyDescent="0.2">
      <c r="A223" s="646" t="s">
        <v>3713</v>
      </c>
      <c r="B223" s="646" t="s">
        <v>2421</v>
      </c>
      <c r="C223" s="962"/>
      <c r="D223" s="642"/>
      <c r="E223" s="642" t="s">
        <v>2422</v>
      </c>
      <c r="F223" s="113"/>
      <c r="G223" s="646">
        <v>1989</v>
      </c>
      <c r="H223" s="43"/>
      <c r="I223" s="962"/>
      <c r="J223" s="962"/>
    </row>
    <row r="224" spans="1:10" ht="35.25" customHeight="1" x14ac:dyDescent="0.2">
      <c r="A224" s="646" t="s">
        <v>2526</v>
      </c>
      <c r="B224" s="646" t="s">
        <v>11077</v>
      </c>
      <c r="C224" s="961" t="s">
        <v>5873</v>
      </c>
      <c r="D224" s="642" t="s">
        <v>5811</v>
      </c>
      <c r="E224" s="642" t="s">
        <v>5812</v>
      </c>
      <c r="F224" s="85">
        <v>766.7</v>
      </c>
      <c r="G224" s="646">
        <v>1962</v>
      </c>
      <c r="H224" s="43">
        <v>4216121.6399999997</v>
      </c>
      <c r="I224" s="961" t="s">
        <v>8942</v>
      </c>
      <c r="J224" s="961" t="s">
        <v>8942</v>
      </c>
    </row>
    <row r="225" spans="1:10" ht="21.75" customHeight="1" x14ac:dyDescent="0.2">
      <c r="A225" s="646" t="s">
        <v>3280</v>
      </c>
      <c r="B225" s="646" t="s">
        <v>2421</v>
      </c>
      <c r="C225" s="962"/>
      <c r="D225" s="642"/>
      <c r="E225" s="642" t="s">
        <v>2422</v>
      </c>
      <c r="F225" s="113"/>
      <c r="G225" s="646">
        <v>1971</v>
      </c>
      <c r="H225" s="43"/>
      <c r="I225" s="962"/>
      <c r="J225" s="962"/>
    </row>
    <row r="226" spans="1:10" ht="32.25" customHeight="1" x14ac:dyDescent="0.2">
      <c r="A226" s="646" t="s">
        <v>2527</v>
      </c>
      <c r="B226" s="646" t="s">
        <v>11078</v>
      </c>
      <c r="C226" s="961" t="s">
        <v>5874</v>
      </c>
      <c r="D226" s="642" t="s">
        <v>5813</v>
      </c>
      <c r="E226" s="642" t="s">
        <v>5812</v>
      </c>
      <c r="F226" s="85">
        <v>1596.3</v>
      </c>
      <c r="G226" s="646" t="s">
        <v>70</v>
      </c>
      <c r="H226" s="43">
        <v>8778133.5199999996</v>
      </c>
      <c r="I226" s="961" t="s">
        <v>8942</v>
      </c>
      <c r="J226" s="961" t="s">
        <v>8942</v>
      </c>
    </row>
    <row r="227" spans="1:10" ht="19.5" customHeight="1" x14ac:dyDescent="0.2">
      <c r="A227" s="646" t="s">
        <v>3055</v>
      </c>
      <c r="B227" s="646" t="s">
        <v>2421</v>
      </c>
      <c r="C227" s="962"/>
      <c r="D227" s="642"/>
      <c r="E227" s="642" t="s">
        <v>2422</v>
      </c>
      <c r="F227" s="113"/>
      <c r="G227" s="646">
        <v>1976</v>
      </c>
      <c r="H227" s="43"/>
      <c r="I227" s="962"/>
      <c r="J227" s="962"/>
    </row>
    <row r="228" spans="1:10" s="5" customFormat="1" ht="48.75" customHeight="1" x14ac:dyDescent="0.2">
      <c r="A228" s="646" t="s">
        <v>3056</v>
      </c>
      <c r="B228" s="646" t="s">
        <v>4356</v>
      </c>
      <c r="C228" s="646" t="s">
        <v>5871</v>
      </c>
      <c r="D228" s="642" t="s">
        <v>12228</v>
      </c>
      <c r="E228" s="642" t="s">
        <v>183</v>
      </c>
      <c r="F228" s="113">
        <v>113.7</v>
      </c>
      <c r="G228" s="646">
        <v>1995</v>
      </c>
      <c r="H228" s="43">
        <v>625241.99</v>
      </c>
      <c r="I228" s="646" t="s">
        <v>6827</v>
      </c>
      <c r="J228" s="646" t="s">
        <v>6827</v>
      </c>
    </row>
    <row r="229" spans="1:10" s="198" customFormat="1" ht="37.5" customHeight="1" x14ac:dyDescent="0.2">
      <c r="A229" s="646" t="s">
        <v>3057</v>
      </c>
      <c r="B229" s="646" t="s">
        <v>4017</v>
      </c>
      <c r="C229" s="646" t="s">
        <v>5875</v>
      </c>
      <c r="D229" s="642" t="s">
        <v>6572</v>
      </c>
      <c r="E229" s="642" t="s">
        <v>170</v>
      </c>
      <c r="F229" s="113">
        <f>2938.8-530</f>
        <v>2408.8000000000002</v>
      </c>
      <c r="G229" s="646">
        <v>1967</v>
      </c>
      <c r="H229" s="43">
        <v>16160608.140000001</v>
      </c>
      <c r="I229" s="646" t="s">
        <v>3790</v>
      </c>
      <c r="J229" s="646" t="s">
        <v>3790</v>
      </c>
    </row>
    <row r="230" spans="1:10" s="198" customFormat="1" ht="45" customHeight="1" x14ac:dyDescent="0.2">
      <c r="A230" s="646" t="s">
        <v>3714</v>
      </c>
      <c r="B230" s="646" t="s">
        <v>6331</v>
      </c>
      <c r="C230" s="646" t="s">
        <v>5875</v>
      </c>
      <c r="D230" s="642"/>
      <c r="E230" s="642" t="s">
        <v>170</v>
      </c>
      <c r="F230" s="113">
        <v>530</v>
      </c>
      <c r="G230" s="646" t="s">
        <v>504</v>
      </c>
      <c r="H230" s="43"/>
      <c r="I230" s="646" t="s">
        <v>3927</v>
      </c>
      <c r="J230" s="646" t="s">
        <v>3927</v>
      </c>
    </row>
    <row r="231" spans="1:10" s="198" customFormat="1" ht="26.25" customHeight="1" x14ac:dyDescent="0.2">
      <c r="A231" s="646" t="s">
        <v>2528</v>
      </c>
      <c r="B231" s="646" t="s">
        <v>6986</v>
      </c>
      <c r="C231" s="646" t="s">
        <v>5876</v>
      </c>
      <c r="D231" s="642" t="s">
        <v>6635</v>
      </c>
      <c r="E231" s="642" t="s">
        <v>183</v>
      </c>
      <c r="F231" s="113">
        <v>268</v>
      </c>
      <c r="G231" s="646">
        <v>1963</v>
      </c>
      <c r="H231" s="43">
        <v>4919515.2</v>
      </c>
      <c r="I231" s="646" t="s">
        <v>6833</v>
      </c>
      <c r="J231" s="646" t="s">
        <v>6833</v>
      </c>
    </row>
    <row r="232" spans="1:10" s="5" customFormat="1" ht="33.75" customHeight="1" x14ac:dyDescent="0.2">
      <c r="A232" s="646" t="s">
        <v>3058</v>
      </c>
      <c r="B232" s="646" t="s">
        <v>2144</v>
      </c>
      <c r="C232" s="646" t="s">
        <v>13415</v>
      </c>
      <c r="D232" s="642"/>
      <c r="E232" s="642"/>
      <c r="F232" s="113">
        <v>420</v>
      </c>
      <c r="G232" s="646">
        <v>1971</v>
      </c>
      <c r="H232" s="43"/>
      <c r="I232" s="646" t="s">
        <v>526</v>
      </c>
      <c r="J232" s="646" t="s">
        <v>526</v>
      </c>
    </row>
    <row r="233" spans="1:10" s="5" customFormat="1" ht="26.25" customHeight="1" x14ac:dyDescent="0.2">
      <c r="A233" s="646" t="s">
        <v>2529</v>
      </c>
      <c r="B233" s="646" t="s">
        <v>2423</v>
      </c>
      <c r="C233" s="646" t="s">
        <v>5877</v>
      </c>
      <c r="D233" s="444" t="s">
        <v>5617</v>
      </c>
      <c r="E233" s="642" t="s">
        <v>183</v>
      </c>
      <c r="F233" s="113">
        <v>796.8</v>
      </c>
      <c r="G233" s="646">
        <v>1979</v>
      </c>
      <c r="H233" s="43">
        <v>554397.5</v>
      </c>
      <c r="I233" s="646" t="s">
        <v>527</v>
      </c>
      <c r="J233" s="646" t="s">
        <v>527</v>
      </c>
    </row>
    <row r="234" spans="1:10" s="5" customFormat="1" ht="26.25" customHeight="1" x14ac:dyDescent="0.2">
      <c r="A234" s="646" t="s">
        <v>2530</v>
      </c>
      <c r="B234" s="646" t="s">
        <v>3869</v>
      </c>
      <c r="C234" s="646" t="s">
        <v>5878</v>
      </c>
      <c r="D234" s="12" t="s">
        <v>5618</v>
      </c>
      <c r="E234" s="642" t="s">
        <v>183</v>
      </c>
      <c r="F234" s="113">
        <v>429.4</v>
      </c>
      <c r="G234" s="646" t="s">
        <v>19</v>
      </c>
      <c r="H234" s="43">
        <v>2361292.0699999998</v>
      </c>
      <c r="I234" s="646" t="s">
        <v>487</v>
      </c>
      <c r="J234" s="646" t="s">
        <v>487</v>
      </c>
    </row>
    <row r="235" spans="1:10" ht="58.5" customHeight="1" x14ac:dyDescent="0.2">
      <c r="A235" s="646" t="s">
        <v>2531</v>
      </c>
      <c r="B235" s="646" t="s">
        <v>11115</v>
      </c>
      <c r="C235" s="646" t="s">
        <v>11114</v>
      </c>
      <c r="D235" s="642" t="s">
        <v>11135</v>
      </c>
      <c r="E235" s="642" t="s">
        <v>183</v>
      </c>
      <c r="F235" s="113">
        <v>459.7</v>
      </c>
      <c r="G235" s="646">
        <v>1995</v>
      </c>
      <c r="H235" s="43">
        <v>3184944.11</v>
      </c>
      <c r="I235" s="646" t="s">
        <v>350</v>
      </c>
      <c r="J235" s="646" t="s">
        <v>3284</v>
      </c>
    </row>
    <row r="236" spans="1:10" ht="35.25" customHeight="1" x14ac:dyDescent="0.2">
      <c r="A236" s="646" t="s">
        <v>2532</v>
      </c>
      <c r="B236" s="630" t="s">
        <v>11070</v>
      </c>
      <c r="C236" s="646" t="s">
        <v>5987</v>
      </c>
      <c r="D236" s="642" t="s">
        <v>6307</v>
      </c>
      <c r="E236" s="642" t="s">
        <v>6306</v>
      </c>
      <c r="F236" s="113">
        <v>835.1</v>
      </c>
      <c r="G236" s="646">
        <v>1960</v>
      </c>
      <c r="H236" s="43">
        <v>17495896.170000002</v>
      </c>
      <c r="I236" s="961" t="s">
        <v>3245</v>
      </c>
      <c r="J236" s="961" t="s">
        <v>3245</v>
      </c>
    </row>
    <row r="237" spans="1:10" s="5" customFormat="1" ht="23.25" customHeight="1" x14ac:dyDescent="0.2">
      <c r="A237" s="646" t="s">
        <v>3715</v>
      </c>
      <c r="B237" s="646" t="s">
        <v>2421</v>
      </c>
      <c r="C237" s="646" t="s">
        <v>5988</v>
      </c>
      <c r="D237" s="642"/>
      <c r="E237" s="642" t="s">
        <v>2422</v>
      </c>
      <c r="F237" s="113"/>
      <c r="G237" s="646">
        <v>1994</v>
      </c>
      <c r="H237" s="43"/>
      <c r="I237" s="963"/>
      <c r="J237" s="963"/>
    </row>
    <row r="238" spans="1:10" s="5" customFormat="1" ht="23.25" customHeight="1" x14ac:dyDescent="0.2">
      <c r="A238" s="646" t="s">
        <v>3716</v>
      </c>
      <c r="B238" s="646" t="s">
        <v>2421</v>
      </c>
      <c r="C238" s="646" t="s">
        <v>5988</v>
      </c>
      <c r="D238" s="642"/>
      <c r="E238" s="642" t="s">
        <v>2422</v>
      </c>
      <c r="F238" s="113"/>
      <c r="G238" s="646">
        <v>2008</v>
      </c>
      <c r="H238" s="43"/>
      <c r="I238" s="962"/>
      <c r="J238" s="962"/>
    </row>
    <row r="239" spans="1:10" s="70" customFormat="1" ht="47.25" customHeight="1" x14ac:dyDescent="0.2">
      <c r="A239" s="646" t="s">
        <v>2533</v>
      </c>
      <c r="B239" s="646" t="s">
        <v>11073</v>
      </c>
      <c r="C239" s="646" t="s">
        <v>5956</v>
      </c>
      <c r="D239" s="99" t="s">
        <v>6248</v>
      </c>
      <c r="E239" s="642" t="s">
        <v>6249</v>
      </c>
      <c r="F239" s="113">
        <f>1600.1</f>
        <v>1600.1</v>
      </c>
      <c r="G239" s="646" t="s">
        <v>533</v>
      </c>
      <c r="H239" s="43">
        <v>24188407.68</v>
      </c>
      <c r="I239" s="646" t="s">
        <v>99</v>
      </c>
      <c r="J239" s="646" t="s">
        <v>99</v>
      </c>
    </row>
    <row r="240" spans="1:10" s="70" customFormat="1" ht="47.25" customHeight="1" x14ac:dyDescent="0.2">
      <c r="A240" s="646" t="s">
        <v>2534</v>
      </c>
      <c r="B240" s="646" t="s">
        <v>11079</v>
      </c>
      <c r="C240" s="646" t="s">
        <v>5957</v>
      </c>
      <c r="D240" s="33" t="s">
        <v>8712</v>
      </c>
      <c r="E240" s="642" t="s">
        <v>2474</v>
      </c>
      <c r="F240" s="113">
        <v>53</v>
      </c>
      <c r="G240" s="646">
        <v>1962</v>
      </c>
      <c r="H240" s="43">
        <v>1007493.43</v>
      </c>
      <c r="I240" s="646" t="s">
        <v>99</v>
      </c>
      <c r="J240" s="646" t="s">
        <v>99</v>
      </c>
    </row>
    <row r="241" spans="1:10" ht="27" customHeight="1" x14ac:dyDescent="0.2">
      <c r="A241" s="646" t="s">
        <v>3717</v>
      </c>
      <c r="B241" s="646" t="s">
        <v>2421</v>
      </c>
      <c r="C241" s="646" t="s">
        <v>5958</v>
      </c>
      <c r="D241" s="642"/>
      <c r="E241" s="642" t="s">
        <v>2424</v>
      </c>
      <c r="F241" s="113" t="s">
        <v>2425</v>
      </c>
      <c r="G241" s="646">
        <v>1986</v>
      </c>
      <c r="H241" s="43"/>
      <c r="I241" s="961" t="s">
        <v>3242</v>
      </c>
      <c r="J241" s="961" t="s">
        <v>3242</v>
      </c>
    </row>
    <row r="242" spans="1:10" ht="23.25" customHeight="1" x14ac:dyDescent="0.2">
      <c r="A242" s="646" t="s">
        <v>3718</v>
      </c>
      <c r="B242" s="646" t="s">
        <v>2421</v>
      </c>
      <c r="C242" s="646" t="s">
        <v>5958</v>
      </c>
      <c r="D242" s="642"/>
      <c r="E242" s="642" t="s">
        <v>2424</v>
      </c>
      <c r="F242" s="113" t="s">
        <v>2426</v>
      </c>
      <c r="G242" s="646">
        <v>1999</v>
      </c>
      <c r="H242" s="43"/>
      <c r="I242" s="963"/>
      <c r="J242" s="963"/>
    </row>
    <row r="243" spans="1:10" ht="27" customHeight="1" x14ac:dyDescent="0.2">
      <c r="A243" s="646" t="s">
        <v>3997</v>
      </c>
      <c r="B243" s="646" t="s">
        <v>3998</v>
      </c>
      <c r="C243" s="646" t="s">
        <v>5958</v>
      </c>
      <c r="D243" s="642"/>
      <c r="E243" s="642" t="s">
        <v>3999</v>
      </c>
      <c r="F243" s="113"/>
      <c r="G243" s="646"/>
      <c r="H243" s="43"/>
      <c r="I243" s="962"/>
      <c r="J243" s="962"/>
    </row>
    <row r="244" spans="1:10" ht="49.5" customHeight="1" x14ac:dyDescent="0.2">
      <c r="A244" s="646" t="s">
        <v>2535</v>
      </c>
      <c r="B244" s="646" t="s">
        <v>9039</v>
      </c>
      <c r="C244" s="646" t="s">
        <v>5958</v>
      </c>
      <c r="D244" s="33" t="s">
        <v>9005</v>
      </c>
      <c r="E244" s="642" t="s">
        <v>2410</v>
      </c>
      <c r="F244" s="113">
        <v>49.8</v>
      </c>
      <c r="G244" s="646">
        <v>1994</v>
      </c>
      <c r="H244" s="43">
        <v>416995.32</v>
      </c>
      <c r="I244" s="646" t="s">
        <v>3242</v>
      </c>
      <c r="J244" s="646" t="s">
        <v>3242</v>
      </c>
    </row>
    <row r="245" spans="1:10" s="198" customFormat="1" ht="36.75" customHeight="1" x14ac:dyDescent="0.2">
      <c r="A245" s="646" t="s">
        <v>4390</v>
      </c>
      <c r="B245" s="646" t="s">
        <v>6305</v>
      </c>
      <c r="C245" s="646" t="s">
        <v>5959</v>
      </c>
      <c r="D245" s="99" t="s">
        <v>6598</v>
      </c>
      <c r="E245" s="642" t="s">
        <v>170</v>
      </c>
      <c r="F245" s="113">
        <f>2691.3-19</f>
        <v>2672.3</v>
      </c>
      <c r="G245" s="646" t="s">
        <v>80</v>
      </c>
      <c r="H245" s="43">
        <v>22535331.420000002</v>
      </c>
      <c r="I245" s="646" t="s">
        <v>3790</v>
      </c>
      <c r="J245" s="646" t="s">
        <v>3790</v>
      </c>
    </row>
    <row r="246" spans="1:10" ht="102" customHeight="1" x14ac:dyDescent="0.2">
      <c r="A246" s="647" t="s">
        <v>4391</v>
      </c>
      <c r="B246" s="647" t="s">
        <v>292</v>
      </c>
      <c r="C246" s="647" t="s">
        <v>5960</v>
      </c>
      <c r="D246" s="147"/>
      <c r="E246" s="380" t="s">
        <v>4015</v>
      </c>
      <c r="F246" s="59">
        <v>19</v>
      </c>
      <c r="G246" s="647" t="s">
        <v>80</v>
      </c>
      <c r="H246" s="23"/>
      <c r="I246" s="34" t="s">
        <v>4392</v>
      </c>
      <c r="J246" s="34" t="s">
        <v>4392</v>
      </c>
    </row>
    <row r="247" spans="1:10" s="5" customFormat="1" ht="22.5" customHeight="1" x14ac:dyDescent="0.2">
      <c r="A247" s="646" t="s">
        <v>2536</v>
      </c>
      <c r="B247" s="646" t="s">
        <v>2138</v>
      </c>
      <c r="C247" s="646" t="s">
        <v>392</v>
      </c>
      <c r="D247" s="642"/>
      <c r="E247" s="642"/>
      <c r="F247" s="113">
        <v>367.7</v>
      </c>
      <c r="G247" s="646">
        <v>1953</v>
      </c>
      <c r="H247" s="43"/>
      <c r="I247" s="646" t="s">
        <v>527</v>
      </c>
      <c r="J247" s="646" t="s">
        <v>527</v>
      </c>
    </row>
    <row r="248" spans="1:10" ht="25.5" customHeight="1" x14ac:dyDescent="0.2">
      <c r="A248" s="647" t="s">
        <v>2537</v>
      </c>
      <c r="B248" s="647" t="s">
        <v>4435</v>
      </c>
      <c r="C248" s="647" t="s">
        <v>9378</v>
      </c>
      <c r="D248" s="642" t="s">
        <v>5619</v>
      </c>
      <c r="E248" s="380" t="s">
        <v>2427</v>
      </c>
      <c r="F248" s="183">
        <v>355.8</v>
      </c>
      <c r="G248" s="647" t="s">
        <v>534</v>
      </c>
      <c r="H248" s="23">
        <v>2772108.96</v>
      </c>
      <c r="I248" s="635" t="s">
        <v>11166</v>
      </c>
      <c r="J248" s="726" t="s">
        <v>14046</v>
      </c>
    </row>
    <row r="249" spans="1:10" ht="25.5" customHeight="1" x14ac:dyDescent="0.2">
      <c r="A249" s="647" t="s">
        <v>2538</v>
      </c>
      <c r="B249" s="647" t="s">
        <v>4318</v>
      </c>
      <c r="C249" s="647" t="s">
        <v>5963</v>
      </c>
      <c r="D249" s="642" t="s">
        <v>5620</v>
      </c>
      <c r="E249" s="380" t="s">
        <v>2428</v>
      </c>
      <c r="F249" s="183">
        <v>66.8</v>
      </c>
      <c r="G249" s="647">
        <v>1996</v>
      </c>
      <c r="H249" s="23">
        <v>13732.08</v>
      </c>
      <c r="I249" s="647" t="s">
        <v>528</v>
      </c>
      <c r="J249" s="647" t="s">
        <v>528</v>
      </c>
    </row>
    <row r="250" spans="1:10" ht="29.25" customHeight="1" x14ac:dyDescent="0.2">
      <c r="A250" s="647" t="s">
        <v>2539</v>
      </c>
      <c r="B250" s="647" t="s">
        <v>4295</v>
      </c>
      <c r="C250" s="647" t="s">
        <v>5962</v>
      </c>
      <c r="D250" s="642" t="s">
        <v>5621</v>
      </c>
      <c r="E250" s="380" t="s">
        <v>170</v>
      </c>
      <c r="F250" s="183">
        <v>1342.4</v>
      </c>
      <c r="G250" s="647" t="s">
        <v>4296</v>
      </c>
      <c r="H250" s="23">
        <v>11494957.779999999</v>
      </c>
      <c r="I250" s="276" t="s">
        <v>9123</v>
      </c>
      <c r="J250" s="276" t="s">
        <v>9123</v>
      </c>
    </row>
    <row r="251" spans="1:10" s="5" customFormat="1" ht="27" customHeight="1" x14ac:dyDescent="0.2">
      <c r="A251" s="646" t="s">
        <v>2540</v>
      </c>
      <c r="B251" s="646" t="s">
        <v>3674</v>
      </c>
      <c r="C251" s="646" t="s">
        <v>5964</v>
      </c>
      <c r="D251" s="642"/>
      <c r="E251" s="642" t="s">
        <v>2419</v>
      </c>
      <c r="F251" s="113">
        <v>21.7</v>
      </c>
      <c r="G251" s="646" t="s">
        <v>3702</v>
      </c>
      <c r="H251" s="43"/>
      <c r="I251" s="646" t="s">
        <v>11166</v>
      </c>
      <c r="J251" s="728" t="s">
        <v>14046</v>
      </c>
    </row>
    <row r="252" spans="1:10" ht="24.75" customHeight="1" x14ac:dyDescent="0.2">
      <c r="A252" s="647" t="s">
        <v>2541</v>
      </c>
      <c r="B252" s="646" t="s">
        <v>3687</v>
      </c>
      <c r="C252" s="647" t="s">
        <v>8625</v>
      </c>
      <c r="D252" s="642" t="s">
        <v>8664</v>
      </c>
      <c r="E252" s="380" t="s">
        <v>2428</v>
      </c>
      <c r="F252" s="59">
        <v>187.1</v>
      </c>
      <c r="G252" s="647">
        <v>1948</v>
      </c>
      <c r="H252" s="23">
        <v>38462.15</v>
      </c>
      <c r="I252" s="8" t="s">
        <v>11180</v>
      </c>
      <c r="J252" s="8" t="s">
        <v>11180</v>
      </c>
    </row>
    <row r="253" spans="1:10" s="5" customFormat="1" ht="24.75" customHeight="1" x14ac:dyDescent="0.2">
      <c r="A253" s="646" t="s">
        <v>2542</v>
      </c>
      <c r="B253" s="646" t="s">
        <v>10652</v>
      </c>
      <c r="C253" s="646" t="s">
        <v>5965</v>
      </c>
      <c r="D253" s="642" t="s">
        <v>5622</v>
      </c>
      <c r="E253" s="642" t="s">
        <v>2420</v>
      </c>
      <c r="F253" s="85">
        <v>24.3</v>
      </c>
      <c r="G253" s="646" t="s">
        <v>4268</v>
      </c>
      <c r="H253" s="43">
        <v>4995.3500000000004</v>
      </c>
      <c r="I253" s="635" t="s">
        <v>11166</v>
      </c>
      <c r="J253" s="726" t="s">
        <v>14046</v>
      </c>
    </row>
    <row r="254" spans="1:10" s="70" customFormat="1" ht="30.75" customHeight="1" x14ac:dyDescent="0.2">
      <c r="A254" s="112" t="s">
        <v>3719</v>
      </c>
      <c r="B254" s="112" t="s">
        <v>5716</v>
      </c>
      <c r="C254" s="994" t="s">
        <v>5715</v>
      </c>
      <c r="D254" s="984" t="s">
        <v>11177</v>
      </c>
      <c r="E254" s="88" t="s">
        <v>2429</v>
      </c>
      <c r="F254" s="127">
        <v>21</v>
      </c>
      <c r="G254" s="112">
        <v>1958</v>
      </c>
      <c r="H254" s="1004">
        <v>145494.51</v>
      </c>
      <c r="I254" s="994" t="s">
        <v>11180</v>
      </c>
      <c r="J254" s="994" t="s">
        <v>11180</v>
      </c>
    </row>
    <row r="255" spans="1:10" s="70" customFormat="1" ht="19.5" customHeight="1" x14ac:dyDescent="0.2">
      <c r="A255" s="112" t="s">
        <v>3720</v>
      </c>
      <c r="B255" s="112" t="s">
        <v>11405</v>
      </c>
      <c r="C255" s="996"/>
      <c r="D255" s="986"/>
      <c r="E255" s="193"/>
      <c r="F255" s="127">
        <v>26000</v>
      </c>
      <c r="G255" s="112"/>
      <c r="H255" s="1005"/>
      <c r="I255" s="996"/>
      <c r="J255" s="996"/>
    </row>
    <row r="256" spans="1:10" ht="30" customHeight="1" x14ac:dyDescent="0.2">
      <c r="A256" s="647" t="s">
        <v>2543</v>
      </c>
      <c r="B256" s="646" t="s">
        <v>3692</v>
      </c>
      <c r="C256" s="647" t="s">
        <v>5961</v>
      </c>
      <c r="D256" s="642" t="s">
        <v>5623</v>
      </c>
      <c r="E256" s="380" t="s">
        <v>2430</v>
      </c>
      <c r="F256" s="59">
        <v>123.9</v>
      </c>
      <c r="G256" s="647">
        <v>1948</v>
      </c>
      <c r="H256" s="23">
        <v>274006.09000000003</v>
      </c>
      <c r="I256" s="8" t="s">
        <v>11180</v>
      </c>
      <c r="J256" s="8" t="s">
        <v>11180</v>
      </c>
    </row>
    <row r="257" spans="1:10" ht="43.5" customHeight="1" x14ac:dyDescent="0.2">
      <c r="A257" s="112" t="s">
        <v>3059</v>
      </c>
      <c r="B257" s="112" t="s">
        <v>493</v>
      </c>
      <c r="C257" s="112" t="s">
        <v>5879</v>
      </c>
      <c r="D257" s="642"/>
      <c r="E257" s="642"/>
      <c r="F257" s="127">
        <v>1097.0999999999999</v>
      </c>
      <c r="G257" s="112">
        <v>1935</v>
      </c>
      <c r="H257" s="43"/>
      <c r="I257" s="112" t="s">
        <v>3942</v>
      </c>
      <c r="J257" s="112" t="s">
        <v>3942</v>
      </c>
    </row>
    <row r="258" spans="1:10" ht="24" customHeight="1" x14ac:dyDescent="0.2">
      <c r="A258" s="112" t="s">
        <v>2544</v>
      </c>
      <c r="B258" s="112" t="s">
        <v>494</v>
      </c>
      <c r="C258" s="112" t="s">
        <v>5879</v>
      </c>
      <c r="D258" s="642"/>
      <c r="E258" s="642"/>
      <c r="F258" s="127">
        <v>33.200000000000003</v>
      </c>
      <c r="G258" s="112">
        <v>1969</v>
      </c>
      <c r="H258" s="43"/>
      <c r="I258" s="112" t="s">
        <v>3293</v>
      </c>
      <c r="J258" s="112"/>
    </row>
    <row r="259" spans="1:10" s="200" customFormat="1" ht="35.25" customHeight="1" x14ac:dyDescent="0.2">
      <c r="A259" s="646" t="s">
        <v>3934</v>
      </c>
      <c r="B259" s="646" t="s">
        <v>6302</v>
      </c>
      <c r="C259" s="646" t="s">
        <v>5880</v>
      </c>
      <c r="D259" s="642" t="s">
        <v>6596</v>
      </c>
      <c r="E259" s="642" t="s">
        <v>170</v>
      </c>
      <c r="F259" s="113">
        <f>2322.6-F260-F261-F262-F263-F264-F265</f>
        <v>2241.13</v>
      </c>
      <c r="G259" s="646" t="s">
        <v>19</v>
      </c>
      <c r="H259" s="43">
        <v>11752541.810000001</v>
      </c>
      <c r="I259" s="646" t="s">
        <v>3790</v>
      </c>
      <c r="J259" s="646" t="s">
        <v>3790</v>
      </c>
    </row>
    <row r="260" spans="1:10" ht="33.75" customHeight="1" x14ac:dyDescent="0.2">
      <c r="A260" s="646" t="s">
        <v>3935</v>
      </c>
      <c r="B260" s="33" t="s">
        <v>292</v>
      </c>
      <c r="C260" s="141" t="s">
        <v>5880</v>
      </c>
      <c r="D260" s="20"/>
      <c r="E260" s="33" t="s">
        <v>4022</v>
      </c>
      <c r="F260" s="93">
        <v>10</v>
      </c>
      <c r="G260" s="640" t="s">
        <v>19</v>
      </c>
      <c r="H260" s="660"/>
      <c r="I260" s="34" t="s">
        <v>6600</v>
      </c>
      <c r="J260" s="34" t="s">
        <v>13862</v>
      </c>
    </row>
    <row r="261" spans="1:10" ht="48.75" customHeight="1" x14ac:dyDescent="0.2">
      <c r="A261" s="646" t="s">
        <v>3936</v>
      </c>
      <c r="B261" s="33" t="s">
        <v>3286</v>
      </c>
      <c r="C261" s="141" t="s">
        <v>5880</v>
      </c>
      <c r="D261" s="285"/>
      <c r="E261" s="33" t="s">
        <v>3921</v>
      </c>
      <c r="F261" s="93">
        <v>12</v>
      </c>
      <c r="G261" s="640" t="s">
        <v>19</v>
      </c>
      <c r="H261" s="239"/>
      <c r="I261" s="108" t="s">
        <v>6624</v>
      </c>
      <c r="J261" s="108" t="s">
        <v>6624</v>
      </c>
    </row>
    <row r="262" spans="1:10" ht="37.5" customHeight="1" x14ac:dyDescent="0.2">
      <c r="A262" s="646" t="s">
        <v>3937</v>
      </c>
      <c r="B262" s="33" t="s">
        <v>292</v>
      </c>
      <c r="C262" s="141" t="s">
        <v>5880</v>
      </c>
      <c r="D262" s="20"/>
      <c r="E262" s="33" t="s">
        <v>4022</v>
      </c>
      <c r="F262" s="93">
        <v>6</v>
      </c>
      <c r="G262" s="640" t="s">
        <v>19</v>
      </c>
      <c r="H262" s="660"/>
      <c r="I262" s="34" t="s">
        <v>5541</v>
      </c>
      <c r="J262" s="34" t="s">
        <v>13882</v>
      </c>
    </row>
    <row r="263" spans="1:10" ht="24" customHeight="1" x14ac:dyDescent="0.2">
      <c r="A263" s="646" t="s">
        <v>3938</v>
      </c>
      <c r="B263" s="33" t="s">
        <v>292</v>
      </c>
      <c r="C263" s="141" t="s">
        <v>5881</v>
      </c>
      <c r="D263" s="20"/>
      <c r="E263" s="33" t="s">
        <v>170</v>
      </c>
      <c r="F263" s="52">
        <v>8.3699999999999992</v>
      </c>
      <c r="G263" s="640" t="s">
        <v>19</v>
      </c>
      <c r="H263" s="660"/>
      <c r="I263" s="34" t="s">
        <v>5535</v>
      </c>
      <c r="J263" s="34" t="s">
        <v>5535</v>
      </c>
    </row>
    <row r="264" spans="1:10" s="272" customFormat="1" ht="34.5" customHeight="1" x14ac:dyDescent="0.2">
      <c r="A264" s="646" t="s">
        <v>3939</v>
      </c>
      <c r="B264" s="19" t="s">
        <v>292</v>
      </c>
      <c r="C264" s="141" t="s">
        <v>5881</v>
      </c>
      <c r="D264" s="20"/>
      <c r="E264" s="33" t="s">
        <v>4451</v>
      </c>
      <c r="F264" s="93">
        <v>24.2</v>
      </c>
      <c r="G264" s="640" t="s">
        <v>19</v>
      </c>
      <c r="H264" s="660"/>
      <c r="I264" s="34" t="s">
        <v>9046</v>
      </c>
      <c r="J264" s="34" t="s">
        <v>13845</v>
      </c>
    </row>
    <row r="265" spans="1:10" ht="25.5" customHeight="1" x14ac:dyDescent="0.2">
      <c r="A265" s="19" t="s">
        <v>3940</v>
      </c>
      <c r="B265" s="19" t="s">
        <v>292</v>
      </c>
      <c r="C265" s="141" t="s">
        <v>5881</v>
      </c>
      <c r="D265" s="20"/>
      <c r="E265" s="33" t="s">
        <v>4452</v>
      </c>
      <c r="F265" s="93">
        <v>20.9</v>
      </c>
      <c r="G265" s="640" t="s">
        <v>19</v>
      </c>
      <c r="H265" s="660"/>
      <c r="I265" s="34" t="s">
        <v>6573</v>
      </c>
      <c r="J265" s="34" t="s">
        <v>6573</v>
      </c>
    </row>
    <row r="266" spans="1:10" s="198" customFormat="1" ht="36" customHeight="1" x14ac:dyDescent="0.2">
      <c r="A266" s="646" t="s">
        <v>2545</v>
      </c>
      <c r="B266" s="646" t="s">
        <v>3236</v>
      </c>
      <c r="C266" s="646" t="s">
        <v>5882</v>
      </c>
      <c r="D266" s="642" t="s">
        <v>6727</v>
      </c>
      <c r="E266" s="642" t="s">
        <v>3249</v>
      </c>
      <c r="F266" s="113">
        <v>1148.9000000000001</v>
      </c>
      <c r="G266" s="646">
        <v>1976</v>
      </c>
      <c r="H266" s="43">
        <v>10997064</v>
      </c>
      <c r="I266" s="646" t="s">
        <v>6835</v>
      </c>
      <c r="J266" s="646" t="s">
        <v>6835</v>
      </c>
    </row>
    <row r="267" spans="1:10" s="198" customFormat="1" ht="33.75" customHeight="1" x14ac:dyDescent="0.2">
      <c r="A267" s="646" t="s">
        <v>2546</v>
      </c>
      <c r="B267" s="646" t="s">
        <v>335</v>
      </c>
      <c r="C267" s="646" t="s">
        <v>6050</v>
      </c>
      <c r="D267" s="642"/>
      <c r="E267" s="642"/>
      <c r="F267" s="113">
        <v>90</v>
      </c>
      <c r="G267" s="646">
        <v>1981</v>
      </c>
      <c r="H267" s="43"/>
      <c r="I267" s="646" t="s">
        <v>5057</v>
      </c>
      <c r="J267" s="646" t="s">
        <v>5057</v>
      </c>
    </row>
    <row r="268" spans="1:10" s="198" customFormat="1" ht="27.75" customHeight="1" x14ac:dyDescent="0.2">
      <c r="A268" s="646" t="s">
        <v>2547</v>
      </c>
      <c r="B268" s="646" t="s">
        <v>2145</v>
      </c>
      <c r="C268" s="646" t="s">
        <v>6702</v>
      </c>
      <c r="D268" s="642"/>
      <c r="E268" s="642"/>
      <c r="F268" s="113">
        <v>300</v>
      </c>
      <c r="G268" s="646" t="s">
        <v>3609</v>
      </c>
      <c r="H268" s="43"/>
      <c r="I268" s="646" t="s">
        <v>5057</v>
      </c>
      <c r="J268" s="646" t="s">
        <v>5057</v>
      </c>
    </row>
    <row r="269" spans="1:10" s="198" customFormat="1" ht="25.5" customHeight="1" x14ac:dyDescent="0.2">
      <c r="A269" s="630" t="s">
        <v>2548</v>
      </c>
      <c r="B269" s="630" t="s">
        <v>6324</v>
      </c>
      <c r="C269" s="630" t="s">
        <v>6051</v>
      </c>
      <c r="D269" s="642" t="s">
        <v>6656</v>
      </c>
      <c r="E269" s="43"/>
      <c r="F269" s="113">
        <v>160</v>
      </c>
      <c r="G269" s="646">
        <v>1975</v>
      </c>
      <c r="H269" s="637">
        <v>1531491.2</v>
      </c>
      <c r="I269" s="630" t="s">
        <v>5057</v>
      </c>
      <c r="J269" s="630" t="s">
        <v>5057</v>
      </c>
    </row>
    <row r="270" spans="1:10" s="198" customFormat="1" ht="34.5" customHeight="1" x14ac:dyDescent="0.2">
      <c r="A270" s="961" t="s">
        <v>3721</v>
      </c>
      <c r="B270" s="646" t="s">
        <v>13609</v>
      </c>
      <c r="C270" s="33" t="s">
        <v>42</v>
      </c>
      <c r="D270" s="642" t="s">
        <v>13533</v>
      </c>
      <c r="E270" s="642" t="s">
        <v>9254</v>
      </c>
      <c r="F270" s="113">
        <f>1460-231.7-99.9-83.9-37.6-508</f>
        <v>498.89999999999975</v>
      </c>
      <c r="G270" s="646">
        <v>1989</v>
      </c>
      <c r="H270" s="43">
        <v>124919.57</v>
      </c>
      <c r="I270" s="646" t="s">
        <v>322</v>
      </c>
      <c r="J270" s="646" t="s">
        <v>322</v>
      </c>
    </row>
    <row r="271" spans="1:10" s="198" customFormat="1" ht="33.75" customHeight="1" x14ac:dyDescent="0.2">
      <c r="A271" s="962"/>
      <c r="B271" s="646" t="s">
        <v>13534</v>
      </c>
      <c r="C271" s="33" t="s">
        <v>13610</v>
      </c>
      <c r="D271" s="642" t="s">
        <v>13535</v>
      </c>
      <c r="E271" s="642" t="s">
        <v>9254</v>
      </c>
      <c r="F271" s="113">
        <f>508</f>
        <v>508</v>
      </c>
      <c r="G271" s="646" t="s">
        <v>166</v>
      </c>
      <c r="H271" s="43">
        <v>3188020.04</v>
      </c>
      <c r="I271" s="646" t="s">
        <v>322</v>
      </c>
      <c r="J271" s="646" t="s">
        <v>322</v>
      </c>
    </row>
    <row r="272" spans="1:10" s="198" customFormat="1" ht="45.75" customHeight="1" x14ac:dyDescent="0.2">
      <c r="A272" s="19" t="s">
        <v>3722</v>
      </c>
      <c r="B272" s="19" t="s">
        <v>292</v>
      </c>
      <c r="C272" s="19" t="s">
        <v>42</v>
      </c>
      <c r="D272" s="20" t="s">
        <v>13533</v>
      </c>
      <c r="E272" s="20" t="s">
        <v>9255</v>
      </c>
      <c r="F272" s="113">
        <v>7.6</v>
      </c>
      <c r="G272" s="19" t="s">
        <v>166</v>
      </c>
      <c r="H272" s="43"/>
      <c r="I272" s="34" t="s">
        <v>5763</v>
      </c>
      <c r="J272" s="34" t="s">
        <v>5763</v>
      </c>
    </row>
    <row r="273" spans="1:10" s="198" customFormat="1" ht="45.75" customHeight="1" x14ac:dyDescent="0.2">
      <c r="A273" s="19" t="s">
        <v>3723</v>
      </c>
      <c r="B273" s="19" t="s">
        <v>292</v>
      </c>
      <c r="C273" s="19" t="s">
        <v>42</v>
      </c>
      <c r="D273" s="20" t="s">
        <v>13533</v>
      </c>
      <c r="E273" s="20" t="s">
        <v>9255</v>
      </c>
      <c r="F273" s="113">
        <f>86-48.4</f>
        <v>37.6</v>
      </c>
      <c r="G273" s="19" t="s">
        <v>166</v>
      </c>
      <c r="H273" s="43"/>
      <c r="I273" s="34" t="s">
        <v>2</v>
      </c>
      <c r="J273" s="34" t="s">
        <v>2</v>
      </c>
    </row>
    <row r="274" spans="1:10" s="198" customFormat="1" ht="45.75" customHeight="1" x14ac:dyDescent="0.2">
      <c r="A274" s="19" t="s">
        <v>3724</v>
      </c>
      <c r="B274" s="19" t="s">
        <v>292</v>
      </c>
      <c r="C274" s="19" t="s">
        <v>42</v>
      </c>
      <c r="D274" s="20" t="s">
        <v>13533</v>
      </c>
      <c r="E274" s="20" t="s">
        <v>9255</v>
      </c>
      <c r="F274" s="113">
        <v>48.4</v>
      </c>
      <c r="G274" s="19" t="s">
        <v>166</v>
      </c>
      <c r="H274" s="43"/>
      <c r="I274" s="34" t="s">
        <v>2</v>
      </c>
      <c r="J274" s="34" t="s">
        <v>2</v>
      </c>
    </row>
    <row r="275" spans="1:10" s="198" customFormat="1" ht="33.75" customHeight="1" x14ac:dyDescent="0.2">
      <c r="A275" s="19" t="s">
        <v>4021</v>
      </c>
      <c r="B275" s="19" t="s">
        <v>292</v>
      </c>
      <c r="C275" s="19" t="s">
        <v>42</v>
      </c>
      <c r="D275" s="20" t="s">
        <v>13533</v>
      </c>
      <c r="E275" s="20" t="s">
        <v>9256</v>
      </c>
      <c r="F275" s="113">
        <v>15.2</v>
      </c>
      <c r="G275" s="19" t="s">
        <v>166</v>
      </c>
      <c r="H275" s="43"/>
      <c r="I275" s="34" t="s">
        <v>6626</v>
      </c>
      <c r="J275" s="34" t="s">
        <v>13900</v>
      </c>
    </row>
    <row r="276" spans="1:10" s="198" customFormat="1" ht="45.75" customHeight="1" x14ac:dyDescent="0.2">
      <c r="A276" s="19" t="s">
        <v>3725</v>
      </c>
      <c r="B276" s="19" t="s">
        <v>292</v>
      </c>
      <c r="C276" s="19" t="s">
        <v>42</v>
      </c>
      <c r="D276" s="20" t="s">
        <v>13533</v>
      </c>
      <c r="E276" s="20" t="s">
        <v>9255</v>
      </c>
      <c r="F276" s="113">
        <v>10</v>
      </c>
      <c r="G276" s="19" t="s">
        <v>166</v>
      </c>
      <c r="H276" s="43"/>
      <c r="I276" s="34" t="s">
        <v>4459</v>
      </c>
      <c r="J276" s="34" t="s">
        <v>4459</v>
      </c>
    </row>
    <row r="277" spans="1:10" s="198" customFormat="1" ht="45.75" customHeight="1" x14ac:dyDescent="0.2">
      <c r="A277" s="19" t="s">
        <v>3726</v>
      </c>
      <c r="B277" s="19" t="s">
        <v>292</v>
      </c>
      <c r="C277" s="19" t="s">
        <v>42</v>
      </c>
      <c r="D277" s="20" t="s">
        <v>13533</v>
      </c>
      <c r="E277" s="20" t="s">
        <v>13611</v>
      </c>
      <c r="F277" s="113">
        <v>4.5</v>
      </c>
      <c r="G277" s="19" t="s">
        <v>166</v>
      </c>
      <c r="H277" s="43"/>
      <c r="I277" s="12" t="s">
        <v>3788</v>
      </c>
      <c r="J277" s="12" t="s">
        <v>3788</v>
      </c>
    </row>
    <row r="278" spans="1:10" s="198" customFormat="1" ht="45.75" customHeight="1" x14ac:dyDescent="0.2">
      <c r="A278" s="33" t="s">
        <v>3727</v>
      </c>
      <c r="B278" s="33" t="s">
        <v>292</v>
      </c>
      <c r="C278" s="33" t="s">
        <v>42</v>
      </c>
      <c r="D278" s="642" t="s">
        <v>13533</v>
      </c>
      <c r="E278" s="33" t="s">
        <v>9258</v>
      </c>
      <c r="F278" s="93">
        <v>10</v>
      </c>
      <c r="G278" s="20" t="s">
        <v>166</v>
      </c>
      <c r="H278" s="43"/>
      <c r="I278" s="34" t="s">
        <v>13467</v>
      </c>
      <c r="J278" s="34" t="s">
        <v>13866</v>
      </c>
    </row>
    <row r="279" spans="1:10" s="198" customFormat="1" ht="43.5" customHeight="1" x14ac:dyDescent="0.2">
      <c r="A279" s="33" t="s">
        <v>3728</v>
      </c>
      <c r="B279" s="33" t="s">
        <v>292</v>
      </c>
      <c r="C279" s="33" t="s">
        <v>42</v>
      </c>
      <c r="D279" s="642" t="s">
        <v>13533</v>
      </c>
      <c r="E279" s="20" t="s">
        <v>9257</v>
      </c>
      <c r="F279" s="113">
        <v>33</v>
      </c>
      <c r="G279" s="19" t="s">
        <v>166</v>
      </c>
      <c r="H279" s="43"/>
      <c r="I279" s="19" t="s">
        <v>5796</v>
      </c>
      <c r="J279" s="19" t="s">
        <v>5796</v>
      </c>
    </row>
    <row r="280" spans="1:10" s="198" customFormat="1" ht="43.5" customHeight="1" x14ac:dyDescent="0.2">
      <c r="A280" s="33" t="s">
        <v>3729</v>
      </c>
      <c r="B280" s="33" t="s">
        <v>292</v>
      </c>
      <c r="C280" s="33" t="s">
        <v>42</v>
      </c>
      <c r="D280" s="642" t="s">
        <v>13533</v>
      </c>
      <c r="E280" s="20" t="s">
        <v>9257</v>
      </c>
      <c r="F280" s="113">
        <v>1</v>
      </c>
      <c r="G280" s="19" t="s">
        <v>166</v>
      </c>
      <c r="H280" s="43"/>
      <c r="I280" s="12" t="s">
        <v>9247</v>
      </c>
      <c r="J280" s="34" t="s">
        <v>13827</v>
      </c>
    </row>
    <row r="281" spans="1:10" s="198" customFormat="1" ht="43.5" customHeight="1" x14ac:dyDescent="0.2">
      <c r="A281" s="33" t="s">
        <v>3730</v>
      </c>
      <c r="B281" s="33" t="s">
        <v>292</v>
      </c>
      <c r="C281" s="33" t="s">
        <v>42</v>
      </c>
      <c r="D281" s="642" t="s">
        <v>13535</v>
      </c>
      <c r="E281" s="20" t="s">
        <v>9259</v>
      </c>
      <c r="F281" s="113">
        <v>47.6</v>
      </c>
      <c r="G281" s="19" t="s">
        <v>166</v>
      </c>
      <c r="H281" s="43"/>
      <c r="I281" s="34" t="s">
        <v>3293</v>
      </c>
      <c r="J281" s="19"/>
    </row>
    <row r="282" spans="1:10" s="198" customFormat="1" ht="43.5" customHeight="1" x14ac:dyDescent="0.2">
      <c r="A282" s="33" t="s">
        <v>3731</v>
      </c>
      <c r="B282" s="33" t="s">
        <v>292</v>
      </c>
      <c r="C282" s="33" t="s">
        <v>42</v>
      </c>
      <c r="D282" s="642" t="s">
        <v>13535</v>
      </c>
      <c r="E282" s="20" t="s">
        <v>9261</v>
      </c>
      <c r="F282" s="113">
        <v>17.8</v>
      </c>
      <c r="G282" s="19" t="s">
        <v>166</v>
      </c>
      <c r="H282" s="43"/>
      <c r="I282" s="34" t="s">
        <v>3293</v>
      </c>
      <c r="J282" s="34" t="s">
        <v>3293</v>
      </c>
    </row>
    <row r="283" spans="1:10" s="198" customFormat="1" ht="43.5" customHeight="1" x14ac:dyDescent="0.2">
      <c r="A283" s="33" t="s">
        <v>3732</v>
      </c>
      <c r="B283" s="33" t="s">
        <v>292</v>
      </c>
      <c r="C283" s="33" t="s">
        <v>42</v>
      </c>
      <c r="D283" s="642" t="s">
        <v>13535</v>
      </c>
      <c r="E283" s="20" t="s">
        <v>9262</v>
      </c>
      <c r="F283" s="113">
        <v>19.3</v>
      </c>
      <c r="G283" s="19" t="s">
        <v>166</v>
      </c>
      <c r="H283" s="43"/>
      <c r="I283" s="34" t="s">
        <v>3293</v>
      </c>
      <c r="J283" s="34" t="s">
        <v>3293</v>
      </c>
    </row>
    <row r="284" spans="1:10" s="198" customFormat="1" ht="57" customHeight="1" x14ac:dyDescent="0.2">
      <c r="A284" s="33" t="s">
        <v>3733</v>
      </c>
      <c r="B284" s="33" t="s">
        <v>292</v>
      </c>
      <c r="C284" s="33" t="s">
        <v>8612</v>
      </c>
      <c r="D284" s="20" t="s">
        <v>6824</v>
      </c>
      <c r="E284" s="20" t="s">
        <v>9263</v>
      </c>
      <c r="F284" s="113">
        <v>37.6</v>
      </c>
      <c r="G284" s="19" t="s">
        <v>166</v>
      </c>
      <c r="H284" s="43">
        <v>9414.66</v>
      </c>
      <c r="I284" s="19" t="s">
        <v>10996</v>
      </c>
      <c r="J284" s="19" t="s">
        <v>13857</v>
      </c>
    </row>
    <row r="285" spans="1:10" s="198" customFormat="1" ht="43.5" customHeight="1" x14ac:dyDescent="0.2">
      <c r="A285" s="33" t="s">
        <v>3734</v>
      </c>
      <c r="B285" s="33" t="s">
        <v>292</v>
      </c>
      <c r="C285" s="33" t="s">
        <v>42</v>
      </c>
      <c r="D285" s="642" t="s">
        <v>13535</v>
      </c>
      <c r="E285" s="20" t="s">
        <v>9262</v>
      </c>
      <c r="F285" s="113">
        <f>36.3-13</f>
        <v>23.299999999999997</v>
      </c>
      <c r="G285" s="19" t="s">
        <v>166</v>
      </c>
      <c r="H285" s="43"/>
      <c r="I285" s="34" t="s">
        <v>5539</v>
      </c>
      <c r="J285" s="34" t="s">
        <v>5539</v>
      </c>
    </row>
    <row r="286" spans="1:10" s="198" customFormat="1" ht="43.5" customHeight="1" x14ac:dyDescent="0.2">
      <c r="A286" s="33" t="s">
        <v>3735</v>
      </c>
      <c r="B286" s="33" t="s">
        <v>292</v>
      </c>
      <c r="C286" s="33" t="s">
        <v>42</v>
      </c>
      <c r="D286" s="642" t="s">
        <v>13535</v>
      </c>
      <c r="E286" s="20" t="s">
        <v>9262</v>
      </c>
      <c r="F286" s="113">
        <v>9.6</v>
      </c>
      <c r="G286" s="19" t="s">
        <v>166</v>
      </c>
      <c r="H286" s="43"/>
      <c r="I286" s="34" t="s">
        <v>3293</v>
      </c>
      <c r="J286" s="34" t="s">
        <v>3293</v>
      </c>
    </row>
    <row r="287" spans="1:10" s="198" customFormat="1" ht="43.5" customHeight="1" x14ac:dyDescent="0.2">
      <c r="A287" s="33" t="s">
        <v>3736</v>
      </c>
      <c r="B287" s="33" t="s">
        <v>292</v>
      </c>
      <c r="C287" s="33" t="s">
        <v>42</v>
      </c>
      <c r="D287" s="642" t="s">
        <v>13535</v>
      </c>
      <c r="E287" s="20" t="s">
        <v>9262</v>
      </c>
      <c r="F287" s="113">
        <f>13.7</f>
        <v>13.7</v>
      </c>
      <c r="G287" s="19" t="s">
        <v>166</v>
      </c>
      <c r="H287" s="43"/>
      <c r="I287" s="34" t="s">
        <v>3293</v>
      </c>
      <c r="J287" s="34" t="s">
        <v>3293</v>
      </c>
    </row>
    <row r="288" spans="1:10" s="198" customFormat="1" ht="43.5" customHeight="1" x14ac:dyDescent="0.2">
      <c r="A288" s="33" t="s">
        <v>3737</v>
      </c>
      <c r="B288" s="33" t="s">
        <v>292</v>
      </c>
      <c r="C288" s="33" t="s">
        <v>42</v>
      </c>
      <c r="D288" s="642" t="s">
        <v>13535</v>
      </c>
      <c r="E288" s="20" t="s">
        <v>9261</v>
      </c>
      <c r="F288" s="113">
        <v>14</v>
      </c>
      <c r="G288" s="19" t="s">
        <v>166</v>
      </c>
      <c r="H288" s="43"/>
      <c r="I288" s="34" t="s">
        <v>5764</v>
      </c>
      <c r="J288" s="34" t="s">
        <v>13839</v>
      </c>
    </row>
    <row r="289" spans="1:10" s="198" customFormat="1" ht="43.5" customHeight="1" x14ac:dyDescent="0.2">
      <c r="A289" s="33" t="s">
        <v>3916</v>
      </c>
      <c r="B289" s="33" t="s">
        <v>292</v>
      </c>
      <c r="C289" s="33" t="s">
        <v>42</v>
      </c>
      <c r="D289" s="642" t="s">
        <v>13535</v>
      </c>
      <c r="E289" s="20" t="s">
        <v>9262</v>
      </c>
      <c r="F289" s="113">
        <f>36.3-23.3</f>
        <v>12.999999999999996</v>
      </c>
      <c r="G289" s="19" t="s">
        <v>166</v>
      </c>
      <c r="H289" s="43"/>
      <c r="I289" s="12" t="s">
        <v>3293</v>
      </c>
      <c r="J289" s="12" t="s">
        <v>3293</v>
      </c>
    </row>
    <row r="290" spans="1:10" s="198" customFormat="1" ht="44.25" customHeight="1" x14ac:dyDescent="0.2">
      <c r="A290" s="33" t="s">
        <v>7087</v>
      </c>
      <c r="B290" s="33" t="s">
        <v>292</v>
      </c>
      <c r="C290" s="33" t="s">
        <v>42</v>
      </c>
      <c r="D290" s="111" t="s">
        <v>13535</v>
      </c>
      <c r="E290" s="33" t="s">
        <v>4044</v>
      </c>
      <c r="F290" s="93">
        <v>63.4</v>
      </c>
      <c r="G290" s="20" t="s">
        <v>166</v>
      </c>
      <c r="H290" s="43"/>
      <c r="I290" s="649" t="s">
        <v>3287</v>
      </c>
      <c r="J290" s="649" t="s">
        <v>3287</v>
      </c>
    </row>
    <row r="291" spans="1:10" s="198" customFormat="1" ht="44.25" customHeight="1" x14ac:dyDescent="0.2">
      <c r="A291" s="33" t="s">
        <v>9246</v>
      </c>
      <c r="B291" s="33" t="s">
        <v>292</v>
      </c>
      <c r="C291" s="33" t="s">
        <v>42</v>
      </c>
      <c r="D291" s="111" t="s">
        <v>13535</v>
      </c>
      <c r="E291" s="33" t="s">
        <v>9260</v>
      </c>
      <c r="F291" s="93">
        <v>15.2</v>
      </c>
      <c r="G291" s="20" t="s">
        <v>166</v>
      </c>
      <c r="H291" s="43"/>
      <c r="I291" s="649" t="s">
        <v>3287</v>
      </c>
      <c r="J291" s="649" t="s">
        <v>3287</v>
      </c>
    </row>
    <row r="292" spans="1:10" s="198" customFormat="1" ht="44.25" customHeight="1" x14ac:dyDescent="0.2">
      <c r="A292" s="33" t="s">
        <v>13618</v>
      </c>
      <c r="B292" s="33" t="s">
        <v>13619</v>
      </c>
      <c r="C292" s="33" t="s">
        <v>42</v>
      </c>
      <c r="D292" s="111" t="s">
        <v>13535</v>
      </c>
      <c r="E292" s="33" t="s">
        <v>9260</v>
      </c>
      <c r="F292" s="93">
        <v>6</v>
      </c>
      <c r="G292" s="20" t="s">
        <v>166</v>
      </c>
      <c r="H292" s="43"/>
      <c r="I292" s="32" t="s">
        <v>13620</v>
      </c>
      <c r="J292" s="32" t="s">
        <v>13620</v>
      </c>
    </row>
    <row r="293" spans="1:10" s="198" customFormat="1" ht="44.25" customHeight="1" x14ac:dyDescent="0.2">
      <c r="A293" s="33" t="s">
        <v>13868</v>
      </c>
      <c r="B293" s="33" t="s">
        <v>292</v>
      </c>
      <c r="C293" s="33" t="s">
        <v>42</v>
      </c>
      <c r="D293" s="111" t="s">
        <v>13535</v>
      </c>
      <c r="E293" s="20" t="s">
        <v>13869</v>
      </c>
      <c r="F293" s="113">
        <v>10.7</v>
      </c>
      <c r="G293" s="19" t="s">
        <v>166</v>
      </c>
      <c r="I293" s="19" t="s">
        <v>3933</v>
      </c>
      <c r="J293" s="19" t="s">
        <v>13870</v>
      </c>
    </row>
    <row r="294" spans="1:10" ht="27.75" customHeight="1" x14ac:dyDescent="0.2">
      <c r="A294" s="646" t="s">
        <v>2549</v>
      </c>
      <c r="B294" s="646" t="s">
        <v>8659</v>
      </c>
      <c r="C294" s="646" t="s">
        <v>6026</v>
      </c>
      <c r="D294" s="642" t="s">
        <v>5624</v>
      </c>
      <c r="E294" s="642" t="s">
        <v>2439</v>
      </c>
      <c r="F294" s="113">
        <f>1570.9</f>
        <v>1570.9</v>
      </c>
      <c r="G294" s="646">
        <v>1934</v>
      </c>
      <c r="H294" s="43">
        <v>17700000</v>
      </c>
      <c r="I294" s="12" t="s">
        <v>3293</v>
      </c>
      <c r="J294" s="646" t="s">
        <v>384</v>
      </c>
    </row>
    <row r="295" spans="1:10" ht="48.75" customHeight="1" x14ac:dyDescent="0.2">
      <c r="A295" s="646" t="s">
        <v>2550</v>
      </c>
      <c r="B295" s="646" t="s">
        <v>3982</v>
      </c>
      <c r="C295" s="646" t="s">
        <v>6025</v>
      </c>
      <c r="D295" s="642" t="s">
        <v>5625</v>
      </c>
      <c r="E295" s="642" t="s">
        <v>5930</v>
      </c>
      <c r="F295" s="113">
        <f>4082.9-1776.1</f>
        <v>2306.8000000000002</v>
      </c>
      <c r="G295" s="646">
        <v>1962</v>
      </c>
      <c r="H295" s="977">
        <v>57232744.840000004</v>
      </c>
      <c r="I295" s="646" t="s">
        <v>3981</v>
      </c>
      <c r="J295" s="646" t="s">
        <v>3981</v>
      </c>
    </row>
    <row r="296" spans="1:10" ht="46.5" customHeight="1" x14ac:dyDescent="0.2">
      <c r="A296" s="646" t="s">
        <v>3983</v>
      </c>
      <c r="B296" s="646" t="s">
        <v>2432</v>
      </c>
      <c r="C296" s="646" t="s">
        <v>6025</v>
      </c>
      <c r="D296" s="642" t="s">
        <v>5625</v>
      </c>
      <c r="E296" s="642" t="s">
        <v>8637</v>
      </c>
      <c r="F296" s="113">
        <v>1776.1</v>
      </c>
      <c r="G296" s="646">
        <v>2002</v>
      </c>
      <c r="H296" s="978"/>
      <c r="I296" s="646" t="s">
        <v>3984</v>
      </c>
      <c r="J296" s="646" t="s">
        <v>3984</v>
      </c>
    </row>
    <row r="297" spans="1:10" ht="42.75" customHeight="1" x14ac:dyDescent="0.2">
      <c r="A297" s="646" t="s">
        <v>3738</v>
      </c>
      <c r="B297" s="646" t="s">
        <v>11080</v>
      </c>
      <c r="C297" s="646" t="s">
        <v>6025</v>
      </c>
      <c r="D297" s="642" t="s">
        <v>6634</v>
      </c>
      <c r="E297" s="642" t="s">
        <v>63</v>
      </c>
      <c r="F297" s="113">
        <v>113.6</v>
      </c>
      <c r="G297" s="646">
        <v>1962</v>
      </c>
      <c r="H297" s="43">
        <v>1087358.75</v>
      </c>
      <c r="I297" s="646" t="s">
        <v>3984</v>
      </c>
      <c r="J297" s="646" t="s">
        <v>3984</v>
      </c>
    </row>
    <row r="298" spans="1:10" ht="47.25" customHeight="1" x14ac:dyDescent="0.2">
      <c r="A298" s="646" t="s">
        <v>2551</v>
      </c>
      <c r="B298" s="646" t="s">
        <v>11070</v>
      </c>
      <c r="C298" s="646" t="s">
        <v>10602</v>
      </c>
      <c r="D298" s="642" t="s">
        <v>6102</v>
      </c>
      <c r="E298" s="642" t="s">
        <v>2439</v>
      </c>
      <c r="F298" s="113">
        <v>640.1</v>
      </c>
      <c r="G298" s="646">
        <v>1959</v>
      </c>
      <c r="H298" s="43">
        <v>16513383.01</v>
      </c>
      <c r="I298" s="646" t="s">
        <v>5949</v>
      </c>
      <c r="J298" s="646" t="s">
        <v>5949</v>
      </c>
    </row>
    <row r="299" spans="1:10" ht="48.75" customHeight="1" x14ac:dyDescent="0.2">
      <c r="A299" s="646" t="s">
        <v>2552</v>
      </c>
      <c r="B299" s="646" t="s">
        <v>11070</v>
      </c>
      <c r="C299" s="646" t="s">
        <v>10603</v>
      </c>
      <c r="D299" s="642" t="s">
        <v>6101</v>
      </c>
      <c r="E299" s="642" t="s">
        <v>5930</v>
      </c>
      <c r="F299" s="113">
        <v>1575.7</v>
      </c>
      <c r="G299" s="646">
        <v>1968</v>
      </c>
      <c r="H299" s="43">
        <v>42375347.369999997</v>
      </c>
      <c r="I299" s="646" t="s">
        <v>5949</v>
      </c>
      <c r="J299" s="646" t="s">
        <v>5949</v>
      </c>
    </row>
    <row r="300" spans="1:10" ht="48" customHeight="1" x14ac:dyDescent="0.2">
      <c r="A300" s="646" t="s">
        <v>2553</v>
      </c>
      <c r="B300" s="646" t="s">
        <v>9299</v>
      </c>
      <c r="C300" s="646" t="s">
        <v>7021</v>
      </c>
      <c r="D300" s="642" t="s">
        <v>9037</v>
      </c>
      <c r="E300" s="642" t="s">
        <v>2439</v>
      </c>
      <c r="F300" s="113">
        <v>1181.7</v>
      </c>
      <c r="G300" s="646" t="s">
        <v>41</v>
      </c>
      <c r="H300" s="43">
        <v>3405186.72</v>
      </c>
      <c r="I300" s="646" t="s">
        <v>3985</v>
      </c>
      <c r="J300" s="646" t="s">
        <v>3985</v>
      </c>
    </row>
    <row r="301" spans="1:10" s="5" customFormat="1" ht="11.25" customHeight="1" x14ac:dyDescent="0.2">
      <c r="A301" s="646" t="s">
        <v>2554</v>
      </c>
      <c r="B301" s="646" t="s">
        <v>2148</v>
      </c>
      <c r="C301" s="646" t="s">
        <v>358</v>
      </c>
      <c r="D301" s="642"/>
      <c r="E301" s="642"/>
      <c r="F301" s="113">
        <v>50</v>
      </c>
      <c r="G301" s="646">
        <v>1990</v>
      </c>
      <c r="H301" s="43"/>
      <c r="I301" s="646" t="s">
        <v>527</v>
      </c>
      <c r="J301" s="646" t="s">
        <v>527</v>
      </c>
    </row>
    <row r="302" spans="1:10" s="5" customFormat="1" ht="11.25" customHeight="1" x14ac:dyDescent="0.2">
      <c r="A302" s="646" t="s">
        <v>2555</v>
      </c>
      <c r="B302" s="646" t="s">
        <v>2147</v>
      </c>
      <c r="C302" s="646" t="s">
        <v>359</v>
      </c>
      <c r="D302" s="642"/>
      <c r="E302" s="642"/>
      <c r="F302" s="113"/>
      <c r="G302" s="646">
        <v>1967</v>
      </c>
      <c r="H302" s="43"/>
      <c r="I302" s="646" t="s">
        <v>527</v>
      </c>
      <c r="J302" s="646" t="s">
        <v>527</v>
      </c>
    </row>
    <row r="303" spans="1:10" s="5" customFormat="1" ht="24" customHeight="1" x14ac:dyDescent="0.2">
      <c r="A303" s="646" t="s">
        <v>2556</v>
      </c>
      <c r="B303" s="646" t="s">
        <v>2433</v>
      </c>
      <c r="C303" s="646" t="s">
        <v>6027</v>
      </c>
      <c r="D303" s="642"/>
      <c r="E303" s="642" t="s">
        <v>2419</v>
      </c>
      <c r="F303" s="113">
        <v>147.19999999999999</v>
      </c>
      <c r="G303" s="646" t="s">
        <v>3300</v>
      </c>
      <c r="H303" s="43"/>
      <c r="I303" s="646" t="s">
        <v>529</v>
      </c>
      <c r="J303" s="646" t="s">
        <v>529</v>
      </c>
    </row>
    <row r="304" spans="1:10" s="60" customFormat="1" ht="45.75" customHeight="1" x14ac:dyDescent="0.2">
      <c r="A304" s="646" t="s">
        <v>2557</v>
      </c>
      <c r="B304" s="646" t="s">
        <v>8659</v>
      </c>
      <c r="C304" s="646" t="s">
        <v>6028</v>
      </c>
      <c r="D304" s="642" t="s">
        <v>9110</v>
      </c>
      <c r="E304" s="642" t="s">
        <v>8382</v>
      </c>
      <c r="F304" s="113">
        <f>2512-12</f>
        <v>2500</v>
      </c>
      <c r="G304" s="646">
        <v>1977</v>
      </c>
      <c r="H304" s="43">
        <v>30885743.359999999</v>
      </c>
      <c r="I304" s="646" t="s">
        <v>101</v>
      </c>
      <c r="J304" s="646" t="s">
        <v>101</v>
      </c>
    </row>
    <row r="305" spans="1:18" ht="34.5" customHeight="1" x14ac:dyDescent="0.2">
      <c r="A305" s="647" t="s">
        <v>3904</v>
      </c>
      <c r="B305" s="33" t="s">
        <v>3964</v>
      </c>
      <c r="C305" s="141" t="s">
        <v>6029</v>
      </c>
      <c r="D305" s="20"/>
      <c r="E305" s="33" t="s">
        <v>71</v>
      </c>
      <c r="F305" s="93">
        <v>12</v>
      </c>
      <c r="G305" s="20" t="s">
        <v>70</v>
      </c>
      <c r="H305" s="660"/>
      <c r="I305" s="34" t="s">
        <v>3963</v>
      </c>
      <c r="J305" s="646" t="s">
        <v>101</v>
      </c>
    </row>
    <row r="306" spans="1:18" s="60" customFormat="1" ht="46.5" customHeight="1" x14ac:dyDescent="0.2">
      <c r="A306" s="646" t="s">
        <v>4456</v>
      </c>
      <c r="B306" s="646" t="s">
        <v>102</v>
      </c>
      <c r="C306" s="101" t="s">
        <v>6028</v>
      </c>
      <c r="D306" s="642" t="s">
        <v>7111</v>
      </c>
      <c r="E306" s="33" t="s">
        <v>4458</v>
      </c>
      <c r="F306" s="113">
        <f>249.9-40</f>
        <v>209.9</v>
      </c>
      <c r="G306" s="646" t="s">
        <v>70</v>
      </c>
      <c r="H306" s="977">
        <v>3072590.47</v>
      </c>
      <c r="I306" s="646" t="s">
        <v>101</v>
      </c>
      <c r="J306" s="646" t="s">
        <v>101</v>
      </c>
    </row>
    <row r="307" spans="1:18" s="60" customFormat="1" ht="43.5" customHeight="1" x14ac:dyDescent="0.2">
      <c r="A307" s="646" t="s">
        <v>4457</v>
      </c>
      <c r="B307" s="646" t="s">
        <v>6896</v>
      </c>
      <c r="C307" s="101" t="s">
        <v>6028</v>
      </c>
      <c r="D307" s="642" t="s">
        <v>7111</v>
      </c>
      <c r="E307" s="33" t="s">
        <v>4458</v>
      </c>
      <c r="F307" s="113">
        <v>40</v>
      </c>
      <c r="G307" s="646">
        <v>1977</v>
      </c>
      <c r="H307" s="978"/>
      <c r="I307" s="84" t="s">
        <v>7168</v>
      </c>
      <c r="J307" s="84" t="s">
        <v>7168</v>
      </c>
    </row>
    <row r="308" spans="1:18" ht="38.25" customHeight="1" x14ac:dyDescent="0.2">
      <c r="A308" s="646" t="s">
        <v>2558</v>
      </c>
      <c r="B308" s="646" t="s">
        <v>11078</v>
      </c>
      <c r="C308" s="646" t="s">
        <v>6030</v>
      </c>
      <c r="D308" s="642" t="s">
        <v>9340</v>
      </c>
      <c r="E308" s="642" t="s">
        <v>90</v>
      </c>
      <c r="F308" s="113">
        <v>400.22</v>
      </c>
      <c r="G308" s="646">
        <v>1962</v>
      </c>
      <c r="H308" s="43">
        <v>4920571.05</v>
      </c>
      <c r="I308" s="646" t="s">
        <v>3064</v>
      </c>
      <c r="J308" s="646" t="s">
        <v>3064</v>
      </c>
    </row>
    <row r="309" spans="1:18" ht="84.75" customHeight="1" x14ac:dyDescent="0.2">
      <c r="A309" s="646" t="s">
        <v>2559</v>
      </c>
      <c r="B309" s="646" t="s">
        <v>11078</v>
      </c>
      <c r="C309" s="646" t="s">
        <v>10667</v>
      </c>
      <c r="D309" s="642" t="s">
        <v>10836</v>
      </c>
      <c r="E309" s="33" t="s">
        <v>4458</v>
      </c>
      <c r="F309" s="113">
        <v>217.2</v>
      </c>
      <c r="G309" s="646">
        <v>1953</v>
      </c>
      <c r="H309" s="43">
        <v>2686840.02</v>
      </c>
      <c r="I309" s="646" t="s">
        <v>8545</v>
      </c>
      <c r="J309" s="479" t="s">
        <v>12726</v>
      </c>
    </row>
    <row r="310" spans="1:18" ht="36" customHeight="1" x14ac:dyDescent="0.2">
      <c r="A310" s="646" t="s">
        <v>2560</v>
      </c>
      <c r="B310" s="646" t="s">
        <v>11078</v>
      </c>
      <c r="C310" s="646" t="s">
        <v>8648</v>
      </c>
      <c r="D310" s="642" t="s">
        <v>8723</v>
      </c>
      <c r="E310" s="642" t="s">
        <v>170</v>
      </c>
      <c r="F310" s="113">
        <f>1698.3-778.51</f>
        <v>919.79</v>
      </c>
      <c r="G310" s="646">
        <v>1964</v>
      </c>
      <c r="H310" s="979">
        <v>14349921.710000001</v>
      </c>
      <c r="I310" s="646" t="s">
        <v>8545</v>
      </c>
      <c r="J310" s="646" t="s">
        <v>8545</v>
      </c>
    </row>
    <row r="311" spans="1:18" ht="46.5" customHeight="1" x14ac:dyDescent="0.2">
      <c r="A311" s="647" t="s">
        <v>13468</v>
      </c>
      <c r="B311" s="33" t="s">
        <v>292</v>
      </c>
      <c r="C311" s="647" t="s">
        <v>8648</v>
      </c>
      <c r="D311" s="642" t="s">
        <v>8723</v>
      </c>
      <c r="E311" s="642" t="s">
        <v>170</v>
      </c>
      <c r="F311" s="242">
        <v>778.51</v>
      </c>
      <c r="G311" s="647" t="s">
        <v>69</v>
      </c>
      <c r="H311" s="980"/>
      <c r="I311" s="646" t="s">
        <v>3979</v>
      </c>
      <c r="J311" s="646" t="s">
        <v>3979</v>
      </c>
    </row>
    <row r="312" spans="1:18" ht="36" customHeight="1" x14ac:dyDescent="0.2">
      <c r="A312" s="646" t="s">
        <v>2561</v>
      </c>
      <c r="B312" s="646" t="s">
        <v>11078</v>
      </c>
      <c r="C312" s="646" t="s">
        <v>8649</v>
      </c>
      <c r="D312" s="99" t="s">
        <v>8830</v>
      </c>
      <c r="E312" s="642" t="s">
        <v>8655</v>
      </c>
      <c r="F312" s="113">
        <f>1527.5-29.5</f>
        <v>1498</v>
      </c>
      <c r="G312" s="646">
        <v>1982</v>
      </c>
      <c r="H312" s="43">
        <v>14100398.33</v>
      </c>
      <c r="I312" s="646" t="s">
        <v>8920</v>
      </c>
      <c r="J312" s="646" t="s">
        <v>8920</v>
      </c>
    </row>
    <row r="313" spans="1:18" ht="36" customHeight="1" x14ac:dyDescent="0.2">
      <c r="A313" s="646" t="s">
        <v>2562</v>
      </c>
      <c r="B313" s="646" t="s">
        <v>8944</v>
      </c>
      <c r="C313" s="646" t="s">
        <v>6031</v>
      </c>
      <c r="D313" s="99" t="s">
        <v>8828</v>
      </c>
      <c r="E313" s="642" t="s">
        <v>8655</v>
      </c>
      <c r="F313" s="113">
        <v>2275.9</v>
      </c>
      <c r="G313" s="646" t="s">
        <v>67</v>
      </c>
      <c r="H313" s="43">
        <v>8571449.0600000005</v>
      </c>
      <c r="I313" s="646" t="s">
        <v>8920</v>
      </c>
      <c r="J313" s="646" t="s">
        <v>8920</v>
      </c>
    </row>
    <row r="314" spans="1:18" s="60" customFormat="1" ht="46.5" customHeight="1" x14ac:dyDescent="0.2">
      <c r="A314" s="646" t="s">
        <v>2563</v>
      </c>
      <c r="B314" s="646" t="s">
        <v>500</v>
      </c>
      <c r="C314" s="646" t="s">
        <v>6637</v>
      </c>
      <c r="D314" s="99" t="s">
        <v>6697</v>
      </c>
      <c r="E314" s="642" t="s">
        <v>68</v>
      </c>
      <c r="F314" s="113">
        <f>4827.6</f>
        <v>4827.6000000000004</v>
      </c>
      <c r="G314" s="646">
        <v>1974</v>
      </c>
      <c r="H314" s="43">
        <v>53230952.090000004</v>
      </c>
      <c r="I314" s="646" t="s">
        <v>3979</v>
      </c>
      <c r="J314" s="646" t="s">
        <v>3979</v>
      </c>
    </row>
    <row r="315" spans="1:18" s="198" customFormat="1" ht="34.5" customHeight="1" x14ac:dyDescent="0.2">
      <c r="A315" s="646" t="s">
        <v>2565</v>
      </c>
      <c r="B315" s="101" t="s">
        <v>3673</v>
      </c>
      <c r="C315" s="101" t="s">
        <v>6304</v>
      </c>
      <c r="D315" s="642" t="s">
        <v>6595</v>
      </c>
      <c r="E315" s="642" t="s">
        <v>2437</v>
      </c>
      <c r="F315" s="113">
        <v>531.70000000000005</v>
      </c>
      <c r="G315" s="646" t="s">
        <v>171</v>
      </c>
      <c r="H315" s="43">
        <v>4492641.6900000004</v>
      </c>
      <c r="I315" s="646" t="s">
        <v>3790</v>
      </c>
      <c r="J315" s="646" t="s">
        <v>3790</v>
      </c>
    </row>
    <row r="316" spans="1:18" ht="26.25" customHeight="1" x14ac:dyDescent="0.2">
      <c r="A316" s="647" t="s">
        <v>5907</v>
      </c>
      <c r="B316" s="241"/>
      <c r="C316" s="241"/>
      <c r="D316" s="642"/>
      <c r="E316" s="380" t="s">
        <v>5989</v>
      </c>
      <c r="F316" s="59">
        <v>8</v>
      </c>
      <c r="G316" s="647" t="s">
        <v>171</v>
      </c>
      <c r="H316" s="23"/>
      <c r="I316" s="647" t="s">
        <v>5917</v>
      </c>
      <c r="J316" s="646" t="s">
        <v>3790</v>
      </c>
    </row>
    <row r="317" spans="1:18" ht="37.5" customHeight="1" x14ac:dyDescent="0.2">
      <c r="A317" s="647" t="s">
        <v>9399</v>
      </c>
      <c r="B317" s="241" t="s">
        <v>9400</v>
      </c>
      <c r="C317" s="101" t="s">
        <v>6304</v>
      </c>
      <c r="D317" s="642"/>
      <c r="E317" s="380" t="s">
        <v>9401</v>
      </c>
      <c r="F317" s="59">
        <v>9</v>
      </c>
      <c r="G317" s="647" t="s">
        <v>171</v>
      </c>
      <c r="H317" s="23"/>
      <c r="I317" s="647" t="s">
        <v>9402</v>
      </c>
      <c r="J317" s="646" t="s">
        <v>3790</v>
      </c>
    </row>
    <row r="318" spans="1:18" ht="36" customHeight="1" x14ac:dyDescent="0.2">
      <c r="A318" s="646" t="s">
        <v>2566</v>
      </c>
      <c r="B318" s="646" t="s">
        <v>6305</v>
      </c>
      <c r="C318" s="646" t="s">
        <v>6032</v>
      </c>
      <c r="D318" s="642" t="s">
        <v>9122</v>
      </c>
      <c r="E318" s="642" t="s">
        <v>68</v>
      </c>
      <c r="F318" s="113">
        <f>2216.6-142</f>
        <v>2074.6</v>
      </c>
      <c r="G318" s="646">
        <v>1953</v>
      </c>
      <c r="H318" s="43">
        <v>27420117.809999999</v>
      </c>
      <c r="I318" s="646" t="s">
        <v>3790</v>
      </c>
      <c r="J318" s="646" t="s">
        <v>3790</v>
      </c>
    </row>
    <row r="319" spans="1:18" ht="36" customHeight="1" x14ac:dyDescent="0.2">
      <c r="A319" s="646" t="s">
        <v>12518</v>
      </c>
      <c r="B319" s="66" t="s">
        <v>292</v>
      </c>
      <c r="C319" s="646" t="s">
        <v>6032</v>
      </c>
      <c r="D319" s="642" t="s">
        <v>9122</v>
      </c>
      <c r="E319" s="642" t="s">
        <v>12519</v>
      </c>
      <c r="F319" s="113">
        <v>142</v>
      </c>
      <c r="G319" s="646" t="s">
        <v>552</v>
      </c>
      <c r="I319" s="646" t="s">
        <v>12520</v>
      </c>
      <c r="J319" s="646" t="s">
        <v>3790</v>
      </c>
    </row>
    <row r="320" spans="1:18" s="60" customFormat="1" ht="35.25" customHeight="1" x14ac:dyDescent="0.2">
      <c r="A320" s="646" t="s">
        <v>5787</v>
      </c>
      <c r="B320" s="66" t="s">
        <v>5735</v>
      </c>
      <c r="C320" s="646" t="s">
        <v>6033</v>
      </c>
      <c r="D320" s="642"/>
      <c r="E320" s="642"/>
      <c r="F320" s="113">
        <v>32</v>
      </c>
      <c r="G320" s="646" t="s">
        <v>70</v>
      </c>
      <c r="H320" s="43"/>
      <c r="I320" s="32" t="s">
        <v>5736</v>
      </c>
      <c r="J320" s="32" t="s">
        <v>5736</v>
      </c>
      <c r="K320" s="4"/>
      <c r="L320" s="4"/>
      <c r="M320" s="4"/>
      <c r="N320" s="4"/>
      <c r="O320" s="4"/>
      <c r="P320" s="4"/>
      <c r="Q320" s="4"/>
      <c r="R320" s="4"/>
    </row>
    <row r="321" spans="1:10" s="5" customFormat="1" ht="23.25" customHeight="1" x14ac:dyDescent="0.2">
      <c r="A321" s="646" t="s">
        <v>2567</v>
      </c>
      <c r="B321" s="646" t="s">
        <v>2139</v>
      </c>
      <c r="C321" s="646" t="s">
        <v>6034</v>
      </c>
      <c r="D321" s="642"/>
      <c r="E321" s="642"/>
      <c r="F321" s="113">
        <v>1750</v>
      </c>
      <c r="G321" s="646">
        <v>1973</v>
      </c>
      <c r="H321" s="43"/>
      <c r="I321" s="646"/>
      <c r="J321" s="646"/>
    </row>
    <row r="322" spans="1:10" s="60" customFormat="1" ht="36.75" customHeight="1" x14ac:dyDescent="0.2">
      <c r="A322" s="646" t="s">
        <v>4475</v>
      </c>
      <c r="B322" s="646" t="s">
        <v>12</v>
      </c>
      <c r="C322" s="646" t="s">
        <v>10747</v>
      </c>
      <c r="D322" s="642" t="s">
        <v>12456</v>
      </c>
      <c r="E322" s="642" t="s">
        <v>2474</v>
      </c>
      <c r="F322" s="113">
        <f>1397</f>
        <v>1397</v>
      </c>
      <c r="G322" s="646">
        <v>1971</v>
      </c>
      <c r="H322" s="43">
        <v>29812510.859999999</v>
      </c>
      <c r="I322" s="646" t="s">
        <v>3293</v>
      </c>
      <c r="J322" s="646" t="s">
        <v>7428</v>
      </c>
    </row>
    <row r="323" spans="1:10" s="60" customFormat="1" ht="48" customHeight="1" x14ac:dyDescent="0.2">
      <c r="A323" s="646" t="s">
        <v>2568</v>
      </c>
      <c r="B323" s="646" t="s">
        <v>12229</v>
      </c>
      <c r="C323" s="646" t="s">
        <v>10747</v>
      </c>
      <c r="D323" s="642"/>
      <c r="E323" s="642" t="s">
        <v>2410</v>
      </c>
      <c r="F323" s="113">
        <v>57.34</v>
      </c>
      <c r="G323" s="646">
        <v>1972</v>
      </c>
      <c r="H323" s="43"/>
      <c r="I323" s="84" t="s">
        <v>10873</v>
      </c>
      <c r="J323" s="84" t="s">
        <v>10873</v>
      </c>
    </row>
    <row r="324" spans="1:10" s="202" customFormat="1" ht="38.25" customHeight="1" x14ac:dyDescent="0.2">
      <c r="A324" s="646" t="s">
        <v>2569</v>
      </c>
      <c r="B324" s="646" t="s">
        <v>11743</v>
      </c>
      <c r="C324" s="646" t="s">
        <v>6231</v>
      </c>
      <c r="D324" s="20" t="s">
        <v>11003</v>
      </c>
      <c r="E324" s="642" t="s">
        <v>2439</v>
      </c>
      <c r="F324" s="113">
        <f>511.4-31.6</f>
        <v>479.79999999999995</v>
      </c>
      <c r="G324" s="646">
        <v>1974</v>
      </c>
      <c r="H324" s="43">
        <v>10239114.32</v>
      </c>
      <c r="I324" s="646" t="s">
        <v>3790</v>
      </c>
      <c r="J324" s="646" t="s">
        <v>3790</v>
      </c>
    </row>
    <row r="325" spans="1:10" s="202" customFormat="1" ht="78" customHeight="1" x14ac:dyDescent="0.2">
      <c r="A325" s="646" t="s">
        <v>9342</v>
      </c>
      <c r="B325" s="66" t="s">
        <v>11008</v>
      </c>
      <c r="C325" s="646" t="s">
        <v>6231</v>
      </c>
      <c r="D325" s="20" t="s">
        <v>11004</v>
      </c>
      <c r="E325" s="33" t="s">
        <v>4038</v>
      </c>
      <c r="F325" s="93">
        <v>31.6</v>
      </c>
      <c r="G325" s="642">
        <v>1974</v>
      </c>
      <c r="H325" s="660">
        <v>674356.01</v>
      </c>
      <c r="I325" s="34" t="s">
        <v>5840</v>
      </c>
      <c r="J325" s="34" t="s">
        <v>5840</v>
      </c>
    </row>
    <row r="326" spans="1:10" s="60" customFormat="1" ht="33.75" customHeight="1" x14ac:dyDescent="0.2">
      <c r="A326" s="646" t="s">
        <v>2570</v>
      </c>
      <c r="B326" s="646" t="s">
        <v>11361</v>
      </c>
      <c r="C326" s="646" t="s">
        <v>6230</v>
      </c>
      <c r="D326" s="642"/>
      <c r="E326" s="642"/>
      <c r="F326" s="113">
        <v>116</v>
      </c>
      <c r="G326" s="646">
        <v>1972</v>
      </c>
      <c r="H326" s="43"/>
      <c r="I326" s="646" t="s">
        <v>411</v>
      </c>
      <c r="J326" s="646" t="s">
        <v>411</v>
      </c>
    </row>
    <row r="327" spans="1:10" s="60" customFormat="1" ht="46.5" customHeight="1" x14ac:dyDescent="0.2">
      <c r="A327" s="646" t="s">
        <v>2571</v>
      </c>
      <c r="B327" s="646" t="s">
        <v>8659</v>
      </c>
      <c r="C327" s="646" t="s">
        <v>8826</v>
      </c>
      <c r="D327" s="99" t="s">
        <v>8716</v>
      </c>
      <c r="E327" s="642" t="s">
        <v>8917</v>
      </c>
      <c r="F327" s="113">
        <f>720-222.5</f>
        <v>497.5</v>
      </c>
      <c r="G327" s="646">
        <v>1940</v>
      </c>
      <c r="H327" s="977">
        <v>6481800</v>
      </c>
      <c r="I327" s="646" t="s">
        <v>545</v>
      </c>
      <c r="J327" s="646" t="s">
        <v>545</v>
      </c>
    </row>
    <row r="328" spans="1:10" s="60" customFormat="1" ht="45.75" customHeight="1" x14ac:dyDescent="0.2">
      <c r="A328" s="646" t="s">
        <v>3739</v>
      </c>
      <c r="B328" s="646" t="s">
        <v>11081</v>
      </c>
      <c r="C328" s="646" t="s">
        <v>8826</v>
      </c>
      <c r="D328" s="99" t="s">
        <v>8716</v>
      </c>
      <c r="E328" s="642" t="s">
        <v>170</v>
      </c>
      <c r="F328" s="113">
        <v>222.5</v>
      </c>
      <c r="G328" s="646">
        <v>1965</v>
      </c>
      <c r="H328" s="978"/>
      <c r="I328" s="646" t="s">
        <v>545</v>
      </c>
      <c r="J328" s="646" t="s">
        <v>545</v>
      </c>
    </row>
    <row r="329" spans="1:10" s="60" customFormat="1" ht="48" customHeight="1" x14ac:dyDescent="0.2">
      <c r="A329" s="646" t="s">
        <v>2572</v>
      </c>
      <c r="B329" s="646" t="s">
        <v>11082</v>
      </c>
      <c r="C329" s="646" t="s">
        <v>8826</v>
      </c>
      <c r="D329" s="20" t="s">
        <v>8717</v>
      </c>
      <c r="E329" s="642" t="s">
        <v>8918</v>
      </c>
      <c r="F329" s="113">
        <v>73.099999999999994</v>
      </c>
      <c r="G329" s="646">
        <v>1940</v>
      </c>
      <c r="H329" s="43">
        <v>658082.75</v>
      </c>
      <c r="I329" s="646" t="s">
        <v>545</v>
      </c>
      <c r="J329" s="646" t="s">
        <v>545</v>
      </c>
    </row>
    <row r="330" spans="1:10" s="60" customFormat="1" ht="48.75" customHeight="1" x14ac:dyDescent="0.2">
      <c r="A330" s="646" t="s">
        <v>2573</v>
      </c>
      <c r="B330" s="646" t="s">
        <v>11083</v>
      </c>
      <c r="C330" s="646" t="s">
        <v>8231</v>
      </c>
      <c r="D330" s="20" t="s">
        <v>7163</v>
      </c>
      <c r="E330" s="642" t="s">
        <v>8918</v>
      </c>
      <c r="F330" s="113">
        <f>287.9+15</f>
        <v>302.89999999999998</v>
      </c>
      <c r="G330" s="646">
        <v>1950</v>
      </c>
      <c r="H330" s="43">
        <v>981647.41</v>
      </c>
      <c r="I330" s="646" t="s">
        <v>92</v>
      </c>
      <c r="J330" s="646" t="s">
        <v>92</v>
      </c>
    </row>
    <row r="331" spans="1:10" s="202" customFormat="1" ht="33.75" customHeight="1" x14ac:dyDescent="0.2">
      <c r="A331" s="646" t="s">
        <v>2574</v>
      </c>
      <c r="B331" s="646" t="s">
        <v>3666</v>
      </c>
      <c r="C331" s="646" t="s">
        <v>6035</v>
      </c>
      <c r="D331" s="642"/>
      <c r="E331" s="642"/>
      <c r="F331" s="113">
        <v>56</v>
      </c>
      <c r="G331" s="646">
        <v>1994</v>
      </c>
      <c r="H331" s="43"/>
      <c r="I331" s="646" t="s">
        <v>3790</v>
      </c>
      <c r="J331" s="646" t="s">
        <v>3790</v>
      </c>
    </row>
    <row r="332" spans="1:10" s="60" customFormat="1" ht="48" customHeight="1" x14ac:dyDescent="0.2">
      <c r="A332" s="646" t="s">
        <v>2575</v>
      </c>
      <c r="B332" s="646" t="s">
        <v>6646</v>
      </c>
      <c r="C332" s="646" t="s">
        <v>7165</v>
      </c>
      <c r="D332" s="642" t="s">
        <v>7239</v>
      </c>
      <c r="E332" s="642" t="s">
        <v>2440</v>
      </c>
      <c r="F332" s="113">
        <v>856.6</v>
      </c>
      <c r="G332" s="646" t="s">
        <v>3994</v>
      </c>
      <c r="H332" s="977">
        <v>4685916.0999999996</v>
      </c>
      <c r="I332" s="646" t="s">
        <v>92</v>
      </c>
      <c r="J332" s="646" t="s">
        <v>92</v>
      </c>
    </row>
    <row r="333" spans="1:10" s="60" customFormat="1" ht="46.5" customHeight="1" x14ac:dyDescent="0.2">
      <c r="A333" s="646" t="s">
        <v>7054</v>
      </c>
      <c r="B333" s="646" t="s">
        <v>6645</v>
      </c>
      <c r="C333" s="646" t="s">
        <v>7165</v>
      </c>
      <c r="D333" s="642" t="s">
        <v>7239</v>
      </c>
      <c r="E333" s="642" t="s">
        <v>2440</v>
      </c>
      <c r="F333" s="113">
        <v>589.29999999999995</v>
      </c>
      <c r="G333" s="646">
        <v>1992</v>
      </c>
      <c r="H333" s="978"/>
      <c r="I333" s="646" t="s">
        <v>92</v>
      </c>
      <c r="J333" s="646" t="s">
        <v>92</v>
      </c>
    </row>
    <row r="334" spans="1:10" s="60" customFormat="1" ht="45.75" customHeight="1" x14ac:dyDescent="0.2">
      <c r="A334" s="646" t="s">
        <v>2576</v>
      </c>
      <c r="B334" s="646" t="s">
        <v>8659</v>
      </c>
      <c r="C334" s="646" t="s">
        <v>10475</v>
      </c>
      <c r="D334" s="642" t="s">
        <v>7161</v>
      </c>
      <c r="E334" s="642" t="s">
        <v>2440</v>
      </c>
      <c r="F334" s="113">
        <v>1036.7</v>
      </c>
      <c r="G334" s="646">
        <v>1971</v>
      </c>
      <c r="H334" s="43">
        <v>16422976.35</v>
      </c>
      <c r="I334" s="646" t="s">
        <v>92</v>
      </c>
      <c r="J334" s="646" t="s">
        <v>92</v>
      </c>
    </row>
    <row r="335" spans="1:10" s="60" customFormat="1" ht="47.25" customHeight="1" x14ac:dyDescent="0.2">
      <c r="A335" s="646" t="s">
        <v>2577</v>
      </c>
      <c r="B335" s="646" t="s">
        <v>8800</v>
      </c>
      <c r="C335" s="646" t="s">
        <v>8799</v>
      </c>
      <c r="D335" s="642" t="s">
        <v>9108</v>
      </c>
      <c r="E335" s="642" t="s">
        <v>2440</v>
      </c>
      <c r="F335" s="216">
        <v>109.3</v>
      </c>
      <c r="G335" s="646"/>
      <c r="H335" s="43">
        <v>1513147.01</v>
      </c>
      <c r="I335" s="646" t="s">
        <v>8914</v>
      </c>
      <c r="J335" s="646" t="s">
        <v>8914</v>
      </c>
    </row>
    <row r="336" spans="1:10" s="5" customFormat="1" ht="25.5" customHeight="1" x14ac:dyDescent="0.2">
      <c r="A336" s="646" t="s">
        <v>2578</v>
      </c>
      <c r="B336" s="646" t="s">
        <v>2149</v>
      </c>
      <c r="C336" s="646" t="s">
        <v>6036</v>
      </c>
      <c r="D336" s="642"/>
      <c r="E336" s="642"/>
      <c r="F336" s="113">
        <v>300</v>
      </c>
      <c r="G336" s="646">
        <v>1988</v>
      </c>
      <c r="H336" s="43"/>
      <c r="I336" s="646" t="s">
        <v>3907</v>
      </c>
      <c r="J336" s="646" t="s">
        <v>3907</v>
      </c>
    </row>
    <row r="337" spans="1:10" ht="36" customHeight="1" x14ac:dyDescent="0.2">
      <c r="A337" s="647" t="s">
        <v>4400</v>
      </c>
      <c r="B337" s="647" t="s">
        <v>11019</v>
      </c>
      <c r="C337" s="647" t="s">
        <v>6037</v>
      </c>
      <c r="D337" s="642" t="s">
        <v>11018</v>
      </c>
      <c r="E337" s="380" t="s">
        <v>2440</v>
      </c>
      <c r="F337" s="59">
        <f>284.7-27.7-1-1</f>
        <v>255</v>
      </c>
      <c r="G337" s="647" t="s">
        <v>83</v>
      </c>
      <c r="H337" s="23">
        <v>3557902.86</v>
      </c>
      <c r="I337" s="11" t="s">
        <v>6797</v>
      </c>
      <c r="J337" s="11" t="s">
        <v>6797</v>
      </c>
    </row>
    <row r="338" spans="1:10" ht="67.5" customHeight="1" x14ac:dyDescent="0.2">
      <c r="A338" s="646" t="s">
        <v>4401</v>
      </c>
      <c r="B338" s="33" t="s">
        <v>11008</v>
      </c>
      <c r="C338" s="141" t="s">
        <v>6037</v>
      </c>
      <c r="D338" s="20" t="s">
        <v>11017</v>
      </c>
      <c r="E338" s="33" t="s">
        <v>2302</v>
      </c>
      <c r="F338" s="216">
        <v>27.7</v>
      </c>
      <c r="G338" s="20" t="s">
        <v>83</v>
      </c>
      <c r="H338" s="43">
        <v>383478.25</v>
      </c>
      <c r="I338" s="34" t="s">
        <v>4397</v>
      </c>
      <c r="J338" s="34" t="s">
        <v>4397</v>
      </c>
    </row>
    <row r="339" spans="1:10" ht="38.25" customHeight="1" x14ac:dyDescent="0.2">
      <c r="A339" s="647" t="s">
        <v>6225</v>
      </c>
      <c r="B339" s="31" t="s">
        <v>292</v>
      </c>
      <c r="C339" s="83" t="s">
        <v>6037</v>
      </c>
      <c r="D339" s="20"/>
      <c r="E339" s="380" t="s">
        <v>174</v>
      </c>
      <c r="F339" s="35">
        <v>1</v>
      </c>
      <c r="G339" s="48" t="s">
        <v>83</v>
      </c>
      <c r="H339" s="27"/>
      <c r="I339" s="108" t="s">
        <v>5447</v>
      </c>
      <c r="J339" s="112" t="s">
        <v>13844</v>
      </c>
    </row>
    <row r="340" spans="1:10" s="5" customFormat="1" ht="47.25" customHeight="1" x14ac:dyDescent="0.2">
      <c r="A340" s="646" t="s">
        <v>6902</v>
      </c>
      <c r="B340" s="33" t="s">
        <v>292</v>
      </c>
      <c r="C340" s="141" t="s">
        <v>6037</v>
      </c>
      <c r="D340" s="20"/>
      <c r="E340" s="642" t="s">
        <v>6903</v>
      </c>
      <c r="F340" s="93">
        <v>1</v>
      </c>
      <c r="G340" s="20" t="s">
        <v>83</v>
      </c>
      <c r="H340" s="660"/>
      <c r="I340" s="630" t="s">
        <v>6899</v>
      </c>
      <c r="J340" s="630" t="s">
        <v>6899</v>
      </c>
    </row>
    <row r="341" spans="1:10" ht="33.75" customHeight="1" x14ac:dyDescent="0.2">
      <c r="A341" s="646" t="s">
        <v>2579</v>
      </c>
      <c r="B341" s="646" t="s">
        <v>494</v>
      </c>
      <c r="C341" s="646" t="s">
        <v>6036</v>
      </c>
      <c r="D341" s="642"/>
      <c r="E341" s="642" t="s">
        <v>2440</v>
      </c>
      <c r="F341" s="113">
        <v>68.5</v>
      </c>
      <c r="G341" s="646" t="s">
        <v>5731</v>
      </c>
      <c r="H341" s="43"/>
      <c r="I341" s="10" t="s">
        <v>6797</v>
      </c>
      <c r="J341" s="10" t="s">
        <v>6797</v>
      </c>
    </row>
    <row r="342" spans="1:10" s="60" customFormat="1" ht="45.75" customHeight="1" x14ac:dyDescent="0.2">
      <c r="A342" s="646" t="s">
        <v>2580</v>
      </c>
      <c r="B342" s="646" t="s">
        <v>11083</v>
      </c>
      <c r="C342" s="646" t="s">
        <v>6330</v>
      </c>
      <c r="D342" s="642" t="s">
        <v>6796</v>
      </c>
      <c r="E342" s="642" t="s">
        <v>2440</v>
      </c>
      <c r="F342" s="113">
        <f>399.7-117.8</f>
        <v>281.89999999999998</v>
      </c>
      <c r="G342" s="646">
        <v>1994</v>
      </c>
      <c r="H342" s="43">
        <v>5533438.8099999996</v>
      </c>
      <c r="I342" s="646" t="s">
        <v>4011</v>
      </c>
      <c r="J342" s="646" t="s">
        <v>4011</v>
      </c>
    </row>
    <row r="343" spans="1:10" s="60" customFormat="1" ht="42.75" customHeight="1" x14ac:dyDescent="0.2">
      <c r="A343" s="646" t="s">
        <v>7098</v>
      </c>
      <c r="B343" s="33" t="s">
        <v>7099</v>
      </c>
      <c r="C343" s="646" t="s">
        <v>6330</v>
      </c>
      <c r="D343" s="642"/>
      <c r="E343" s="642" t="s">
        <v>6903</v>
      </c>
      <c r="F343" s="113">
        <v>117.8</v>
      </c>
      <c r="G343" s="646" t="s">
        <v>3306</v>
      </c>
      <c r="H343" s="43"/>
      <c r="I343" s="647" t="s">
        <v>7168</v>
      </c>
      <c r="J343" s="647" t="s">
        <v>7168</v>
      </c>
    </row>
    <row r="344" spans="1:10" s="60" customFormat="1" ht="35.25" customHeight="1" x14ac:dyDescent="0.2">
      <c r="A344" s="646" t="s">
        <v>2581</v>
      </c>
      <c r="B344" s="646" t="s">
        <v>95</v>
      </c>
      <c r="C344" s="646" t="s">
        <v>5886</v>
      </c>
      <c r="D344" s="140"/>
      <c r="E344" s="642"/>
      <c r="F344" s="113">
        <f>53-53</f>
        <v>0</v>
      </c>
      <c r="G344" s="646">
        <v>1995</v>
      </c>
      <c r="H344" s="43"/>
      <c r="I344" s="646"/>
      <c r="J344" s="646" t="s">
        <v>96</v>
      </c>
    </row>
    <row r="345" spans="1:10" ht="45" customHeight="1" x14ac:dyDescent="0.2">
      <c r="A345" s="630" t="s">
        <v>2582</v>
      </c>
      <c r="B345" s="630" t="s">
        <v>4012</v>
      </c>
      <c r="C345" s="630" t="s">
        <v>6688</v>
      </c>
      <c r="D345" s="642" t="s">
        <v>6690</v>
      </c>
      <c r="E345" s="642" t="s">
        <v>6689</v>
      </c>
      <c r="F345" s="113">
        <v>1860.2</v>
      </c>
      <c r="G345" s="646">
        <v>1968</v>
      </c>
      <c r="H345" s="43">
        <v>25752571.600000001</v>
      </c>
      <c r="I345" s="630" t="s">
        <v>4011</v>
      </c>
      <c r="J345" s="630" t="s">
        <v>4011</v>
      </c>
    </row>
    <row r="346" spans="1:10" s="5" customFormat="1" ht="33.75" customHeight="1" x14ac:dyDescent="0.2">
      <c r="A346" s="646" t="s">
        <v>2583</v>
      </c>
      <c r="B346" s="646" t="s">
        <v>2150</v>
      </c>
      <c r="C346" s="646" t="s">
        <v>5946</v>
      </c>
      <c r="D346" s="642"/>
      <c r="E346" s="642"/>
      <c r="F346" s="113">
        <v>9</v>
      </c>
      <c r="G346" s="646">
        <v>1992</v>
      </c>
      <c r="H346" s="43"/>
      <c r="I346" s="642" t="s">
        <v>6797</v>
      </c>
      <c r="J346" s="642" t="s">
        <v>6797</v>
      </c>
    </row>
    <row r="347" spans="1:10" ht="25.5" customHeight="1" x14ac:dyDescent="0.2">
      <c r="A347" s="646" t="s">
        <v>2584</v>
      </c>
      <c r="B347" s="647" t="s">
        <v>5732</v>
      </c>
      <c r="C347" s="647" t="s">
        <v>5945</v>
      </c>
      <c r="D347" s="642"/>
      <c r="E347" s="380"/>
      <c r="F347" s="59">
        <v>140</v>
      </c>
      <c r="G347" s="647">
        <v>1993</v>
      </c>
      <c r="H347" s="23"/>
      <c r="I347" s="10" t="s">
        <v>320</v>
      </c>
      <c r="J347" s="647" t="s">
        <v>412</v>
      </c>
    </row>
    <row r="348" spans="1:10" s="198" customFormat="1" ht="36" customHeight="1" x14ac:dyDescent="0.2">
      <c r="A348" s="646" t="s">
        <v>2585</v>
      </c>
      <c r="B348" s="646" t="s">
        <v>3666</v>
      </c>
      <c r="C348" s="646" t="s">
        <v>5944</v>
      </c>
      <c r="D348" s="642" t="s">
        <v>10966</v>
      </c>
      <c r="E348" s="642" t="s">
        <v>10902</v>
      </c>
      <c r="F348" s="113">
        <v>283.89999999999998</v>
      </c>
      <c r="G348" s="646">
        <v>1973</v>
      </c>
      <c r="H348" s="43">
        <v>2243272.7599999998</v>
      </c>
      <c r="I348" s="646" t="s">
        <v>3790</v>
      </c>
      <c r="J348" s="646" t="s">
        <v>3790</v>
      </c>
    </row>
    <row r="349" spans="1:10" s="60" customFormat="1" ht="35.25" customHeight="1" x14ac:dyDescent="0.2">
      <c r="A349" s="961" t="s">
        <v>2586</v>
      </c>
      <c r="B349" s="961" t="s">
        <v>11078</v>
      </c>
      <c r="C349" s="646" t="s">
        <v>5943</v>
      </c>
      <c r="D349" s="642" t="s">
        <v>9111</v>
      </c>
      <c r="E349" s="642" t="s">
        <v>2410</v>
      </c>
      <c r="F349" s="113">
        <v>130.6</v>
      </c>
      <c r="G349" s="646">
        <v>1940</v>
      </c>
      <c r="H349" s="43">
        <v>3340019.25</v>
      </c>
      <c r="I349" s="101" t="s">
        <v>89</v>
      </c>
      <c r="J349" s="101" t="s">
        <v>89</v>
      </c>
    </row>
    <row r="350" spans="1:10" s="60" customFormat="1" ht="22.5" customHeight="1" x14ac:dyDescent="0.2">
      <c r="A350" s="962"/>
      <c r="B350" s="962"/>
      <c r="C350" s="646" t="s">
        <v>6566</v>
      </c>
      <c r="D350" s="642"/>
      <c r="E350" s="642" t="s">
        <v>6829</v>
      </c>
      <c r="F350" s="113" t="s">
        <v>6828</v>
      </c>
      <c r="G350" s="646" t="s">
        <v>5783</v>
      </c>
      <c r="H350" s="43"/>
      <c r="I350" s="156"/>
      <c r="J350" s="156"/>
    </row>
    <row r="351" spans="1:10" s="60" customFormat="1" ht="45.75" customHeight="1" x14ac:dyDescent="0.2">
      <c r="A351" s="646" t="s">
        <v>2587</v>
      </c>
      <c r="B351" s="646" t="s">
        <v>8659</v>
      </c>
      <c r="C351" s="646" t="s">
        <v>5942</v>
      </c>
      <c r="D351" s="642" t="s">
        <v>9112</v>
      </c>
      <c r="E351" s="642" t="s">
        <v>8829</v>
      </c>
      <c r="F351" s="113">
        <v>768</v>
      </c>
      <c r="G351" s="646">
        <v>1973</v>
      </c>
      <c r="H351" s="43">
        <v>6068451.8399999999</v>
      </c>
      <c r="I351" s="646" t="s">
        <v>89</v>
      </c>
      <c r="J351" s="646" t="s">
        <v>89</v>
      </c>
    </row>
    <row r="352" spans="1:10" s="5" customFormat="1" ht="27" customHeight="1" x14ac:dyDescent="0.2">
      <c r="A352" s="646" t="s">
        <v>2588</v>
      </c>
      <c r="B352" s="646" t="s">
        <v>5733</v>
      </c>
      <c r="C352" s="646" t="s">
        <v>5947</v>
      </c>
      <c r="D352" s="642" t="s">
        <v>13469</v>
      </c>
      <c r="E352" s="642" t="s">
        <v>2440</v>
      </c>
      <c r="F352" s="113">
        <v>16</v>
      </c>
      <c r="G352" s="646">
        <v>1994</v>
      </c>
      <c r="H352" s="43">
        <v>221503.68</v>
      </c>
      <c r="I352" s="10" t="s">
        <v>13470</v>
      </c>
      <c r="J352" s="10"/>
    </row>
    <row r="353" spans="1:10" s="5" customFormat="1" ht="27" customHeight="1" x14ac:dyDescent="0.2">
      <c r="A353" s="646" t="s">
        <v>2589</v>
      </c>
      <c r="B353" s="646" t="s">
        <v>494</v>
      </c>
      <c r="C353" s="646" t="s">
        <v>6046</v>
      </c>
      <c r="D353" s="642"/>
      <c r="E353" s="642"/>
      <c r="F353" s="113">
        <v>24</v>
      </c>
      <c r="G353" s="646">
        <v>1996</v>
      </c>
      <c r="H353" s="43"/>
      <c r="I353" s="10" t="s">
        <v>6798</v>
      </c>
      <c r="J353" s="10" t="s">
        <v>6798</v>
      </c>
    </row>
    <row r="354" spans="1:10" ht="27" customHeight="1" x14ac:dyDescent="0.2">
      <c r="A354" s="646" t="s">
        <v>2590</v>
      </c>
      <c r="B354" s="646" t="s">
        <v>5734</v>
      </c>
      <c r="C354" s="646" t="s">
        <v>6047</v>
      </c>
      <c r="D354" s="642"/>
      <c r="E354" s="642"/>
      <c r="F354" s="113">
        <v>48</v>
      </c>
      <c r="G354" s="646">
        <v>1994</v>
      </c>
      <c r="H354" s="43"/>
      <c r="I354" s="10" t="s">
        <v>6797</v>
      </c>
      <c r="J354" s="10" t="s">
        <v>6797</v>
      </c>
    </row>
    <row r="355" spans="1:10" ht="24.75" customHeight="1" x14ac:dyDescent="0.2">
      <c r="A355" s="646" t="s">
        <v>2591</v>
      </c>
      <c r="B355" s="646" t="s">
        <v>3691</v>
      </c>
      <c r="C355" s="646" t="s">
        <v>6048</v>
      </c>
      <c r="D355" s="642"/>
      <c r="E355" s="642"/>
      <c r="F355" s="113">
        <v>48</v>
      </c>
      <c r="G355" s="646">
        <v>1987</v>
      </c>
      <c r="H355" s="43"/>
      <c r="I355" s="210" t="s">
        <v>6799</v>
      </c>
      <c r="J355" s="210" t="s">
        <v>6799</v>
      </c>
    </row>
    <row r="356" spans="1:10" ht="26.25" customHeight="1" x14ac:dyDescent="0.2">
      <c r="A356" s="646" t="s">
        <v>4398</v>
      </c>
      <c r="B356" s="646" t="s">
        <v>3238</v>
      </c>
      <c r="C356" s="646" t="s">
        <v>6049</v>
      </c>
      <c r="D356" s="642" t="s">
        <v>13471</v>
      </c>
      <c r="E356" s="642" t="s">
        <v>480</v>
      </c>
      <c r="F356" s="113">
        <f>126.1-20.2</f>
        <v>105.89999999999999</v>
      </c>
      <c r="G356" s="646">
        <v>1982</v>
      </c>
      <c r="H356" s="43"/>
      <c r="I356" s="210" t="s">
        <v>6799</v>
      </c>
      <c r="J356" s="210" t="s">
        <v>6799</v>
      </c>
    </row>
    <row r="357" spans="1:10" ht="67.5" customHeight="1" x14ac:dyDescent="0.2">
      <c r="A357" s="33" t="s">
        <v>4399</v>
      </c>
      <c r="B357" s="33" t="s">
        <v>292</v>
      </c>
      <c r="C357" s="141" t="s">
        <v>6696</v>
      </c>
      <c r="D357" s="642" t="s">
        <v>13472</v>
      </c>
      <c r="E357" s="33" t="s">
        <v>2845</v>
      </c>
      <c r="F357" s="93">
        <v>20.2</v>
      </c>
      <c r="G357" s="20" t="s">
        <v>2830</v>
      </c>
      <c r="H357" s="660"/>
      <c r="I357" s="34" t="s">
        <v>4397</v>
      </c>
      <c r="J357" s="34" t="s">
        <v>4397</v>
      </c>
    </row>
    <row r="358" spans="1:10" s="5" customFormat="1" ht="45.75" customHeight="1" x14ac:dyDescent="0.2">
      <c r="A358" s="33" t="s">
        <v>6900</v>
      </c>
      <c r="B358" s="33" t="s">
        <v>292</v>
      </c>
      <c r="C358" s="141" t="s">
        <v>6696</v>
      </c>
      <c r="D358" s="20"/>
      <c r="E358" s="642" t="s">
        <v>6901</v>
      </c>
      <c r="F358" s="93">
        <v>1</v>
      </c>
      <c r="G358" s="20" t="s">
        <v>2830</v>
      </c>
      <c r="H358" s="660"/>
      <c r="I358" s="630" t="s">
        <v>6899</v>
      </c>
      <c r="J358" s="630" t="s">
        <v>6899</v>
      </c>
    </row>
    <row r="359" spans="1:10" s="60" customFormat="1" ht="47.25" customHeight="1" x14ac:dyDescent="0.2">
      <c r="A359" s="646" t="s">
        <v>2592</v>
      </c>
      <c r="B359" s="646" t="s">
        <v>8659</v>
      </c>
      <c r="C359" s="646" t="s">
        <v>12291</v>
      </c>
      <c r="D359" s="642" t="s">
        <v>8660</v>
      </c>
      <c r="E359" s="642" t="s">
        <v>8652</v>
      </c>
      <c r="F359" s="113">
        <f>600-25</f>
        <v>575</v>
      </c>
      <c r="G359" s="646">
        <v>1986</v>
      </c>
      <c r="H359" s="43">
        <v>3207407.5</v>
      </c>
      <c r="I359" s="646" t="s">
        <v>9</v>
      </c>
      <c r="J359" s="646" t="s">
        <v>9</v>
      </c>
    </row>
    <row r="360" spans="1:10" s="60" customFormat="1" ht="45" customHeight="1" x14ac:dyDescent="0.2">
      <c r="A360" s="646" t="s">
        <v>7169</v>
      </c>
      <c r="B360" s="33" t="s">
        <v>7099</v>
      </c>
      <c r="C360" s="646" t="s">
        <v>6924</v>
      </c>
      <c r="D360" s="642"/>
      <c r="E360" s="642"/>
      <c r="F360" s="113">
        <v>25</v>
      </c>
      <c r="G360" s="646" t="s">
        <v>76</v>
      </c>
      <c r="H360" s="43"/>
      <c r="I360" s="84" t="s">
        <v>7170</v>
      </c>
      <c r="J360" s="84" t="s">
        <v>7170</v>
      </c>
    </row>
    <row r="361" spans="1:10" s="5" customFormat="1" ht="24" customHeight="1" x14ac:dyDescent="0.2">
      <c r="A361" s="646" t="s">
        <v>2593</v>
      </c>
      <c r="B361" s="646" t="s">
        <v>2441</v>
      </c>
      <c r="C361" s="646" t="s">
        <v>6044</v>
      </c>
      <c r="D361" s="642"/>
      <c r="E361" s="642" t="s">
        <v>2442</v>
      </c>
      <c r="F361" s="113"/>
      <c r="G361" s="646">
        <v>1991</v>
      </c>
      <c r="H361" s="43"/>
      <c r="I361" s="646" t="s">
        <v>413</v>
      </c>
      <c r="J361" s="646" t="s">
        <v>413</v>
      </c>
    </row>
    <row r="362" spans="1:10" s="5" customFormat="1" ht="22.5" customHeight="1" x14ac:dyDescent="0.2">
      <c r="A362" s="646" t="s">
        <v>2594</v>
      </c>
      <c r="B362" s="646" t="s">
        <v>2151</v>
      </c>
      <c r="C362" s="646" t="s">
        <v>6044</v>
      </c>
      <c r="D362" s="642"/>
      <c r="E362" s="642"/>
      <c r="F362" s="113"/>
      <c r="G362" s="646">
        <v>1996</v>
      </c>
      <c r="H362" s="43"/>
      <c r="I362" s="646" t="s">
        <v>527</v>
      </c>
      <c r="J362" s="646" t="s">
        <v>527</v>
      </c>
    </row>
    <row r="363" spans="1:10" s="5" customFormat="1" ht="23.25" customHeight="1" x14ac:dyDescent="0.2">
      <c r="A363" s="646" t="s">
        <v>2595</v>
      </c>
      <c r="B363" s="646" t="s">
        <v>2152</v>
      </c>
      <c r="C363" s="646" t="s">
        <v>6044</v>
      </c>
      <c r="D363" s="642"/>
      <c r="E363" s="642"/>
      <c r="F363" s="113"/>
      <c r="G363" s="646">
        <v>1987</v>
      </c>
      <c r="H363" s="43"/>
      <c r="I363" s="646" t="s">
        <v>527</v>
      </c>
      <c r="J363" s="646" t="s">
        <v>527</v>
      </c>
    </row>
    <row r="364" spans="1:10" s="5" customFormat="1" ht="22.5" customHeight="1" x14ac:dyDescent="0.2">
      <c r="A364" s="646" t="s">
        <v>2596</v>
      </c>
      <c r="B364" s="646" t="s">
        <v>2443</v>
      </c>
      <c r="C364" s="646" t="s">
        <v>6044</v>
      </c>
      <c r="D364" s="642"/>
      <c r="E364" s="642" t="s">
        <v>2403</v>
      </c>
      <c r="F364" s="113"/>
      <c r="G364" s="646">
        <v>1996</v>
      </c>
      <c r="H364" s="43"/>
      <c r="I364" s="646" t="s">
        <v>413</v>
      </c>
      <c r="J364" s="646" t="s">
        <v>413</v>
      </c>
    </row>
    <row r="365" spans="1:10" s="60" customFormat="1" ht="57.75" customHeight="1" x14ac:dyDescent="0.2">
      <c r="A365" s="646" t="s">
        <v>3060</v>
      </c>
      <c r="B365" s="646" t="s">
        <v>8659</v>
      </c>
      <c r="C365" s="646" t="s">
        <v>8703</v>
      </c>
      <c r="D365" s="642" t="s">
        <v>8909</v>
      </c>
      <c r="E365" s="642" t="s">
        <v>8702</v>
      </c>
      <c r="F365" s="113">
        <v>570.5</v>
      </c>
      <c r="G365" s="646">
        <v>1971</v>
      </c>
      <c r="H365" s="43">
        <v>11067066.75</v>
      </c>
      <c r="I365" s="646" t="s">
        <v>91</v>
      </c>
      <c r="J365" s="646" t="s">
        <v>91</v>
      </c>
    </row>
    <row r="366" spans="1:10" s="60" customFormat="1" ht="90.75" customHeight="1" x14ac:dyDescent="0.2">
      <c r="A366" s="646" t="s">
        <v>2901</v>
      </c>
      <c r="B366" s="646" t="s">
        <v>11070</v>
      </c>
      <c r="C366" s="646" t="s">
        <v>6001</v>
      </c>
      <c r="D366" s="642" t="s">
        <v>6292</v>
      </c>
      <c r="E366" s="642" t="s">
        <v>8937</v>
      </c>
      <c r="F366" s="113">
        <v>310.3</v>
      </c>
      <c r="G366" s="646">
        <v>1941</v>
      </c>
      <c r="H366" s="43">
        <v>8296075.2999999998</v>
      </c>
      <c r="I366" s="646" t="s">
        <v>12428</v>
      </c>
      <c r="J366" s="479" t="s">
        <v>12429</v>
      </c>
    </row>
    <row r="367" spans="1:10" s="60" customFormat="1" ht="33.75" customHeight="1" x14ac:dyDescent="0.2">
      <c r="A367" s="646" t="s">
        <v>2902</v>
      </c>
      <c r="B367" s="646" t="s">
        <v>11070</v>
      </c>
      <c r="C367" s="961" t="s">
        <v>6002</v>
      </c>
      <c r="D367" s="99" t="s">
        <v>6329</v>
      </c>
      <c r="E367" s="642" t="s">
        <v>6223</v>
      </c>
      <c r="F367" s="113">
        <v>1089.3</v>
      </c>
      <c r="G367" s="646">
        <v>1964</v>
      </c>
      <c r="H367" s="43">
        <v>32075549.59</v>
      </c>
      <c r="I367" s="961" t="s">
        <v>9364</v>
      </c>
      <c r="J367" s="961" t="s">
        <v>9364</v>
      </c>
    </row>
    <row r="368" spans="1:10" ht="11.25" customHeight="1" x14ac:dyDescent="0.2">
      <c r="A368" s="646" t="s">
        <v>3740</v>
      </c>
      <c r="B368" s="646" t="s">
        <v>2421</v>
      </c>
      <c r="C368" s="962"/>
      <c r="D368" s="20"/>
      <c r="E368" s="642" t="s">
        <v>2422</v>
      </c>
      <c r="F368" s="113"/>
      <c r="G368" s="646">
        <v>2004</v>
      </c>
      <c r="H368" s="43"/>
      <c r="I368" s="962"/>
      <c r="J368" s="962"/>
    </row>
    <row r="369" spans="1:10" ht="36" customHeight="1" x14ac:dyDescent="0.2">
      <c r="A369" s="646" t="s">
        <v>2903</v>
      </c>
      <c r="B369" s="646" t="s">
        <v>11070</v>
      </c>
      <c r="C369" s="646" t="s">
        <v>6003</v>
      </c>
      <c r="D369" s="101" t="s">
        <v>5626</v>
      </c>
      <c r="E369" s="642" t="s">
        <v>5564</v>
      </c>
      <c r="F369" s="113">
        <f>667.6</f>
        <v>667.6</v>
      </c>
      <c r="G369" s="646" t="s">
        <v>4343</v>
      </c>
      <c r="H369" s="43">
        <v>21000000</v>
      </c>
      <c r="I369" s="646" t="s">
        <v>8936</v>
      </c>
      <c r="J369" s="646" t="s">
        <v>8936</v>
      </c>
    </row>
    <row r="370" spans="1:10" ht="36.75" customHeight="1" x14ac:dyDescent="0.2">
      <c r="A370" s="646" t="s">
        <v>2904</v>
      </c>
      <c r="B370" s="646" t="s">
        <v>496</v>
      </c>
      <c r="C370" s="646" t="s">
        <v>6003</v>
      </c>
      <c r="D370" s="646" t="s">
        <v>8720</v>
      </c>
      <c r="E370" s="642" t="s">
        <v>63</v>
      </c>
      <c r="F370" s="113">
        <v>172</v>
      </c>
      <c r="G370" s="646">
        <v>1976</v>
      </c>
      <c r="H370" s="43">
        <v>2245320.6800000002</v>
      </c>
      <c r="I370" s="646" t="s">
        <v>8915</v>
      </c>
      <c r="J370" s="646" t="s">
        <v>8915</v>
      </c>
    </row>
    <row r="371" spans="1:10" s="60" customFormat="1" ht="34.5" customHeight="1" x14ac:dyDescent="0.2">
      <c r="A371" s="646" t="s">
        <v>2905</v>
      </c>
      <c r="B371" s="646" t="s">
        <v>11070</v>
      </c>
      <c r="C371" s="101" t="s">
        <v>5797</v>
      </c>
      <c r="D371" s="101" t="s">
        <v>5627</v>
      </c>
      <c r="E371" s="642" t="s">
        <v>5565</v>
      </c>
      <c r="F371" s="113">
        <f>968.6</f>
        <v>968.6</v>
      </c>
      <c r="G371" s="646">
        <v>1980</v>
      </c>
      <c r="H371" s="43">
        <v>27000000</v>
      </c>
      <c r="I371" s="646" t="s">
        <v>8938</v>
      </c>
      <c r="J371" s="646" t="s">
        <v>8938</v>
      </c>
    </row>
    <row r="372" spans="1:10" s="60" customFormat="1" ht="34.5" customHeight="1" x14ac:dyDescent="0.2">
      <c r="A372" s="646" t="s">
        <v>2906</v>
      </c>
      <c r="B372" s="646" t="s">
        <v>496</v>
      </c>
      <c r="C372" s="646" t="s">
        <v>6004</v>
      </c>
      <c r="D372" s="646" t="s">
        <v>8719</v>
      </c>
      <c r="E372" s="642" t="s">
        <v>63</v>
      </c>
      <c r="F372" s="113">
        <v>183</v>
      </c>
      <c r="G372" s="646">
        <v>1980</v>
      </c>
      <c r="H372" s="43">
        <v>2388916.77</v>
      </c>
      <c r="I372" s="646" t="s">
        <v>8916</v>
      </c>
      <c r="J372" s="646" t="s">
        <v>8916</v>
      </c>
    </row>
    <row r="373" spans="1:10" s="60" customFormat="1" ht="36.75" customHeight="1" x14ac:dyDescent="0.2">
      <c r="A373" s="646" t="s">
        <v>2907</v>
      </c>
      <c r="B373" s="646" t="s">
        <v>11084</v>
      </c>
      <c r="C373" s="101" t="s">
        <v>8714</v>
      </c>
      <c r="D373" s="99" t="s">
        <v>5628</v>
      </c>
      <c r="E373" s="642" t="s">
        <v>5566</v>
      </c>
      <c r="F373" s="113">
        <f>3361</f>
        <v>3361</v>
      </c>
      <c r="G373" s="646" t="s">
        <v>2829</v>
      </c>
      <c r="H373" s="43">
        <v>89000000</v>
      </c>
      <c r="I373" s="646" t="s">
        <v>8945</v>
      </c>
      <c r="J373" s="646" t="s">
        <v>8945</v>
      </c>
    </row>
    <row r="374" spans="1:10" s="60" customFormat="1" ht="36.75" customHeight="1" x14ac:dyDescent="0.2">
      <c r="A374" s="646" t="s">
        <v>3741</v>
      </c>
      <c r="B374" s="646" t="s">
        <v>2421</v>
      </c>
      <c r="C374" s="646" t="s">
        <v>8714</v>
      </c>
      <c r="D374" s="147"/>
      <c r="E374" s="642" t="s">
        <v>2422</v>
      </c>
      <c r="F374" s="113"/>
      <c r="G374" s="646">
        <v>2007</v>
      </c>
      <c r="H374" s="43"/>
      <c r="I374" s="646" t="s">
        <v>8945</v>
      </c>
      <c r="J374" s="646" t="s">
        <v>8945</v>
      </c>
    </row>
    <row r="375" spans="1:10" s="5" customFormat="1" ht="38.25" customHeight="1" x14ac:dyDescent="0.2">
      <c r="A375" s="646" t="s">
        <v>2908</v>
      </c>
      <c r="B375" s="646" t="s">
        <v>3666</v>
      </c>
      <c r="C375" s="646" t="s">
        <v>12457</v>
      </c>
      <c r="D375" s="642" t="s">
        <v>6400</v>
      </c>
      <c r="E375" s="642" t="s">
        <v>2419</v>
      </c>
      <c r="F375" s="113">
        <f>376.5-44.8</f>
        <v>331.7</v>
      </c>
      <c r="G375" s="646" t="s">
        <v>2829</v>
      </c>
      <c r="H375" s="43">
        <v>3389441.25</v>
      </c>
      <c r="I375" s="646" t="s">
        <v>3790</v>
      </c>
      <c r="J375" s="646" t="s">
        <v>3790</v>
      </c>
    </row>
    <row r="376" spans="1:10" s="5" customFormat="1" ht="49.5" customHeight="1" x14ac:dyDescent="0.2">
      <c r="A376" s="646" t="s">
        <v>6377</v>
      </c>
      <c r="B376" s="646" t="s">
        <v>6265</v>
      </c>
      <c r="C376" s="646" t="s">
        <v>6045</v>
      </c>
      <c r="D376" s="642"/>
      <c r="E376" s="642" t="s">
        <v>2419</v>
      </c>
      <c r="F376" s="113">
        <f>29.5+15.3</f>
        <v>44.8</v>
      </c>
      <c r="G376" s="646" t="s">
        <v>2829</v>
      </c>
      <c r="H376" s="43"/>
      <c r="I376" s="34" t="s">
        <v>9381</v>
      </c>
      <c r="J376" s="34" t="s">
        <v>9381</v>
      </c>
    </row>
    <row r="377" spans="1:10" ht="35.25" customHeight="1" x14ac:dyDescent="0.2">
      <c r="A377" s="646" t="s">
        <v>2909</v>
      </c>
      <c r="B377" s="646" t="s">
        <v>3666</v>
      </c>
      <c r="C377" s="646" t="s">
        <v>9041</v>
      </c>
      <c r="D377" s="642" t="s">
        <v>6565</v>
      </c>
      <c r="E377" s="642" t="s">
        <v>2419</v>
      </c>
      <c r="F377" s="113">
        <v>128.9</v>
      </c>
      <c r="G377" s="646">
        <v>1999</v>
      </c>
      <c r="H377" s="43">
        <v>2041980.95</v>
      </c>
      <c r="I377" s="646" t="s">
        <v>3790</v>
      </c>
      <c r="J377" s="646" t="s">
        <v>3790</v>
      </c>
    </row>
    <row r="378" spans="1:10" ht="57.75" customHeight="1" x14ac:dyDescent="0.2">
      <c r="A378" s="646" t="s">
        <v>8910</v>
      </c>
      <c r="B378" s="646" t="s">
        <v>8911</v>
      </c>
      <c r="C378" s="646" t="s">
        <v>12487</v>
      </c>
      <c r="D378" s="642" t="s">
        <v>12488</v>
      </c>
      <c r="E378" s="642"/>
      <c r="F378" s="113">
        <v>72</v>
      </c>
      <c r="G378" s="646">
        <v>1997</v>
      </c>
      <c r="H378" s="43">
        <v>793899.36</v>
      </c>
      <c r="I378" s="34" t="s">
        <v>8912</v>
      </c>
      <c r="J378" s="34" t="s">
        <v>8912</v>
      </c>
    </row>
    <row r="379" spans="1:10" ht="43.5" customHeight="1" x14ac:dyDescent="0.2">
      <c r="A379" s="646" t="s">
        <v>3061</v>
      </c>
      <c r="B379" s="646" t="s">
        <v>10</v>
      </c>
      <c r="C379" s="646" t="s">
        <v>6924</v>
      </c>
      <c r="D379" s="642"/>
      <c r="E379" s="642"/>
      <c r="F379" s="113">
        <v>80</v>
      </c>
      <c r="G379" s="646">
        <v>1986</v>
      </c>
      <c r="H379" s="43"/>
      <c r="I379" s="646" t="s">
        <v>9</v>
      </c>
      <c r="J379" s="646" t="s">
        <v>9</v>
      </c>
    </row>
    <row r="380" spans="1:10" ht="56.25" customHeight="1" x14ac:dyDescent="0.2">
      <c r="A380" s="646" t="s">
        <v>2910</v>
      </c>
      <c r="B380" s="646" t="s">
        <v>6</v>
      </c>
      <c r="C380" s="646" t="s">
        <v>12521</v>
      </c>
      <c r="D380" s="642" t="s">
        <v>8661</v>
      </c>
      <c r="E380" s="642" t="s">
        <v>2419</v>
      </c>
      <c r="F380" s="113">
        <v>1000</v>
      </c>
      <c r="G380" s="646">
        <v>1987</v>
      </c>
      <c r="H380" s="43">
        <v>19398890</v>
      </c>
      <c r="I380" s="646" t="s">
        <v>8</v>
      </c>
      <c r="J380" s="646" t="s">
        <v>8</v>
      </c>
    </row>
    <row r="381" spans="1:10" ht="45.75" customHeight="1" x14ac:dyDescent="0.2">
      <c r="A381" s="646" t="s">
        <v>2911</v>
      </c>
      <c r="B381" s="646" t="s">
        <v>7</v>
      </c>
      <c r="C381" s="646" t="s">
        <v>12522</v>
      </c>
      <c r="D381" s="642" t="s">
        <v>8662</v>
      </c>
      <c r="E381" s="642" t="s">
        <v>8620</v>
      </c>
      <c r="F381" s="113">
        <v>40</v>
      </c>
      <c r="G381" s="646">
        <v>1987</v>
      </c>
      <c r="H381" s="43">
        <v>223124</v>
      </c>
      <c r="I381" s="646" t="s">
        <v>8</v>
      </c>
      <c r="J381" s="646" t="s">
        <v>8</v>
      </c>
    </row>
    <row r="382" spans="1:10" s="60" customFormat="1" ht="34.5" customHeight="1" x14ac:dyDescent="0.2">
      <c r="A382" s="276" t="s">
        <v>2912</v>
      </c>
      <c r="B382" s="276" t="s">
        <v>146</v>
      </c>
      <c r="C382" s="276" t="s">
        <v>6984</v>
      </c>
      <c r="D382" s="79"/>
      <c r="E382" s="276"/>
      <c r="F382" s="113"/>
      <c r="G382" s="642" t="s">
        <v>165</v>
      </c>
      <c r="H382" s="43"/>
      <c r="I382" s="276" t="s">
        <v>9123</v>
      </c>
      <c r="J382" s="276" t="s">
        <v>9123</v>
      </c>
    </row>
    <row r="383" spans="1:10" s="5" customFormat="1" ht="27" customHeight="1" x14ac:dyDescent="0.2">
      <c r="A383" s="646" t="s">
        <v>2913</v>
      </c>
      <c r="B383" s="646" t="s">
        <v>2444</v>
      </c>
      <c r="C383" s="646" t="s">
        <v>6043</v>
      </c>
      <c r="D383" s="642"/>
      <c r="E383" s="642" t="s">
        <v>183</v>
      </c>
      <c r="F383" s="113">
        <v>29</v>
      </c>
      <c r="G383" s="646">
        <v>1978</v>
      </c>
      <c r="H383" s="43"/>
      <c r="I383" s="646"/>
      <c r="J383" s="646"/>
    </row>
    <row r="384" spans="1:10" s="5" customFormat="1" ht="33.75" customHeight="1" x14ac:dyDescent="0.2">
      <c r="A384" s="646" t="s">
        <v>2914</v>
      </c>
      <c r="B384" s="646" t="s">
        <v>2153</v>
      </c>
      <c r="C384" s="646" t="s">
        <v>6005</v>
      </c>
      <c r="D384" s="642"/>
      <c r="E384" s="642"/>
      <c r="F384" s="113">
        <v>50</v>
      </c>
      <c r="G384" s="646">
        <v>1980</v>
      </c>
      <c r="H384" s="43"/>
      <c r="I384" s="646" t="s">
        <v>414</v>
      </c>
      <c r="J384" s="646" t="s">
        <v>414</v>
      </c>
    </row>
    <row r="385" spans="1:10" s="5" customFormat="1" ht="33" customHeight="1" x14ac:dyDescent="0.2">
      <c r="A385" s="646" t="s">
        <v>3062</v>
      </c>
      <c r="B385" s="646" t="s">
        <v>335</v>
      </c>
      <c r="C385" s="646" t="s">
        <v>8593</v>
      </c>
      <c r="D385" s="642" t="s">
        <v>5629</v>
      </c>
      <c r="E385" s="642"/>
      <c r="F385" s="113">
        <v>26.4</v>
      </c>
      <c r="G385" s="646">
        <v>1997</v>
      </c>
      <c r="H385" s="43">
        <v>70952.22</v>
      </c>
      <c r="I385" s="646"/>
      <c r="J385" s="646"/>
    </row>
    <row r="386" spans="1:10" s="5" customFormat="1" ht="24.75" customHeight="1" x14ac:dyDescent="0.2">
      <c r="A386" s="646" t="s">
        <v>2915</v>
      </c>
      <c r="B386" s="646" t="s">
        <v>2154</v>
      </c>
      <c r="C386" s="646" t="s">
        <v>6042</v>
      </c>
      <c r="D386" s="642"/>
      <c r="E386" s="642"/>
      <c r="F386" s="113" t="s">
        <v>384</v>
      </c>
      <c r="G386" s="646">
        <v>1967</v>
      </c>
      <c r="H386" s="43"/>
      <c r="I386" s="646"/>
      <c r="J386" s="646"/>
    </row>
    <row r="387" spans="1:10" s="5" customFormat="1" ht="23.25" customHeight="1" x14ac:dyDescent="0.2">
      <c r="A387" s="646" t="s">
        <v>2916</v>
      </c>
      <c r="B387" s="646" t="s">
        <v>2154</v>
      </c>
      <c r="C387" s="646" t="s">
        <v>6042</v>
      </c>
      <c r="D387" s="642"/>
      <c r="E387" s="642"/>
      <c r="F387" s="113" t="s">
        <v>384</v>
      </c>
      <c r="G387" s="646">
        <v>1964</v>
      </c>
      <c r="H387" s="43"/>
      <c r="I387" s="646"/>
      <c r="J387" s="646"/>
    </row>
    <row r="388" spans="1:10" s="5" customFormat="1" ht="25.5" customHeight="1" x14ac:dyDescent="0.2">
      <c r="A388" s="646" t="s">
        <v>2917</v>
      </c>
      <c r="B388" s="646" t="s">
        <v>2145</v>
      </c>
      <c r="C388" s="646" t="s">
        <v>6042</v>
      </c>
      <c r="D388" s="642"/>
      <c r="E388" s="642"/>
      <c r="F388" s="113" t="s">
        <v>384</v>
      </c>
      <c r="G388" s="646">
        <v>1967</v>
      </c>
      <c r="H388" s="43"/>
      <c r="I388" s="646" t="s">
        <v>527</v>
      </c>
      <c r="J388" s="646" t="s">
        <v>527</v>
      </c>
    </row>
    <row r="389" spans="1:10" s="5" customFormat="1" ht="39" customHeight="1" x14ac:dyDescent="0.2">
      <c r="A389" s="646" t="s">
        <v>2918</v>
      </c>
      <c r="B389" s="646" t="s">
        <v>10870</v>
      </c>
      <c r="C389" s="646" t="s">
        <v>6042</v>
      </c>
      <c r="D389" s="12" t="s">
        <v>5630</v>
      </c>
      <c r="E389" s="642" t="s">
        <v>2409</v>
      </c>
      <c r="F389" s="113">
        <v>27.2</v>
      </c>
      <c r="G389" s="646" t="s">
        <v>39</v>
      </c>
      <c r="H389" s="43">
        <v>62059.519999999997</v>
      </c>
      <c r="I389" s="8" t="s">
        <v>11180</v>
      </c>
      <c r="J389" s="8" t="s">
        <v>11180</v>
      </c>
    </row>
    <row r="390" spans="1:10" s="5" customFormat="1" ht="39" customHeight="1" x14ac:dyDescent="0.2">
      <c r="A390" s="646" t="s">
        <v>12443</v>
      </c>
      <c r="B390" s="646" t="s">
        <v>12442</v>
      </c>
      <c r="C390" s="647" t="s">
        <v>6042</v>
      </c>
      <c r="D390" s="642" t="s">
        <v>12444</v>
      </c>
      <c r="E390" s="642" t="s">
        <v>2409</v>
      </c>
      <c r="F390" s="113">
        <v>133.1</v>
      </c>
      <c r="G390" s="646" t="s">
        <v>39</v>
      </c>
      <c r="H390" s="43">
        <v>383540.96</v>
      </c>
      <c r="I390" s="639" t="s">
        <v>3966</v>
      </c>
      <c r="J390" s="639" t="s">
        <v>3966</v>
      </c>
    </row>
    <row r="391" spans="1:10" ht="36.75" customHeight="1" x14ac:dyDescent="0.2">
      <c r="A391" s="646" t="s">
        <v>3742</v>
      </c>
      <c r="B391" s="647" t="s">
        <v>6987</v>
      </c>
      <c r="C391" s="647" t="s">
        <v>6042</v>
      </c>
      <c r="D391" s="642" t="s">
        <v>5631</v>
      </c>
      <c r="E391" s="380" t="s">
        <v>2446</v>
      </c>
      <c r="F391" s="59">
        <v>12.8</v>
      </c>
      <c r="G391" s="647" t="s">
        <v>4343</v>
      </c>
      <c r="H391" s="23">
        <v>36884.480000000003</v>
      </c>
      <c r="I391" s="639" t="s">
        <v>3966</v>
      </c>
      <c r="J391" s="639" t="s">
        <v>3966</v>
      </c>
    </row>
    <row r="392" spans="1:10" ht="25.5" customHeight="1" x14ac:dyDescent="0.2">
      <c r="A392" s="646" t="s">
        <v>2919</v>
      </c>
      <c r="B392" s="647" t="s">
        <v>3690</v>
      </c>
      <c r="C392" s="647" t="s">
        <v>6041</v>
      </c>
      <c r="D392" s="642" t="s">
        <v>12458</v>
      </c>
      <c r="E392" s="380" t="s">
        <v>2409</v>
      </c>
      <c r="F392" s="59">
        <v>533.20000000000005</v>
      </c>
      <c r="G392" s="647" t="s">
        <v>3554</v>
      </c>
      <c r="H392" s="23">
        <v>6999076.46</v>
      </c>
      <c r="I392" s="34" t="s">
        <v>4037</v>
      </c>
      <c r="J392" s="34" t="s">
        <v>4037</v>
      </c>
    </row>
    <row r="393" spans="1:10" ht="47.25" customHeight="1" x14ac:dyDescent="0.2">
      <c r="A393" s="646" t="s">
        <v>2920</v>
      </c>
      <c r="B393" s="646" t="s">
        <v>8834</v>
      </c>
      <c r="C393" s="646" t="s">
        <v>6040</v>
      </c>
      <c r="D393" s="642" t="s">
        <v>12459</v>
      </c>
      <c r="E393" s="642" t="s">
        <v>8835</v>
      </c>
      <c r="F393" s="113">
        <v>233.6</v>
      </c>
      <c r="G393" s="646" t="s">
        <v>502</v>
      </c>
      <c r="H393" s="43">
        <v>1744779.42</v>
      </c>
      <c r="I393" s="646" t="s">
        <v>3927</v>
      </c>
      <c r="J393" s="646" t="s">
        <v>3927</v>
      </c>
    </row>
    <row r="394" spans="1:10" ht="48.75" customHeight="1" x14ac:dyDescent="0.2">
      <c r="A394" s="646" t="s">
        <v>2921</v>
      </c>
      <c r="B394" s="646" t="s">
        <v>6038</v>
      </c>
      <c r="C394" s="646" t="s">
        <v>6039</v>
      </c>
      <c r="D394" s="642" t="s">
        <v>6167</v>
      </c>
      <c r="E394" s="642" t="s">
        <v>170</v>
      </c>
      <c r="F394" s="113">
        <v>1293.5</v>
      </c>
      <c r="G394" s="646">
        <v>1993</v>
      </c>
      <c r="H394" s="43">
        <v>7113021.1799999997</v>
      </c>
      <c r="I394" s="646" t="s">
        <v>3927</v>
      </c>
      <c r="J394" s="646" t="s">
        <v>3927</v>
      </c>
    </row>
    <row r="395" spans="1:10" s="5" customFormat="1" ht="22.5" customHeight="1" x14ac:dyDescent="0.2">
      <c r="A395" s="646" t="s">
        <v>2922</v>
      </c>
      <c r="B395" s="646" t="s">
        <v>2447</v>
      </c>
      <c r="C395" s="646" t="s">
        <v>6006</v>
      </c>
      <c r="D395" s="642"/>
      <c r="E395" s="642" t="s">
        <v>2415</v>
      </c>
      <c r="F395" s="113">
        <v>60</v>
      </c>
      <c r="G395" s="646">
        <v>2000</v>
      </c>
      <c r="H395" s="43"/>
      <c r="I395" s="646" t="s">
        <v>414</v>
      </c>
      <c r="J395" s="646" t="s">
        <v>414</v>
      </c>
    </row>
    <row r="396" spans="1:10" s="5" customFormat="1" ht="22.5" customHeight="1" x14ac:dyDescent="0.2">
      <c r="A396" s="646" t="s">
        <v>2923</v>
      </c>
      <c r="B396" s="646" t="s">
        <v>2447</v>
      </c>
      <c r="C396" s="646" t="s">
        <v>6006</v>
      </c>
      <c r="D396" s="642"/>
      <c r="E396" s="642" t="s">
        <v>2415</v>
      </c>
      <c r="F396" s="113">
        <v>130</v>
      </c>
      <c r="G396" s="646">
        <v>2001</v>
      </c>
      <c r="H396" s="43"/>
      <c r="I396" s="646" t="s">
        <v>414</v>
      </c>
      <c r="J396" s="646" t="s">
        <v>414</v>
      </c>
    </row>
    <row r="397" spans="1:10" s="60" customFormat="1" ht="44.25" customHeight="1" x14ac:dyDescent="0.2">
      <c r="A397" s="646" t="s">
        <v>8801</v>
      </c>
      <c r="B397" s="646" t="s">
        <v>474</v>
      </c>
      <c r="C397" s="646" t="s">
        <v>8802</v>
      </c>
      <c r="D397" s="642" t="s">
        <v>9107</v>
      </c>
      <c r="E397" s="642" t="s">
        <v>2440</v>
      </c>
      <c r="F397" s="113">
        <v>29.2</v>
      </c>
      <c r="G397" s="646">
        <v>2001</v>
      </c>
      <c r="H397" s="43">
        <v>404244.22</v>
      </c>
      <c r="I397" s="646" t="s">
        <v>8914</v>
      </c>
      <c r="J397" s="646" t="s">
        <v>8914</v>
      </c>
    </row>
    <row r="398" spans="1:10" s="5" customFormat="1" ht="24.75" customHeight="1" x14ac:dyDescent="0.2">
      <c r="A398" s="646" t="s">
        <v>2924</v>
      </c>
      <c r="B398" s="646" t="s">
        <v>2447</v>
      </c>
      <c r="C398" s="646" t="s">
        <v>5519</v>
      </c>
      <c r="D398" s="642"/>
      <c r="E398" s="642" t="s">
        <v>2415</v>
      </c>
      <c r="F398" s="113"/>
      <c r="G398" s="646">
        <v>2000</v>
      </c>
      <c r="H398" s="43"/>
      <c r="I398" s="646"/>
      <c r="J398" s="646"/>
    </row>
    <row r="399" spans="1:10" s="60" customFormat="1" ht="33.75" customHeight="1" x14ac:dyDescent="0.2">
      <c r="A399" s="646" t="s">
        <v>2925</v>
      </c>
      <c r="B399" s="646" t="s">
        <v>16</v>
      </c>
      <c r="C399" s="646" t="s">
        <v>5972</v>
      </c>
      <c r="D399" s="642"/>
      <c r="E399" s="642" t="s">
        <v>2459</v>
      </c>
      <c r="F399" s="113">
        <v>119.7</v>
      </c>
      <c r="G399" s="646">
        <v>1988</v>
      </c>
      <c r="H399" s="43"/>
      <c r="I399" s="154" t="s">
        <v>5574</v>
      </c>
      <c r="J399" s="154" t="s">
        <v>5574</v>
      </c>
    </row>
    <row r="400" spans="1:10" s="5" customFormat="1" ht="22.5" customHeight="1" x14ac:dyDescent="0.2">
      <c r="A400" s="975" t="s">
        <v>2926</v>
      </c>
      <c r="B400" s="975" t="s">
        <v>3836</v>
      </c>
      <c r="C400" s="975" t="s">
        <v>5985</v>
      </c>
      <c r="D400" s="642"/>
      <c r="E400" s="380" t="s">
        <v>183</v>
      </c>
      <c r="F400" s="113"/>
      <c r="G400" s="646">
        <v>1981</v>
      </c>
      <c r="H400" s="969"/>
      <c r="I400" s="1010" t="s">
        <v>11166</v>
      </c>
      <c r="J400" s="975" t="s">
        <v>14046</v>
      </c>
    </row>
    <row r="401" spans="1:17" ht="20.25" customHeight="1" x14ac:dyDescent="0.2">
      <c r="A401" s="976"/>
      <c r="B401" s="976"/>
      <c r="C401" s="976"/>
      <c r="D401" s="280"/>
      <c r="E401" s="251" t="s">
        <v>3319</v>
      </c>
      <c r="F401" s="254"/>
      <c r="G401" s="647" t="s">
        <v>512</v>
      </c>
      <c r="H401" s="971"/>
      <c r="I401" s="976"/>
      <c r="J401" s="976"/>
    </row>
    <row r="402" spans="1:17" s="5" customFormat="1" ht="29.25" customHeight="1" x14ac:dyDescent="0.2">
      <c r="A402" s="646" t="s">
        <v>2927</v>
      </c>
      <c r="B402" s="646" t="s">
        <v>3677</v>
      </c>
      <c r="C402" s="646" t="s">
        <v>6064</v>
      </c>
      <c r="D402" s="642" t="s">
        <v>5632</v>
      </c>
      <c r="E402" s="642" t="s">
        <v>2460</v>
      </c>
      <c r="F402" s="113">
        <v>157.69999999999999</v>
      </c>
      <c r="G402" s="646" t="s">
        <v>69</v>
      </c>
      <c r="H402" s="43">
        <v>912363.89</v>
      </c>
      <c r="I402" s="276" t="s">
        <v>9123</v>
      </c>
      <c r="J402" s="276" t="s">
        <v>9123</v>
      </c>
    </row>
    <row r="403" spans="1:17" ht="28.5" customHeight="1" x14ac:dyDescent="0.2">
      <c r="A403" s="646" t="s">
        <v>2928</v>
      </c>
      <c r="B403" s="647" t="s">
        <v>3678</v>
      </c>
      <c r="C403" s="647" t="s">
        <v>6007</v>
      </c>
      <c r="D403" s="642" t="s">
        <v>5633</v>
      </c>
      <c r="E403" s="380" t="s">
        <v>183</v>
      </c>
      <c r="F403" s="59">
        <v>23.7</v>
      </c>
      <c r="G403" s="647" t="s">
        <v>3300</v>
      </c>
      <c r="H403" s="23">
        <v>92730.04</v>
      </c>
      <c r="I403" s="276" t="s">
        <v>9123</v>
      </c>
      <c r="J403" s="276" t="s">
        <v>9123</v>
      </c>
    </row>
    <row r="404" spans="1:17" ht="27" customHeight="1" x14ac:dyDescent="0.2">
      <c r="A404" s="646" t="s">
        <v>2929</v>
      </c>
      <c r="B404" s="647" t="s">
        <v>3679</v>
      </c>
      <c r="C404" s="647" t="s">
        <v>9234</v>
      </c>
      <c r="D404" s="642" t="s">
        <v>5634</v>
      </c>
      <c r="E404" s="380" t="s">
        <v>2459</v>
      </c>
      <c r="F404" s="59">
        <v>8.1</v>
      </c>
      <c r="G404" s="647" t="s">
        <v>67</v>
      </c>
      <c r="H404" s="23">
        <v>35360.47</v>
      </c>
      <c r="I404" s="276" t="s">
        <v>9123</v>
      </c>
      <c r="J404" s="276" t="s">
        <v>9123</v>
      </c>
    </row>
    <row r="405" spans="1:17" s="5" customFormat="1" ht="24.75" customHeight="1" x14ac:dyDescent="0.2">
      <c r="A405" s="646" t="s">
        <v>2930</v>
      </c>
      <c r="B405" s="646" t="s">
        <v>2461</v>
      </c>
      <c r="C405" s="646" t="s">
        <v>6065</v>
      </c>
      <c r="D405" s="642"/>
      <c r="E405" s="642"/>
      <c r="F405" s="113"/>
      <c r="G405" s="646">
        <v>1991</v>
      </c>
      <c r="H405" s="43"/>
      <c r="I405" s="646" t="s">
        <v>4662</v>
      </c>
      <c r="J405" s="646" t="s">
        <v>4662</v>
      </c>
    </row>
    <row r="406" spans="1:17" s="5" customFormat="1" ht="45.75" customHeight="1" x14ac:dyDescent="0.2">
      <c r="A406" s="646" t="s">
        <v>2931</v>
      </c>
      <c r="B406" s="646" t="s">
        <v>3052</v>
      </c>
      <c r="C406" s="646" t="s">
        <v>5871</v>
      </c>
      <c r="D406" s="642"/>
      <c r="E406" s="642"/>
      <c r="F406" s="113">
        <v>24</v>
      </c>
      <c r="G406" s="646">
        <v>1997</v>
      </c>
      <c r="H406" s="43"/>
      <c r="I406" s="646" t="s">
        <v>6827</v>
      </c>
      <c r="J406" s="646" t="s">
        <v>6827</v>
      </c>
    </row>
    <row r="407" spans="1:17" ht="22.5" customHeight="1" x14ac:dyDescent="0.2">
      <c r="A407" s="646" t="s">
        <v>2932</v>
      </c>
      <c r="B407" s="646" t="s">
        <v>2445</v>
      </c>
      <c r="C407" s="646" t="s">
        <v>5743</v>
      </c>
      <c r="D407" s="642"/>
      <c r="E407" s="642" t="s">
        <v>2462</v>
      </c>
      <c r="F407" s="113">
        <v>69.3</v>
      </c>
      <c r="G407" s="646" t="s">
        <v>73</v>
      </c>
      <c r="H407" s="43"/>
      <c r="I407" s="961" t="s">
        <v>3927</v>
      </c>
      <c r="J407" s="961" t="s">
        <v>3927</v>
      </c>
    </row>
    <row r="408" spans="1:17" s="6" customFormat="1" ht="27.75" customHeight="1" x14ac:dyDescent="0.2">
      <c r="A408" s="646" t="s">
        <v>3743</v>
      </c>
      <c r="B408" s="646" t="s">
        <v>6988</v>
      </c>
      <c r="C408" s="646" t="s">
        <v>5743</v>
      </c>
      <c r="D408" s="642"/>
      <c r="E408" s="642" t="s">
        <v>3827</v>
      </c>
      <c r="F408" s="113">
        <v>1830</v>
      </c>
      <c r="G408" s="646" t="s">
        <v>73</v>
      </c>
      <c r="H408" s="43"/>
      <c r="I408" s="962"/>
      <c r="J408" s="962"/>
    </row>
    <row r="409" spans="1:17" s="60" customFormat="1" ht="48.75" customHeight="1" x14ac:dyDescent="0.2">
      <c r="A409" s="646" t="s">
        <v>2933</v>
      </c>
      <c r="B409" s="646" t="s">
        <v>103</v>
      </c>
      <c r="C409" s="646" t="s">
        <v>6028</v>
      </c>
      <c r="D409" s="642"/>
      <c r="E409" s="642"/>
      <c r="F409" s="113">
        <v>24</v>
      </c>
      <c r="G409" s="646">
        <v>1989</v>
      </c>
      <c r="H409" s="43"/>
      <c r="I409" s="646" t="s">
        <v>101</v>
      </c>
      <c r="J409" s="646" t="s">
        <v>101</v>
      </c>
    </row>
    <row r="410" spans="1:17" ht="33.75" customHeight="1" x14ac:dyDescent="0.2">
      <c r="A410" s="646" t="s">
        <v>2934</v>
      </c>
      <c r="B410" s="646" t="s">
        <v>2463</v>
      </c>
      <c r="C410" s="646" t="s">
        <v>5945</v>
      </c>
      <c r="D410" s="642"/>
      <c r="E410" s="642"/>
      <c r="F410" s="113">
        <f>60-1-19.5</f>
        <v>39.5</v>
      </c>
      <c r="G410" s="646">
        <v>1972</v>
      </c>
      <c r="H410" s="43"/>
      <c r="I410" s="10" t="s">
        <v>320</v>
      </c>
      <c r="J410" s="646" t="s">
        <v>398</v>
      </c>
    </row>
    <row r="411" spans="1:17" ht="42.75" customHeight="1" x14ac:dyDescent="0.2">
      <c r="A411" s="646" t="s">
        <v>12523</v>
      </c>
      <c r="B411" s="66" t="s">
        <v>292</v>
      </c>
      <c r="C411" s="646" t="s">
        <v>5945</v>
      </c>
      <c r="D411" s="642"/>
      <c r="E411" s="642"/>
      <c r="F411" s="113">
        <v>1</v>
      </c>
      <c r="G411" s="646">
        <v>1972</v>
      </c>
      <c r="H411" s="8"/>
      <c r="I411" s="630" t="s">
        <v>6899</v>
      </c>
      <c r="J411" s="630" t="s">
        <v>6899</v>
      </c>
      <c r="K411" s="60"/>
      <c r="L411" s="60"/>
      <c r="M411" s="60"/>
      <c r="N411" s="60"/>
      <c r="O411" s="60"/>
      <c r="P411" s="60"/>
      <c r="Q411" s="60"/>
    </row>
    <row r="412" spans="1:17" ht="24.75" customHeight="1" x14ac:dyDescent="0.2">
      <c r="A412" s="646" t="s">
        <v>12524</v>
      </c>
      <c r="B412" s="66" t="s">
        <v>292</v>
      </c>
      <c r="C412" s="646" t="s">
        <v>5945</v>
      </c>
      <c r="D412" s="642"/>
      <c r="E412" s="642"/>
      <c r="F412" s="113">
        <v>19.5</v>
      </c>
      <c r="G412" s="646" t="s">
        <v>79</v>
      </c>
      <c r="H412" s="8"/>
      <c r="I412" s="630"/>
      <c r="J412" s="192"/>
      <c r="K412" s="60"/>
      <c r="L412" s="60"/>
      <c r="M412" s="60"/>
      <c r="N412" s="60"/>
      <c r="O412" s="60"/>
      <c r="P412" s="60"/>
      <c r="Q412" s="60"/>
    </row>
    <row r="413" spans="1:17" ht="36.75" customHeight="1" x14ac:dyDescent="0.2">
      <c r="A413" s="630" t="s">
        <v>2935</v>
      </c>
      <c r="B413" s="635" t="s">
        <v>7016</v>
      </c>
      <c r="C413" s="647" t="s">
        <v>6485</v>
      </c>
      <c r="D413" s="642" t="s">
        <v>5635</v>
      </c>
      <c r="E413" s="380" t="s">
        <v>2464</v>
      </c>
      <c r="F413" s="59">
        <v>7070.7</v>
      </c>
      <c r="G413" s="647">
        <v>1974</v>
      </c>
      <c r="H413" s="23">
        <v>64031410.719999999</v>
      </c>
      <c r="I413" s="161" t="s">
        <v>9123</v>
      </c>
      <c r="J413" s="161" t="s">
        <v>9123</v>
      </c>
    </row>
    <row r="414" spans="1:17" ht="36.75" customHeight="1" x14ac:dyDescent="0.2">
      <c r="A414" s="19" t="s">
        <v>3744</v>
      </c>
      <c r="B414" s="11" t="s">
        <v>3323</v>
      </c>
      <c r="C414" s="647" t="s">
        <v>6485</v>
      </c>
      <c r="D414" s="642" t="s">
        <v>5636</v>
      </c>
      <c r="E414" s="8" t="s">
        <v>5908</v>
      </c>
      <c r="F414" s="218"/>
      <c r="G414" s="11">
        <v>1974</v>
      </c>
      <c r="H414" s="81"/>
      <c r="I414" s="276" t="s">
        <v>9123</v>
      </c>
      <c r="J414" s="276" t="s">
        <v>9123</v>
      </c>
    </row>
    <row r="415" spans="1:17" ht="34.5" customHeight="1" x14ac:dyDescent="0.2">
      <c r="A415" s="19" t="s">
        <v>3745</v>
      </c>
      <c r="B415" s="647" t="s">
        <v>4539</v>
      </c>
      <c r="C415" s="647" t="s">
        <v>6485</v>
      </c>
      <c r="D415" s="642" t="s">
        <v>5637</v>
      </c>
      <c r="E415" s="380" t="s">
        <v>2890</v>
      </c>
      <c r="F415" s="59">
        <v>92.1</v>
      </c>
      <c r="G415" s="647">
        <v>1974</v>
      </c>
      <c r="H415" s="23">
        <v>834046.55</v>
      </c>
      <c r="I415" s="276" t="s">
        <v>9123</v>
      </c>
      <c r="J415" s="276" t="s">
        <v>9123</v>
      </c>
    </row>
    <row r="416" spans="1:17" ht="25.5" customHeight="1" x14ac:dyDescent="0.2">
      <c r="A416" s="19" t="s">
        <v>3746</v>
      </c>
      <c r="B416" s="647" t="s">
        <v>4540</v>
      </c>
      <c r="C416" s="647" t="s">
        <v>6485</v>
      </c>
      <c r="D416" s="642" t="s">
        <v>5638</v>
      </c>
      <c r="E416" s="380" t="s">
        <v>2891</v>
      </c>
      <c r="F416" s="59">
        <v>375.3</v>
      </c>
      <c r="G416" s="647">
        <v>1974</v>
      </c>
      <c r="H416" s="23">
        <v>3398671.76</v>
      </c>
      <c r="I416" s="276" t="s">
        <v>9123</v>
      </c>
      <c r="J416" s="276" t="s">
        <v>9123</v>
      </c>
    </row>
    <row r="417" spans="1:10" ht="25.5" customHeight="1" x14ac:dyDescent="0.2">
      <c r="A417" s="19" t="s">
        <v>3747</v>
      </c>
      <c r="B417" s="647" t="s">
        <v>4473</v>
      </c>
      <c r="C417" s="647" t="s">
        <v>6485</v>
      </c>
      <c r="D417" s="642" t="s">
        <v>5639</v>
      </c>
      <c r="E417" s="380" t="s">
        <v>2465</v>
      </c>
      <c r="F417" s="59">
        <v>164.6</v>
      </c>
      <c r="G417" s="647">
        <v>1974</v>
      </c>
      <c r="H417" s="23">
        <v>33836.82</v>
      </c>
      <c r="I417" s="276" t="s">
        <v>9123</v>
      </c>
      <c r="J417" s="276" t="s">
        <v>9123</v>
      </c>
    </row>
    <row r="418" spans="1:10" ht="25.5" customHeight="1" x14ac:dyDescent="0.2">
      <c r="A418" s="19" t="s">
        <v>3748</v>
      </c>
      <c r="B418" s="647" t="s">
        <v>4415</v>
      </c>
      <c r="C418" s="647" t="s">
        <v>6485</v>
      </c>
      <c r="D418" s="642" t="s">
        <v>5640</v>
      </c>
      <c r="E418" s="380" t="s">
        <v>2466</v>
      </c>
      <c r="F418" s="59">
        <v>4379.3</v>
      </c>
      <c r="G418" s="647">
        <v>1974</v>
      </c>
      <c r="H418" s="23">
        <v>39658415.280000001</v>
      </c>
      <c r="I418" s="276" t="s">
        <v>9123</v>
      </c>
      <c r="J418" s="276" t="s">
        <v>9123</v>
      </c>
    </row>
    <row r="419" spans="1:10" ht="25.5" customHeight="1" x14ac:dyDescent="0.2">
      <c r="A419" s="19" t="s">
        <v>3749</v>
      </c>
      <c r="B419" s="647" t="s">
        <v>4409</v>
      </c>
      <c r="C419" s="647" t="s">
        <v>6485</v>
      </c>
      <c r="D419" s="642" t="s">
        <v>5641</v>
      </c>
      <c r="E419" s="380" t="s">
        <v>2467</v>
      </c>
      <c r="F419" s="59">
        <v>1927.9</v>
      </c>
      <c r="G419" s="647">
        <v>1974</v>
      </c>
      <c r="H419" s="23"/>
      <c r="I419" s="276" t="s">
        <v>9123</v>
      </c>
      <c r="J419" s="276" t="s">
        <v>9123</v>
      </c>
    </row>
    <row r="420" spans="1:10" ht="25.5" customHeight="1" x14ac:dyDescent="0.2">
      <c r="A420" s="19" t="s">
        <v>3750</v>
      </c>
      <c r="B420" s="647" t="s">
        <v>4408</v>
      </c>
      <c r="C420" s="647" t="s">
        <v>6485</v>
      </c>
      <c r="D420" s="642" t="s">
        <v>5642</v>
      </c>
      <c r="E420" s="380" t="s">
        <v>2468</v>
      </c>
      <c r="F420" s="59">
        <v>39.200000000000003</v>
      </c>
      <c r="G420" s="647">
        <v>1974</v>
      </c>
      <c r="H420" s="23">
        <v>354990.5</v>
      </c>
      <c r="I420" s="276" t="s">
        <v>9123</v>
      </c>
      <c r="J420" s="276" t="s">
        <v>9123</v>
      </c>
    </row>
    <row r="421" spans="1:10" ht="25.5" customHeight="1" x14ac:dyDescent="0.2">
      <c r="A421" s="19" t="s">
        <v>3751</v>
      </c>
      <c r="B421" s="647" t="s">
        <v>4538</v>
      </c>
      <c r="C421" s="647" t="s">
        <v>6485</v>
      </c>
      <c r="D421" s="642" t="s">
        <v>5643</v>
      </c>
      <c r="E421" s="380" t="s">
        <v>2468</v>
      </c>
      <c r="F421" s="59">
        <v>242.7</v>
      </c>
      <c r="G421" s="647">
        <v>1989</v>
      </c>
      <c r="H421" s="23">
        <v>2197862.08</v>
      </c>
      <c r="I421" s="276" t="s">
        <v>9123</v>
      </c>
      <c r="J421" s="276" t="s">
        <v>9123</v>
      </c>
    </row>
    <row r="422" spans="1:10" s="191" customFormat="1" ht="27.75" customHeight="1" x14ac:dyDescent="0.2">
      <c r="A422" s="19" t="s">
        <v>3752</v>
      </c>
      <c r="B422" s="647" t="s">
        <v>6981</v>
      </c>
      <c r="C422" s="647" t="s">
        <v>6485</v>
      </c>
      <c r="D422" s="642" t="s">
        <v>5644</v>
      </c>
      <c r="E422" s="380" t="s">
        <v>2468</v>
      </c>
      <c r="F422" s="59">
        <v>110.4</v>
      </c>
      <c r="G422" s="647">
        <v>1989</v>
      </c>
      <c r="H422" s="23">
        <v>999769.15</v>
      </c>
      <c r="I422" s="647"/>
      <c r="J422" s="647"/>
    </row>
    <row r="423" spans="1:10" ht="25.5" customHeight="1" x14ac:dyDescent="0.2">
      <c r="A423" s="19" t="s">
        <v>3753</v>
      </c>
      <c r="B423" s="647" t="s">
        <v>4285</v>
      </c>
      <c r="C423" s="647" t="s">
        <v>6485</v>
      </c>
      <c r="D423" s="642" t="s">
        <v>5645</v>
      </c>
      <c r="E423" s="380" t="s">
        <v>2469</v>
      </c>
      <c r="F423" s="59">
        <v>44.2</v>
      </c>
      <c r="G423" s="647">
        <v>1989</v>
      </c>
      <c r="H423" s="23">
        <v>400269.9</v>
      </c>
      <c r="I423" s="276" t="s">
        <v>9123</v>
      </c>
      <c r="J423" s="276" t="s">
        <v>9123</v>
      </c>
    </row>
    <row r="424" spans="1:10" ht="25.5" customHeight="1" x14ac:dyDescent="0.2">
      <c r="A424" s="19" t="s">
        <v>3754</v>
      </c>
      <c r="B424" s="647" t="s">
        <v>4286</v>
      </c>
      <c r="C424" s="647" t="s">
        <v>6485</v>
      </c>
      <c r="D424" s="642" t="s">
        <v>5646</v>
      </c>
      <c r="E424" s="380" t="s">
        <v>2468</v>
      </c>
      <c r="F424" s="59">
        <v>31.3</v>
      </c>
      <c r="G424" s="647">
        <v>1989</v>
      </c>
      <c r="H424" s="23">
        <v>283449.03999999998</v>
      </c>
      <c r="I424" s="276" t="s">
        <v>9123</v>
      </c>
      <c r="J424" s="276" t="s">
        <v>9123</v>
      </c>
    </row>
    <row r="425" spans="1:10" ht="25.5" customHeight="1" x14ac:dyDescent="0.2">
      <c r="A425" s="19" t="s">
        <v>3755</v>
      </c>
      <c r="B425" s="647" t="s">
        <v>4279</v>
      </c>
      <c r="C425" s="647" t="s">
        <v>6485</v>
      </c>
      <c r="D425" s="642" t="s">
        <v>5647</v>
      </c>
      <c r="E425" s="380" t="s">
        <v>2468</v>
      </c>
      <c r="F425" s="59">
        <v>22.8</v>
      </c>
      <c r="G425" s="647">
        <v>1989</v>
      </c>
      <c r="H425" s="23">
        <v>206474.06</v>
      </c>
      <c r="I425" s="276" t="s">
        <v>9123</v>
      </c>
      <c r="J425" s="276" t="s">
        <v>9123</v>
      </c>
    </row>
    <row r="426" spans="1:10" ht="25.5" customHeight="1" x14ac:dyDescent="0.2">
      <c r="A426" s="19" t="s">
        <v>3756</v>
      </c>
      <c r="B426" s="647" t="s">
        <v>4278</v>
      </c>
      <c r="C426" s="647" t="s">
        <v>6485</v>
      </c>
      <c r="D426" s="642" t="s">
        <v>5648</v>
      </c>
      <c r="E426" s="380" t="s">
        <v>2468</v>
      </c>
      <c r="F426" s="59">
        <v>22.1</v>
      </c>
      <c r="G426" s="647">
        <v>1989</v>
      </c>
      <c r="H426" s="23">
        <v>200134.95</v>
      </c>
      <c r="I426" s="276" t="s">
        <v>9123</v>
      </c>
      <c r="J426" s="276" t="s">
        <v>9123</v>
      </c>
    </row>
    <row r="427" spans="1:10" s="60" customFormat="1" ht="36" customHeight="1" x14ac:dyDescent="0.2">
      <c r="A427" s="961" t="s">
        <v>2936</v>
      </c>
      <c r="B427" s="630" t="s">
        <v>11473</v>
      </c>
      <c r="C427" s="961" t="s">
        <v>12525</v>
      </c>
      <c r="D427" s="99" t="s">
        <v>5649</v>
      </c>
      <c r="E427" s="642" t="s">
        <v>4466</v>
      </c>
      <c r="F427" s="113">
        <v>1629.3</v>
      </c>
      <c r="G427" s="646">
        <v>1951</v>
      </c>
      <c r="H427" s="43">
        <v>15239184.33</v>
      </c>
      <c r="I427" s="8" t="s">
        <v>9123</v>
      </c>
      <c r="J427" s="966" t="s">
        <v>14047</v>
      </c>
    </row>
    <row r="428" spans="1:10" s="60" customFormat="1" ht="45.75" customHeight="1" x14ac:dyDescent="0.2">
      <c r="A428" s="963"/>
      <c r="B428" s="646" t="s">
        <v>11472</v>
      </c>
      <c r="C428" s="963"/>
      <c r="D428" s="139"/>
      <c r="E428" s="642" t="s">
        <v>4467</v>
      </c>
      <c r="F428" s="113">
        <v>116.5</v>
      </c>
      <c r="G428" s="646">
        <v>1961</v>
      </c>
      <c r="H428" s="43"/>
      <c r="I428" s="8" t="s">
        <v>9123</v>
      </c>
      <c r="J428" s="967"/>
    </row>
    <row r="429" spans="1:10" s="60" customFormat="1" ht="45" customHeight="1" x14ac:dyDescent="0.2">
      <c r="A429" s="963"/>
      <c r="B429" s="646" t="s">
        <v>11474</v>
      </c>
      <c r="C429" s="962"/>
      <c r="D429" s="139"/>
      <c r="E429" s="642" t="s">
        <v>4468</v>
      </c>
      <c r="F429" s="113">
        <v>294.5</v>
      </c>
      <c r="G429" s="646">
        <v>1970</v>
      </c>
      <c r="H429" s="43"/>
      <c r="I429" s="8" t="s">
        <v>9123</v>
      </c>
      <c r="J429" s="968"/>
    </row>
    <row r="430" spans="1:10" s="60" customFormat="1" ht="56.25" customHeight="1" x14ac:dyDescent="0.2">
      <c r="A430" s="646" t="s">
        <v>12529</v>
      </c>
      <c r="B430" s="10" t="s">
        <v>6989</v>
      </c>
      <c r="C430" s="101" t="s">
        <v>12526</v>
      </c>
      <c r="D430" s="99" t="s">
        <v>5650</v>
      </c>
      <c r="E430" s="12" t="s">
        <v>58</v>
      </c>
      <c r="F430" s="151">
        <v>12.6</v>
      </c>
      <c r="G430" s="10">
        <v>1970</v>
      </c>
      <c r="H430" s="155"/>
      <c r="I430" s="8" t="s">
        <v>9123</v>
      </c>
      <c r="J430" s="8" t="s">
        <v>14047</v>
      </c>
    </row>
    <row r="431" spans="1:10" s="60" customFormat="1" ht="28.5" customHeight="1" x14ac:dyDescent="0.2">
      <c r="A431" s="646" t="s">
        <v>2937</v>
      </c>
      <c r="B431" s="646" t="s">
        <v>8997</v>
      </c>
      <c r="C431" s="101" t="s">
        <v>5746</v>
      </c>
      <c r="D431" s="99" t="s">
        <v>8913</v>
      </c>
      <c r="E431" s="642"/>
      <c r="F431" s="113">
        <v>85</v>
      </c>
      <c r="G431" s="646">
        <v>1951</v>
      </c>
      <c r="H431" s="43">
        <v>634872.65</v>
      </c>
      <c r="I431" s="8" t="s">
        <v>11180</v>
      </c>
      <c r="J431" s="8" t="s">
        <v>11180</v>
      </c>
    </row>
    <row r="432" spans="1:10" s="60" customFormat="1" ht="27" customHeight="1" x14ac:dyDescent="0.2">
      <c r="A432" s="646" t="s">
        <v>2938</v>
      </c>
      <c r="B432" s="646" t="s">
        <v>4461</v>
      </c>
      <c r="C432" s="101" t="s">
        <v>5746</v>
      </c>
      <c r="D432" s="642" t="s">
        <v>5651</v>
      </c>
      <c r="E432" s="642"/>
      <c r="F432" s="113">
        <v>53</v>
      </c>
      <c r="G432" s="646">
        <v>1961</v>
      </c>
      <c r="H432" s="43">
        <v>34777.01</v>
      </c>
      <c r="I432" s="8" t="s">
        <v>11180</v>
      </c>
      <c r="J432" s="8" t="s">
        <v>11180</v>
      </c>
    </row>
    <row r="433" spans="1:10" s="60" customFormat="1" ht="57.75" customHeight="1" x14ac:dyDescent="0.2">
      <c r="A433" s="640" t="s">
        <v>2939</v>
      </c>
      <c r="B433" s="640" t="s">
        <v>2564</v>
      </c>
      <c r="C433" s="640" t="s">
        <v>12527</v>
      </c>
      <c r="D433" s="642" t="s">
        <v>8663</v>
      </c>
      <c r="E433" s="642" t="s">
        <v>59</v>
      </c>
      <c r="F433" s="113">
        <v>346.9</v>
      </c>
      <c r="G433" s="646">
        <v>1963</v>
      </c>
      <c r="H433" s="43">
        <v>2591027.3199999998</v>
      </c>
      <c r="I433" s="8" t="s">
        <v>9123</v>
      </c>
      <c r="J433" s="8" t="s">
        <v>14047</v>
      </c>
    </row>
    <row r="434" spans="1:10" s="5" customFormat="1" ht="24.75" customHeight="1" x14ac:dyDescent="0.2">
      <c r="A434" s="646" t="s">
        <v>2940</v>
      </c>
      <c r="B434" s="646" t="s">
        <v>5054</v>
      </c>
      <c r="C434" s="646" t="s">
        <v>6066</v>
      </c>
      <c r="D434" s="642" t="s">
        <v>5652</v>
      </c>
      <c r="E434" s="642" t="s">
        <v>2409</v>
      </c>
      <c r="F434" s="113">
        <v>50.8</v>
      </c>
      <c r="G434" s="646">
        <v>1961</v>
      </c>
      <c r="H434" s="43">
        <v>280000.96000000002</v>
      </c>
      <c r="I434" s="8" t="s">
        <v>11180</v>
      </c>
      <c r="J434" s="8" t="s">
        <v>11180</v>
      </c>
    </row>
    <row r="435" spans="1:10" ht="26.25" customHeight="1" x14ac:dyDescent="0.2">
      <c r="A435" s="646" t="s">
        <v>2941</v>
      </c>
      <c r="B435" s="647" t="s">
        <v>4464</v>
      </c>
      <c r="C435" s="647" t="s">
        <v>6066</v>
      </c>
      <c r="D435" s="642" t="s">
        <v>5653</v>
      </c>
      <c r="E435" s="380" t="s">
        <v>61</v>
      </c>
      <c r="F435" s="59">
        <v>347</v>
      </c>
      <c r="G435" s="647">
        <v>1993</v>
      </c>
      <c r="H435" s="23">
        <v>1306864.46</v>
      </c>
      <c r="I435" s="635" t="s">
        <v>11166</v>
      </c>
      <c r="J435" s="728" t="s">
        <v>14046</v>
      </c>
    </row>
    <row r="436" spans="1:10" s="60" customFormat="1" ht="25.5" customHeight="1" x14ac:dyDescent="0.2">
      <c r="A436" s="646" t="s">
        <v>3053</v>
      </c>
      <c r="B436" s="646" t="s">
        <v>10656</v>
      </c>
      <c r="C436" s="646" t="s">
        <v>5746</v>
      </c>
      <c r="D436" s="642" t="s">
        <v>5654</v>
      </c>
      <c r="E436" s="642" t="s">
        <v>183</v>
      </c>
      <c r="F436" s="113">
        <v>58.5</v>
      </c>
      <c r="G436" s="646">
        <v>1993</v>
      </c>
      <c r="H436" s="43">
        <v>436941.77</v>
      </c>
      <c r="I436" s="635" t="s">
        <v>11166</v>
      </c>
      <c r="J436" s="728" t="s">
        <v>14046</v>
      </c>
    </row>
    <row r="437" spans="1:10" ht="26.25" customHeight="1" x14ac:dyDescent="0.2">
      <c r="A437" s="646" t="s">
        <v>2942</v>
      </c>
      <c r="B437" s="647" t="s">
        <v>2155</v>
      </c>
      <c r="C437" s="646" t="s">
        <v>5746</v>
      </c>
      <c r="D437" s="642"/>
      <c r="E437" s="380"/>
      <c r="F437" s="59">
        <v>50</v>
      </c>
      <c r="G437" s="647">
        <v>2000</v>
      </c>
      <c r="H437" s="23"/>
      <c r="I437" s="647" t="s">
        <v>11188</v>
      </c>
      <c r="J437" s="647" t="s">
        <v>11188</v>
      </c>
    </row>
    <row r="438" spans="1:10" ht="36.75" customHeight="1" x14ac:dyDescent="0.2">
      <c r="A438" s="646" t="s">
        <v>2943</v>
      </c>
      <c r="B438" s="647" t="s">
        <v>10657</v>
      </c>
      <c r="C438" s="646" t="s">
        <v>5746</v>
      </c>
      <c r="D438" s="642" t="s">
        <v>5655</v>
      </c>
      <c r="E438" s="380" t="s">
        <v>2409</v>
      </c>
      <c r="F438" s="59">
        <v>29.5</v>
      </c>
      <c r="G438" s="647">
        <v>2001</v>
      </c>
      <c r="H438" s="23">
        <v>73936.740000000005</v>
      </c>
      <c r="I438" s="635" t="s">
        <v>11166</v>
      </c>
      <c r="J438" s="728" t="s">
        <v>14046</v>
      </c>
    </row>
    <row r="439" spans="1:10" ht="26.25" customHeight="1" x14ac:dyDescent="0.2">
      <c r="A439" s="646" t="s">
        <v>2944</v>
      </c>
      <c r="B439" s="647" t="s">
        <v>4095</v>
      </c>
      <c r="C439" s="646" t="s">
        <v>5746</v>
      </c>
      <c r="D439" s="642" t="s">
        <v>5656</v>
      </c>
      <c r="E439" s="380" t="s">
        <v>2409</v>
      </c>
      <c r="F439" s="59">
        <v>127.8</v>
      </c>
      <c r="G439" s="647">
        <v>2001</v>
      </c>
      <c r="H439" s="23">
        <v>320308.96999999997</v>
      </c>
      <c r="I439" s="635" t="s">
        <v>11166</v>
      </c>
      <c r="J439" s="728" t="s">
        <v>14046</v>
      </c>
    </row>
    <row r="440" spans="1:10" ht="38.25" customHeight="1" x14ac:dyDescent="0.2">
      <c r="A440" s="646" t="s">
        <v>2945</v>
      </c>
      <c r="B440" s="647" t="s">
        <v>4541</v>
      </c>
      <c r="C440" s="647" t="s">
        <v>6067</v>
      </c>
      <c r="D440" s="642" t="s">
        <v>5657</v>
      </c>
      <c r="E440" s="380" t="s">
        <v>170</v>
      </c>
      <c r="F440" s="59">
        <v>246.3</v>
      </c>
      <c r="G440" s="647">
        <v>1965</v>
      </c>
      <c r="H440" s="23">
        <v>1839636.87</v>
      </c>
      <c r="I440" s="647" t="s">
        <v>3456</v>
      </c>
      <c r="J440" s="647" t="s">
        <v>3456</v>
      </c>
    </row>
    <row r="441" spans="1:10" s="60" customFormat="1" ht="26.25" customHeight="1" x14ac:dyDescent="0.2">
      <c r="A441" s="646" t="s">
        <v>2946</v>
      </c>
      <c r="B441" s="646" t="s">
        <v>4469</v>
      </c>
      <c r="C441" s="646" t="s">
        <v>5746</v>
      </c>
      <c r="D441" s="642" t="s">
        <v>5658</v>
      </c>
      <c r="E441" s="642" t="s">
        <v>183</v>
      </c>
      <c r="F441" s="113">
        <v>77.5</v>
      </c>
      <c r="G441" s="646">
        <v>1970</v>
      </c>
      <c r="H441" s="43">
        <v>578854.48</v>
      </c>
      <c r="I441" s="8" t="s">
        <v>9123</v>
      </c>
      <c r="J441" s="8" t="s">
        <v>14047</v>
      </c>
    </row>
    <row r="442" spans="1:10" s="5" customFormat="1" ht="28.5" customHeight="1" x14ac:dyDescent="0.2">
      <c r="A442" s="646" t="s">
        <v>2947</v>
      </c>
      <c r="B442" s="646" t="s">
        <v>2156</v>
      </c>
      <c r="C442" s="646" t="s">
        <v>5746</v>
      </c>
      <c r="D442" s="642"/>
      <c r="E442" s="642"/>
      <c r="F442" s="113"/>
      <c r="G442" s="646">
        <v>1966</v>
      </c>
      <c r="H442" s="43"/>
      <c r="I442" s="646" t="s">
        <v>400</v>
      </c>
      <c r="J442" s="646" t="s">
        <v>400</v>
      </c>
    </row>
    <row r="443" spans="1:10" s="60" customFormat="1" ht="26.25" customHeight="1" x14ac:dyDescent="0.2">
      <c r="A443" s="646" t="s">
        <v>2948</v>
      </c>
      <c r="B443" s="646" t="s">
        <v>11200</v>
      </c>
      <c r="C443" s="646" t="s">
        <v>5746</v>
      </c>
      <c r="D443" s="642" t="s">
        <v>5659</v>
      </c>
      <c r="E443" s="642" t="s">
        <v>2409</v>
      </c>
      <c r="F443" s="113">
        <v>66.8</v>
      </c>
      <c r="G443" s="646">
        <v>1992</v>
      </c>
      <c r="H443" s="43">
        <v>498935.21</v>
      </c>
      <c r="I443" s="8" t="s">
        <v>11166</v>
      </c>
      <c r="J443" s="728" t="s">
        <v>14046</v>
      </c>
    </row>
    <row r="444" spans="1:10" s="60" customFormat="1" ht="26.25" customHeight="1" x14ac:dyDescent="0.2">
      <c r="A444" s="646" t="s">
        <v>2949</v>
      </c>
      <c r="B444" s="646" t="s">
        <v>2472</v>
      </c>
      <c r="C444" s="646" t="s">
        <v>5743</v>
      </c>
      <c r="D444" s="642" t="s">
        <v>5660</v>
      </c>
      <c r="E444" s="642" t="s">
        <v>2471</v>
      </c>
      <c r="F444" s="113">
        <v>387.4</v>
      </c>
      <c r="G444" s="646" t="s">
        <v>85</v>
      </c>
      <c r="H444" s="43">
        <v>2130331.9700000002</v>
      </c>
      <c r="I444" s="8" t="s">
        <v>11166</v>
      </c>
      <c r="J444" s="728" t="s">
        <v>14046</v>
      </c>
    </row>
    <row r="445" spans="1:10" s="60" customFormat="1" ht="26.25" customHeight="1" x14ac:dyDescent="0.2">
      <c r="A445" s="646" t="s">
        <v>2950</v>
      </c>
      <c r="B445" s="646" t="s">
        <v>2473</v>
      </c>
      <c r="C445" s="646" t="s">
        <v>5743</v>
      </c>
      <c r="D445" s="642" t="s">
        <v>5661</v>
      </c>
      <c r="E445" s="642" t="s">
        <v>2409</v>
      </c>
      <c r="F445" s="113">
        <v>23.2</v>
      </c>
      <c r="G445" s="646" t="s">
        <v>532</v>
      </c>
      <c r="H445" s="43">
        <v>127577.96</v>
      </c>
      <c r="I445" s="8" t="s">
        <v>11166</v>
      </c>
      <c r="J445" s="728" t="s">
        <v>14046</v>
      </c>
    </row>
    <row r="446" spans="1:10" ht="58.5" customHeight="1" x14ac:dyDescent="0.2">
      <c r="A446" s="646" t="s">
        <v>2951</v>
      </c>
      <c r="B446" s="647" t="s">
        <v>4470</v>
      </c>
      <c r="C446" s="646" t="s">
        <v>12528</v>
      </c>
      <c r="D446" s="642" t="s">
        <v>5662</v>
      </c>
      <c r="E446" s="380" t="s">
        <v>61</v>
      </c>
      <c r="F446" s="59">
        <v>451.5</v>
      </c>
      <c r="G446" s="647">
        <v>1984</v>
      </c>
      <c r="H446" s="23">
        <v>1700430.27</v>
      </c>
      <c r="I446" s="8" t="s">
        <v>9123</v>
      </c>
      <c r="J446" s="8" t="s">
        <v>14047</v>
      </c>
    </row>
    <row r="447" spans="1:10" ht="33.75" customHeight="1" x14ac:dyDescent="0.2">
      <c r="A447" s="646" t="s">
        <v>2952</v>
      </c>
      <c r="B447" s="646" t="s">
        <v>2475</v>
      </c>
      <c r="C447" s="646" t="s">
        <v>6068</v>
      </c>
      <c r="D447" s="642"/>
      <c r="E447" s="642" t="s">
        <v>2474</v>
      </c>
      <c r="F447" s="113">
        <v>12</v>
      </c>
      <c r="G447" s="646">
        <v>2004</v>
      </c>
      <c r="H447" s="43"/>
      <c r="I447" s="646" t="s">
        <v>319</v>
      </c>
      <c r="J447" s="646" t="s">
        <v>319</v>
      </c>
    </row>
    <row r="448" spans="1:10" ht="33.75" customHeight="1" x14ac:dyDescent="0.2">
      <c r="A448" s="646" t="s">
        <v>2953</v>
      </c>
      <c r="B448" s="646" t="s">
        <v>2475</v>
      </c>
      <c r="C448" s="646" t="s">
        <v>6069</v>
      </c>
      <c r="D448" s="642"/>
      <c r="E448" s="642" t="s">
        <v>2474</v>
      </c>
      <c r="F448" s="113">
        <v>12</v>
      </c>
      <c r="G448" s="646">
        <v>2004</v>
      </c>
      <c r="H448" s="43"/>
      <c r="I448" s="646" t="s">
        <v>319</v>
      </c>
      <c r="J448" s="646" t="s">
        <v>319</v>
      </c>
    </row>
    <row r="449" spans="1:10" s="5" customFormat="1" ht="23.25" customHeight="1" x14ac:dyDescent="0.2">
      <c r="A449" s="646" t="s">
        <v>3054</v>
      </c>
      <c r="B449" s="646" t="s">
        <v>3864</v>
      </c>
      <c r="C449" s="630" t="s">
        <v>9376</v>
      </c>
      <c r="D449" s="20" t="s">
        <v>5663</v>
      </c>
      <c r="E449" s="20" t="s">
        <v>2476</v>
      </c>
      <c r="F449" s="113">
        <v>217.6</v>
      </c>
      <c r="G449" s="646">
        <v>1967</v>
      </c>
      <c r="H449" s="43">
        <v>2285015.42</v>
      </c>
      <c r="I449" s="234" t="s">
        <v>9123</v>
      </c>
      <c r="J449" s="234" t="s">
        <v>9123</v>
      </c>
    </row>
    <row r="450" spans="1:10" s="5" customFormat="1" ht="23.25" customHeight="1" x14ac:dyDescent="0.2">
      <c r="A450" s="646" t="s">
        <v>10875</v>
      </c>
      <c r="B450" s="646" t="s">
        <v>6987</v>
      </c>
      <c r="C450" s="630" t="s">
        <v>9376</v>
      </c>
      <c r="D450" s="20" t="s">
        <v>10989</v>
      </c>
      <c r="E450" s="20" t="s">
        <v>10876</v>
      </c>
      <c r="F450" s="113">
        <v>92.9</v>
      </c>
      <c r="G450" s="646" t="s">
        <v>3872</v>
      </c>
      <c r="H450" s="43">
        <v>643640</v>
      </c>
      <c r="I450" s="234" t="s">
        <v>9123</v>
      </c>
      <c r="J450" s="234" t="s">
        <v>9123</v>
      </c>
    </row>
    <row r="451" spans="1:10" s="5" customFormat="1" ht="23.25" customHeight="1" x14ac:dyDescent="0.2">
      <c r="A451" s="646" t="s">
        <v>2954</v>
      </c>
      <c r="B451" s="646" t="s">
        <v>549</v>
      </c>
      <c r="C451" s="630" t="s">
        <v>291</v>
      </c>
      <c r="D451" s="20" t="s">
        <v>5664</v>
      </c>
      <c r="E451" s="20" t="s">
        <v>2409</v>
      </c>
      <c r="F451" s="113">
        <v>20.5</v>
      </c>
      <c r="G451" s="646" t="s">
        <v>3872</v>
      </c>
      <c r="H451" s="43">
        <v>215270.3</v>
      </c>
      <c r="I451" s="234" t="s">
        <v>9123</v>
      </c>
      <c r="J451" s="234" t="s">
        <v>9123</v>
      </c>
    </row>
    <row r="452" spans="1:10" s="69" customFormat="1" ht="36" customHeight="1" x14ac:dyDescent="0.2">
      <c r="A452" s="646" t="s">
        <v>2955</v>
      </c>
      <c r="B452" s="646" t="s">
        <v>475</v>
      </c>
      <c r="C452" s="646" t="s">
        <v>12426</v>
      </c>
      <c r="D452" s="642" t="s">
        <v>12427</v>
      </c>
      <c r="E452" s="642" t="s">
        <v>2477</v>
      </c>
      <c r="F452" s="113">
        <v>541.9</v>
      </c>
      <c r="G452" s="646" t="s">
        <v>4343</v>
      </c>
      <c r="H452" s="43">
        <v>5690486.4800000004</v>
      </c>
      <c r="I452" s="234" t="s">
        <v>11864</v>
      </c>
      <c r="J452" s="234" t="s">
        <v>11864</v>
      </c>
    </row>
    <row r="453" spans="1:10" s="5" customFormat="1" ht="36.75" customHeight="1" x14ac:dyDescent="0.2">
      <c r="A453" s="646" t="s">
        <v>2956</v>
      </c>
      <c r="B453" s="646" t="s">
        <v>3666</v>
      </c>
      <c r="C453" s="646" t="s">
        <v>11010</v>
      </c>
      <c r="D453" s="642" t="s">
        <v>10968</v>
      </c>
      <c r="E453" s="642" t="s">
        <v>2419</v>
      </c>
      <c r="F453" s="113">
        <v>153.80000000000001</v>
      </c>
      <c r="G453" s="646">
        <v>2001</v>
      </c>
      <c r="H453" s="43">
        <v>325802.23</v>
      </c>
      <c r="I453" s="646" t="s">
        <v>3790</v>
      </c>
      <c r="J453" s="646" t="s">
        <v>3790</v>
      </c>
    </row>
    <row r="454" spans="1:10" s="198" customFormat="1" ht="39.75" customHeight="1" x14ac:dyDescent="0.2">
      <c r="A454" s="646" t="s">
        <v>2957</v>
      </c>
      <c r="B454" s="646" t="s">
        <v>3666</v>
      </c>
      <c r="C454" s="646" t="s">
        <v>6070</v>
      </c>
      <c r="D454" s="642" t="s">
        <v>6482</v>
      </c>
      <c r="E454" s="642" t="s">
        <v>2419</v>
      </c>
      <c r="F454" s="113">
        <v>202.7</v>
      </c>
      <c r="G454" s="646">
        <v>1979</v>
      </c>
      <c r="H454" s="43">
        <v>3583545.46</v>
      </c>
      <c r="I454" s="646" t="s">
        <v>3790</v>
      </c>
      <c r="J454" s="646" t="s">
        <v>3790</v>
      </c>
    </row>
    <row r="455" spans="1:10" s="198" customFormat="1" ht="35.25" customHeight="1" x14ac:dyDescent="0.2">
      <c r="A455" s="646" t="s">
        <v>4394</v>
      </c>
      <c r="B455" s="646" t="s">
        <v>3666</v>
      </c>
      <c r="C455" s="646" t="s">
        <v>6063</v>
      </c>
      <c r="D455" s="642" t="s">
        <v>6630</v>
      </c>
      <c r="E455" s="642" t="s">
        <v>2419</v>
      </c>
      <c r="F455" s="113">
        <f>440-13</f>
        <v>427</v>
      </c>
      <c r="G455" s="646" t="s">
        <v>3789</v>
      </c>
      <c r="H455" s="977">
        <v>2454364</v>
      </c>
      <c r="I455" s="646" t="s">
        <v>3790</v>
      </c>
      <c r="J455" s="646" t="s">
        <v>3790</v>
      </c>
    </row>
    <row r="456" spans="1:10" ht="102" customHeight="1" x14ac:dyDescent="0.2">
      <c r="A456" s="646" t="s">
        <v>4395</v>
      </c>
      <c r="B456" s="647" t="s">
        <v>292</v>
      </c>
      <c r="C456" s="647" t="s">
        <v>6063</v>
      </c>
      <c r="D456" s="642"/>
      <c r="E456" s="380" t="s">
        <v>2419</v>
      </c>
      <c r="F456" s="59">
        <v>13</v>
      </c>
      <c r="G456" s="647" t="s">
        <v>3789</v>
      </c>
      <c r="H456" s="971"/>
      <c r="I456" s="34" t="s">
        <v>4392</v>
      </c>
      <c r="J456" s="34" t="s">
        <v>4392</v>
      </c>
    </row>
    <row r="457" spans="1:10" ht="37.5" customHeight="1" x14ac:dyDescent="0.2">
      <c r="A457" s="646" t="s">
        <v>2958</v>
      </c>
      <c r="B457" s="646" t="s">
        <v>3666</v>
      </c>
      <c r="C457" s="647" t="s">
        <v>11143</v>
      </c>
      <c r="D457" s="642" t="s">
        <v>6570</v>
      </c>
      <c r="E457" s="642" t="s">
        <v>2419</v>
      </c>
      <c r="F457" s="113">
        <v>362.9</v>
      </c>
      <c r="G457" s="646">
        <v>1999</v>
      </c>
      <c r="H457" s="43">
        <v>5023980.34</v>
      </c>
      <c r="I457" s="646" t="s">
        <v>3790</v>
      </c>
      <c r="J457" s="646" t="s">
        <v>3790</v>
      </c>
    </row>
    <row r="458" spans="1:10" ht="38.25" customHeight="1" x14ac:dyDescent="0.2">
      <c r="A458" s="646" t="s">
        <v>2959</v>
      </c>
      <c r="B458" s="646" t="s">
        <v>3666</v>
      </c>
      <c r="C458" s="646" t="s">
        <v>11363</v>
      </c>
      <c r="D458" s="642" t="s">
        <v>6569</v>
      </c>
      <c r="E458" s="642" t="s">
        <v>2419</v>
      </c>
      <c r="F458" s="113">
        <v>150.69999999999999</v>
      </c>
      <c r="G458" s="646">
        <v>2002</v>
      </c>
      <c r="H458" s="43">
        <v>488393.08</v>
      </c>
      <c r="I458" s="646" t="s">
        <v>3790</v>
      </c>
      <c r="J458" s="646" t="s">
        <v>3790</v>
      </c>
    </row>
    <row r="459" spans="1:10" s="60" customFormat="1" ht="22.5" customHeight="1" x14ac:dyDescent="0.2">
      <c r="A459" s="646" t="s">
        <v>2960</v>
      </c>
      <c r="B459" s="646" t="s">
        <v>3302</v>
      </c>
      <c r="C459" s="646" t="s">
        <v>6008</v>
      </c>
      <c r="D459" s="642" t="s">
        <v>5665</v>
      </c>
      <c r="E459" s="642" t="s">
        <v>2409</v>
      </c>
      <c r="F459" s="113">
        <v>28.4</v>
      </c>
      <c r="G459" s="646" t="s">
        <v>3301</v>
      </c>
      <c r="H459" s="43">
        <v>208399.53</v>
      </c>
      <c r="I459" s="646" t="s">
        <v>5449</v>
      </c>
      <c r="J459" s="646" t="s">
        <v>5449</v>
      </c>
    </row>
    <row r="460" spans="1:10" s="5" customFormat="1" ht="33" customHeight="1" x14ac:dyDescent="0.2">
      <c r="A460" s="646" t="s">
        <v>2961</v>
      </c>
      <c r="B460" s="646" t="s">
        <v>8803</v>
      </c>
      <c r="C460" s="646" t="s">
        <v>6062</v>
      </c>
      <c r="D460" s="642"/>
      <c r="E460" s="646" t="s">
        <v>3276</v>
      </c>
      <c r="F460" s="113"/>
      <c r="G460" s="646">
        <v>2004</v>
      </c>
      <c r="H460" s="43"/>
      <c r="I460" s="646" t="s">
        <v>3246</v>
      </c>
      <c r="J460" s="646" t="s">
        <v>3246</v>
      </c>
    </row>
    <row r="461" spans="1:10" ht="39" customHeight="1" x14ac:dyDescent="0.2">
      <c r="A461" s="646" t="s">
        <v>2962</v>
      </c>
      <c r="B461" s="647" t="s">
        <v>2478</v>
      </c>
      <c r="C461" s="647" t="s">
        <v>6062</v>
      </c>
      <c r="D461" s="642"/>
      <c r="E461" s="647" t="s">
        <v>3276</v>
      </c>
      <c r="F461" s="59">
        <v>22</v>
      </c>
      <c r="G461" s="647">
        <v>2004</v>
      </c>
      <c r="H461" s="23"/>
      <c r="I461" s="646" t="s">
        <v>4378</v>
      </c>
      <c r="J461" s="646" t="s">
        <v>4378</v>
      </c>
    </row>
    <row r="462" spans="1:10" ht="57" customHeight="1" x14ac:dyDescent="0.2">
      <c r="A462" s="647" t="s">
        <v>2963</v>
      </c>
      <c r="B462" s="647" t="s">
        <v>13473</v>
      </c>
      <c r="C462" s="647" t="s">
        <v>13474</v>
      </c>
      <c r="D462" s="642" t="s">
        <v>13475</v>
      </c>
      <c r="E462" s="380" t="s">
        <v>13476</v>
      </c>
      <c r="F462" s="59">
        <v>64</v>
      </c>
      <c r="G462" s="647">
        <v>1972</v>
      </c>
      <c r="H462" s="23">
        <v>799927.04</v>
      </c>
      <c r="I462" s="647" t="s">
        <v>5737</v>
      </c>
      <c r="J462" s="647" t="s">
        <v>5737</v>
      </c>
    </row>
    <row r="463" spans="1:10" s="5" customFormat="1" ht="24.75" customHeight="1" x14ac:dyDescent="0.2">
      <c r="A463" s="646" t="s">
        <v>2964</v>
      </c>
      <c r="B463" s="646" t="s">
        <v>2479</v>
      </c>
      <c r="C463" s="646" t="s">
        <v>6061</v>
      </c>
      <c r="D463" s="642"/>
      <c r="E463" s="642"/>
      <c r="F463" s="113">
        <v>12</v>
      </c>
      <c r="G463" s="646">
        <v>1995</v>
      </c>
      <c r="H463" s="43"/>
      <c r="I463" s="646" t="s">
        <v>411</v>
      </c>
      <c r="J463" s="646" t="s">
        <v>411</v>
      </c>
    </row>
    <row r="464" spans="1:10" ht="46.5" customHeight="1" x14ac:dyDescent="0.2">
      <c r="A464" s="647" t="s">
        <v>2965</v>
      </c>
      <c r="B464" s="646" t="s">
        <v>3687</v>
      </c>
      <c r="C464" s="647" t="s">
        <v>9423</v>
      </c>
      <c r="D464" s="642" t="s">
        <v>9424</v>
      </c>
      <c r="E464" s="380" t="s">
        <v>3318</v>
      </c>
      <c r="F464" s="59">
        <v>77.8</v>
      </c>
      <c r="G464" s="647">
        <v>1982</v>
      </c>
      <c r="H464" s="23">
        <v>956572.78</v>
      </c>
      <c r="I464" s="8" t="s">
        <v>11180</v>
      </c>
      <c r="J464" s="8" t="s">
        <v>11180</v>
      </c>
    </row>
    <row r="465" spans="1:10" s="5" customFormat="1" ht="36" customHeight="1" x14ac:dyDescent="0.2">
      <c r="A465" s="646" t="s">
        <v>2966</v>
      </c>
      <c r="B465" s="646" t="s">
        <v>335</v>
      </c>
      <c r="C465" s="646" t="s">
        <v>6060</v>
      </c>
      <c r="D465" s="642"/>
      <c r="E465" s="642"/>
      <c r="F465" s="113">
        <v>185.4</v>
      </c>
      <c r="G465" s="646">
        <v>2006</v>
      </c>
      <c r="H465" s="43"/>
      <c r="I465" s="646" t="s">
        <v>402</v>
      </c>
      <c r="J465" s="646" t="s">
        <v>402</v>
      </c>
    </row>
    <row r="466" spans="1:10" s="5" customFormat="1" ht="23.25" customHeight="1" x14ac:dyDescent="0.2">
      <c r="A466" s="630" t="s">
        <v>2967</v>
      </c>
      <c r="B466" s="630" t="s">
        <v>548</v>
      </c>
      <c r="C466" s="630" t="s">
        <v>6284</v>
      </c>
      <c r="D466" s="642" t="s">
        <v>6332</v>
      </c>
      <c r="E466" s="642" t="s">
        <v>2409</v>
      </c>
      <c r="F466" s="113">
        <v>571.79999999999995</v>
      </c>
      <c r="G466" s="646"/>
      <c r="H466" s="43">
        <v>7030441.0999999996</v>
      </c>
      <c r="I466" s="276" t="s">
        <v>9123</v>
      </c>
      <c r="J466" s="276" t="s">
        <v>9123</v>
      </c>
    </row>
    <row r="467" spans="1:10" s="60" customFormat="1" ht="46.5" customHeight="1" x14ac:dyDescent="0.2">
      <c r="A467" s="646" t="s">
        <v>2968</v>
      </c>
      <c r="B467" s="646" t="s">
        <v>8659</v>
      </c>
      <c r="C467" s="646" t="s">
        <v>6277</v>
      </c>
      <c r="D467" s="642" t="s">
        <v>8616</v>
      </c>
      <c r="E467" s="642" t="s">
        <v>2440</v>
      </c>
      <c r="F467" s="113">
        <v>885.5</v>
      </c>
      <c r="G467" s="646">
        <v>1988</v>
      </c>
      <c r="H467" s="43">
        <v>1875798.93</v>
      </c>
      <c r="I467" s="646" t="s">
        <v>505</v>
      </c>
      <c r="J467" s="646" t="s">
        <v>505</v>
      </c>
    </row>
    <row r="468" spans="1:10" ht="36.75" customHeight="1" x14ac:dyDescent="0.2">
      <c r="A468" s="646" t="s">
        <v>2969</v>
      </c>
      <c r="B468" s="646" t="s">
        <v>6990</v>
      </c>
      <c r="C468" s="646" t="s">
        <v>6059</v>
      </c>
      <c r="D468" s="642" t="s">
        <v>6648</v>
      </c>
      <c r="E468" s="642" t="s">
        <v>6694</v>
      </c>
      <c r="F468" s="113">
        <v>2064.9</v>
      </c>
      <c r="G468" s="646">
        <v>1963</v>
      </c>
      <c r="H468" s="43">
        <v>424481.49</v>
      </c>
      <c r="I468" s="646" t="s">
        <v>3980</v>
      </c>
      <c r="J468" s="646" t="s">
        <v>3980</v>
      </c>
    </row>
    <row r="469" spans="1:10" ht="23.25" customHeight="1" x14ac:dyDescent="0.2">
      <c r="A469" s="647" t="s">
        <v>2970</v>
      </c>
      <c r="B469" s="647" t="s">
        <v>3688</v>
      </c>
      <c r="C469" s="647" t="s">
        <v>9004</v>
      </c>
      <c r="D469" s="642" t="s">
        <v>5666</v>
      </c>
      <c r="E469" s="380" t="s">
        <v>2419</v>
      </c>
      <c r="F469" s="59">
        <v>74.7</v>
      </c>
      <c r="G469" s="647">
        <v>2006</v>
      </c>
      <c r="H469" s="23">
        <v>715014.95</v>
      </c>
      <c r="I469" s="647" t="s">
        <v>3966</v>
      </c>
      <c r="J469" s="647"/>
    </row>
    <row r="470" spans="1:10" ht="68.25" customHeight="1" x14ac:dyDescent="0.2">
      <c r="A470" s="646" t="s">
        <v>2971</v>
      </c>
      <c r="B470" s="647" t="s">
        <v>3689</v>
      </c>
      <c r="C470" s="647" t="s">
        <v>6058</v>
      </c>
      <c r="D470" s="20" t="s">
        <v>10990</v>
      </c>
      <c r="E470" s="380" t="s">
        <v>2419</v>
      </c>
      <c r="F470" s="59">
        <v>44.4</v>
      </c>
      <c r="G470" s="647">
        <v>2006</v>
      </c>
      <c r="H470" s="23">
        <v>437463.88</v>
      </c>
      <c r="I470" s="703" t="s">
        <v>13878</v>
      </c>
      <c r="J470" s="703" t="s">
        <v>13906</v>
      </c>
    </row>
    <row r="471" spans="1:10" ht="36" customHeight="1" x14ac:dyDescent="0.2">
      <c r="A471" s="646" t="s">
        <v>2972</v>
      </c>
      <c r="B471" s="646" t="s">
        <v>336</v>
      </c>
      <c r="C471" s="646" t="s">
        <v>9012</v>
      </c>
      <c r="D471" s="642" t="s">
        <v>9013</v>
      </c>
      <c r="E471" s="642" t="s">
        <v>2430</v>
      </c>
      <c r="F471" s="113">
        <v>69.099999999999994</v>
      </c>
      <c r="G471" s="646">
        <v>2006</v>
      </c>
      <c r="H471" s="43">
        <v>17301.95</v>
      </c>
      <c r="I471" s="646" t="s">
        <v>3981</v>
      </c>
      <c r="J471" s="646" t="s">
        <v>3981</v>
      </c>
    </row>
    <row r="472" spans="1:10" s="60" customFormat="1" ht="49.5" customHeight="1" x14ac:dyDescent="0.2">
      <c r="A472" s="646" t="s">
        <v>2973</v>
      </c>
      <c r="B472" s="646" t="s">
        <v>8659</v>
      </c>
      <c r="C472" s="646" t="s">
        <v>6628</v>
      </c>
      <c r="D472" s="642" t="s">
        <v>9109</v>
      </c>
      <c r="E472" s="642" t="s">
        <v>2419</v>
      </c>
      <c r="F472" s="113">
        <v>406.7</v>
      </c>
      <c r="G472" s="646">
        <v>1965</v>
      </c>
      <c r="H472" s="43">
        <v>6322684.2800000003</v>
      </c>
      <c r="I472" s="646" t="s">
        <v>91</v>
      </c>
      <c r="J472" s="646" t="s">
        <v>91</v>
      </c>
    </row>
    <row r="473" spans="1:10" s="60" customFormat="1" ht="25.5" customHeight="1" x14ac:dyDescent="0.2">
      <c r="A473" s="646" t="s">
        <v>2974</v>
      </c>
      <c r="B473" s="646" t="s">
        <v>4471</v>
      </c>
      <c r="C473" s="646" t="s">
        <v>6263</v>
      </c>
      <c r="D473" s="20" t="s">
        <v>5667</v>
      </c>
      <c r="E473" s="642" t="s">
        <v>170</v>
      </c>
      <c r="F473" s="113">
        <f>650.3-100.7</f>
        <v>549.59999999999991</v>
      </c>
      <c r="G473" s="646" t="s">
        <v>2830</v>
      </c>
      <c r="H473" s="43">
        <v>1873904.48</v>
      </c>
      <c r="I473" s="8" t="s">
        <v>9123</v>
      </c>
      <c r="J473" s="8" t="s">
        <v>14047</v>
      </c>
    </row>
    <row r="474" spans="1:10" s="60" customFormat="1" ht="24" customHeight="1" x14ac:dyDescent="0.2">
      <c r="A474" s="646" t="s">
        <v>3969</v>
      </c>
      <c r="B474" s="33" t="s">
        <v>4046</v>
      </c>
      <c r="C474" s="646" t="s">
        <v>6263</v>
      </c>
      <c r="D474" s="147" t="s">
        <v>12489</v>
      </c>
      <c r="E474" s="642" t="s">
        <v>183</v>
      </c>
      <c r="F474" s="113">
        <f>100.7</f>
        <v>100.7</v>
      </c>
      <c r="G474" s="646" t="s">
        <v>2830</v>
      </c>
      <c r="H474" s="43">
        <v>379254.33</v>
      </c>
      <c r="I474" s="12" t="s">
        <v>3970</v>
      </c>
      <c r="J474" s="12" t="s">
        <v>3970</v>
      </c>
    </row>
    <row r="475" spans="1:10" s="60" customFormat="1" ht="26.25" customHeight="1" x14ac:dyDescent="0.2">
      <c r="A475" s="646" t="s">
        <v>2975</v>
      </c>
      <c r="B475" s="630" t="s">
        <v>494</v>
      </c>
      <c r="C475" s="646" t="s">
        <v>6264</v>
      </c>
      <c r="D475" s="642" t="s">
        <v>5668</v>
      </c>
      <c r="E475" s="642" t="s">
        <v>62</v>
      </c>
      <c r="F475" s="113">
        <v>211.7</v>
      </c>
      <c r="G475" s="646">
        <v>1962</v>
      </c>
      <c r="H475" s="43">
        <v>610034.72</v>
      </c>
      <c r="I475" s="8" t="s">
        <v>9123</v>
      </c>
      <c r="J475" s="8" t="s">
        <v>14047</v>
      </c>
    </row>
    <row r="476" spans="1:10" s="60" customFormat="1" ht="29.25" customHeight="1" x14ac:dyDescent="0.2">
      <c r="A476" s="646" t="s">
        <v>2976</v>
      </c>
      <c r="B476" s="646" t="s">
        <v>548</v>
      </c>
      <c r="C476" s="961" t="s">
        <v>6057</v>
      </c>
      <c r="D476" s="642" t="s">
        <v>5669</v>
      </c>
      <c r="E476" s="646" t="s">
        <v>63</v>
      </c>
      <c r="F476" s="113">
        <v>113.9</v>
      </c>
      <c r="G476" s="646" t="s">
        <v>73</v>
      </c>
      <c r="H476" s="43">
        <v>328214.24</v>
      </c>
      <c r="I476" s="8" t="s">
        <v>9123</v>
      </c>
      <c r="J476" s="8" t="s">
        <v>14047</v>
      </c>
    </row>
    <row r="477" spans="1:10" s="60" customFormat="1" ht="36.75" customHeight="1" x14ac:dyDescent="0.2">
      <c r="A477" s="646" t="s">
        <v>4345</v>
      </c>
      <c r="B477" s="646" t="s">
        <v>4346</v>
      </c>
      <c r="C477" s="962"/>
      <c r="D477" s="642" t="s">
        <v>5670</v>
      </c>
      <c r="E477" s="646" t="s">
        <v>59</v>
      </c>
      <c r="F477" s="113">
        <v>140.9</v>
      </c>
      <c r="G477" s="646" t="s">
        <v>73</v>
      </c>
      <c r="H477" s="43">
        <v>406017.44</v>
      </c>
      <c r="I477" s="8" t="s">
        <v>9123</v>
      </c>
      <c r="J477" s="8" t="s">
        <v>14047</v>
      </c>
    </row>
    <row r="478" spans="1:10" s="60" customFormat="1" ht="37.5" customHeight="1" x14ac:dyDescent="0.2">
      <c r="A478" s="630" t="s">
        <v>2977</v>
      </c>
      <c r="B478" s="630" t="s">
        <v>4344</v>
      </c>
      <c r="C478" s="630" t="s">
        <v>6056</v>
      </c>
      <c r="D478" s="642" t="s">
        <v>5671</v>
      </c>
      <c r="E478" s="642" t="s">
        <v>62</v>
      </c>
      <c r="F478" s="113">
        <v>152.5</v>
      </c>
      <c r="G478" s="646" t="s">
        <v>2830</v>
      </c>
      <c r="H478" s="43">
        <v>439444</v>
      </c>
      <c r="I478" s="8" t="s">
        <v>9123</v>
      </c>
      <c r="J478" s="8" t="s">
        <v>14047</v>
      </c>
    </row>
    <row r="479" spans="1:10" s="62" customFormat="1" ht="27" customHeight="1" x14ac:dyDescent="0.2">
      <c r="A479" s="646" t="s">
        <v>2978</v>
      </c>
      <c r="B479" s="646" t="s">
        <v>2480</v>
      </c>
      <c r="C479" s="646" t="s">
        <v>6055</v>
      </c>
      <c r="D479" s="642"/>
      <c r="E479" s="642" t="s">
        <v>2409</v>
      </c>
      <c r="F479" s="113">
        <v>413.2</v>
      </c>
      <c r="G479" s="646">
        <v>1952</v>
      </c>
      <c r="H479" s="43"/>
      <c r="I479" s="646"/>
      <c r="J479" s="646"/>
    </row>
    <row r="480" spans="1:10" ht="28.5" customHeight="1" x14ac:dyDescent="0.2">
      <c r="A480" s="647" t="s">
        <v>2979</v>
      </c>
      <c r="B480" s="646" t="s">
        <v>4443</v>
      </c>
      <c r="C480" s="647" t="s">
        <v>6009</v>
      </c>
      <c r="D480" s="642" t="s">
        <v>5672</v>
      </c>
      <c r="E480" s="380" t="s">
        <v>2481</v>
      </c>
      <c r="F480" s="59">
        <v>39.5</v>
      </c>
      <c r="G480" s="647"/>
      <c r="H480" s="23">
        <v>8120.02</v>
      </c>
      <c r="I480" s="8" t="s">
        <v>11180</v>
      </c>
      <c r="J480" s="8" t="s">
        <v>11180</v>
      </c>
    </row>
    <row r="481" spans="1:10" s="5" customFormat="1" ht="29.25" customHeight="1" x14ac:dyDescent="0.2">
      <c r="A481" s="630" t="s">
        <v>2980</v>
      </c>
      <c r="B481" s="630" t="s">
        <v>10653</v>
      </c>
      <c r="C481" s="630" t="s">
        <v>6010</v>
      </c>
      <c r="D481" s="642" t="s">
        <v>5673</v>
      </c>
      <c r="E481" s="642" t="s">
        <v>2409</v>
      </c>
      <c r="F481" s="113">
        <v>123.9</v>
      </c>
      <c r="G481" s="646" t="s">
        <v>83</v>
      </c>
      <c r="H481" s="637">
        <v>274006.09000000003</v>
      </c>
      <c r="I481" s="635" t="s">
        <v>11166</v>
      </c>
      <c r="J481" s="728" t="s">
        <v>14046</v>
      </c>
    </row>
    <row r="482" spans="1:10" ht="36" customHeight="1" x14ac:dyDescent="0.2">
      <c r="A482" s="647" t="s">
        <v>2981</v>
      </c>
      <c r="B482" s="647" t="s">
        <v>3303</v>
      </c>
      <c r="C482" s="647" t="s">
        <v>6011</v>
      </c>
      <c r="D482" s="642"/>
      <c r="E482" s="380" t="s">
        <v>2410</v>
      </c>
      <c r="F482" s="59">
        <v>43</v>
      </c>
      <c r="G482" s="647">
        <v>1984</v>
      </c>
      <c r="H482" s="23"/>
      <c r="I482" s="647" t="s">
        <v>3855</v>
      </c>
      <c r="J482" s="647" t="s">
        <v>3855</v>
      </c>
    </row>
    <row r="483" spans="1:10" s="60" customFormat="1" ht="45.75" customHeight="1" x14ac:dyDescent="0.2">
      <c r="A483" s="646" t="s">
        <v>2982</v>
      </c>
      <c r="B483" s="646" t="s">
        <v>475</v>
      </c>
      <c r="C483" s="646" t="s">
        <v>6012</v>
      </c>
      <c r="D483" s="642"/>
      <c r="E483" s="642" t="s">
        <v>403</v>
      </c>
      <c r="F483" s="113">
        <v>923.9</v>
      </c>
      <c r="G483" s="646">
        <v>1953</v>
      </c>
      <c r="H483" s="43"/>
      <c r="I483" s="646" t="s">
        <v>4382</v>
      </c>
      <c r="J483" s="646" t="s">
        <v>4382</v>
      </c>
    </row>
    <row r="484" spans="1:10" s="60" customFormat="1" ht="45" customHeight="1" x14ac:dyDescent="0.2">
      <c r="A484" s="646" t="s">
        <v>2983</v>
      </c>
      <c r="B484" s="646" t="s">
        <v>93</v>
      </c>
      <c r="C484" s="646" t="s">
        <v>6054</v>
      </c>
      <c r="D484" s="642"/>
      <c r="E484" s="642"/>
      <c r="F484" s="113">
        <v>140.69999999999999</v>
      </c>
      <c r="G484" s="646">
        <v>1961</v>
      </c>
      <c r="H484" s="43"/>
      <c r="I484" s="646" t="s">
        <v>92</v>
      </c>
      <c r="J484" s="646" t="s">
        <v>92</v>
      </c>
    </row>
    <row r="485" spans="1:10" s="5" customFormat="1" ht="36.75" customHeight="1" x14ac:dyDescent="0.2">
      <c r="A485" s="646" t="s">
        <v>2984</v>
      </c>
      <c r="B485" s="646" t="s">
        <v>3684</v>
      </c>
      <c r="C485" s="646" t="s">
        <v>11186</v>
      </c>
      <c r="D485" s="642" t="s">
        <v>5674</v>
      </c>
      <c r="E485" s="642" t="s">
        <v>2409</v>
      </c>
      <c r="F485" s="113">
        <v>77</v>
      </c>
      <c r="G485" s="646" t="s">
        <v>3627</v>
      </c>
      <c r="H485" s="43">
        <v>170286.27</v>
      </c>
      <c r="I485" s="8" t="s">
        <v>11166</v>
      </c>
      <c r="J485" s="728" t="s">
        <v>14046</v>
      </c>
    </row>
    <row r="486" spans="1:10" s="5" customFormat="1" ht="36.75" customHeight="1" x14ac:dyDescent="0.2">
      <c r="A486" s="646" t="s">
        <v>2985</v>
      </c>
      <c r="B486" s="646" t="s">
        <v>3685</v>
      </c>
      <c r="C486" s="646" t="s">
        <v>11187</v>
      </c>
      <c r="D486" s="642" t="s">
        <v>5675</v>
      </c>
      <c r="E486" s="642" t="s">
        <v>170</v>
      </c>
      <c r="F486" s="113">
        <v>153.19999999999999</v>
      </c>
      <c r="G486" s="646"/>
      <c r="H486" s="43">
        <v>338803.33</v>
      </c>
      <c r="I486" s="8" t="s">
        <v>11166</v>
      </c>
      <c r="J486" s="728" t="s">
        <v>14046</v>
      </c>
    </row>
    <row r="487" spans="1:10" ht="36.75" customHeight="1" x14ac:dyDescent="0.2">
      <c r="A487" s="647" t="s">
        <v>2986</v>
      </c>
      <c r="B487" s="646" t="s">
        <v>4442</v>
      </c>
      <c r="C487" s="647" t="s">
        <v>6013</v>
      </c>
      <c r="D487" s="642" t="s">
        <v>5676</v>
      </c>
      <c r="E487" s="380" t="s">
        <v>2481</v>
      </c>
      <c r="F487" s="59">
        <v>310.8</v>
      </c>
      <c r="G487" s="647" t="s">
        <v>169</v>
      </c>
      <c r="H487" s="23">
        <v>1665530.58</v>
      </c>
      <c r="I487" s="8" t="s">
        <v>11180</v>
      </c>
      <c r="J487" s="8" t="s">
        <v>11180</v>
      </c>
    </row>
    <row r="488" spans="1:10" ht="38.25" customHeight="1" x14ac:dyDescent="0.2">
      <c r="A488" s="647" t="s">
        <v>2987</v>
      </c>
      <c r="B488" s="647" t="s">
        <v>13</v>
      </c>
      <c r="C488" s="647" t="s">
        <v>291</v>
      </c>
      <c r="D488" s="642" t="s">
        <v>5677</v>
      </c>
      <c r="E488" s="380" t="s">
        <v>2482</v>
      </c>
      <c r="F488" s="59">
        <v>193.9</v>
      </c>
      <c r="G488" s="647">
        <v>1994</v>
      </c>
      <c r="H488" s="23">
        <v>2036141.96</v>
      </c>
      <c r="I488" s="108" t="s">
        <v>3299</v>
      </c>
      <c r="J488" s="108" t="s">
        <v>3299</v>
      </c>
    </row>
    <row r="489" spans="1:10" s="5" customFormat="1" ht="22.5" x14ac:dyDescent="0.2">
      <c r="A489" s="646" t="s">
        <v>2988</v>
      </c>
      <c r="B489" s="646" t="s">
        <v>3873</v>
      </c>
      <c r="C489" s="646" t="s">
        <v>10647</v>
      </c>
      <c r="D489" s="19" t="s">
        <v>5678</v>
      </c>
      <c r="E489" s="642" t="s">
        <v>2409</v>
      </c>
      <c r="F489" s="113">
        <v>12.6</v>
      </c>
      <c r="G489" s="646"/>
      <c r="H489" s="43">
        <v>34572.76</v>
      </c>
      <c r="I489" s="646"/>
      <c r="J489" s="646"/>
    </row>
    <row r="490" spans="1:10" s="5" customFormat="1" ht="22.5" x14ac:dyDescent="0.2">
      <c r="A490" s="646" t="s">
        <v>2989</v>
      </c>
      <c r="B490" s="646" t="s">
        <v>3686</v>
      </c>
      <c r="C490" s="646" t="s">
        <v>6016</v>
      </c>
      <c r="D490" s="642" t="s">
        <v>5679</v>
      </c>
      <c r="E490" s="642" t="s">
        <v>2483</v>
      </c>
      <c r="F490" s="113">
        <v>31</v>
      </c>
      <c r="G490" s="646"/>
      <c r="H490" s="43">
        <v>84241.57</v>
      </c>
      <c r="I490" s="646" t="s">
        <v>4421</v>
      </c>
      <c r="J490" s="646"/>
    </row>
    <row r="491" spans="1:10" s="60" customFormat="1" ht="23.25" customHeight="1" x14ac:dyDescent="0.2">
      <c r="A491" s="646" t="s">
        <v>2990</v>
      </c>
      <c r="B491" s="646" t="s">
        <v>185</v>
      </c>
      <c r="C491" s="646" t="s">
        <v>5721</v>
      </c>
      <c r="D491" s="642" t="s">
        <v>6991</v>
      </c>
      <c r="E491" s="642" t="s">
        <v>184</v>
      </c>
      <c r="F491" s="113">
        <f>14.6-14.6</f>
        <v>0</v>
      </c>
      <c r="G491" s="646"/>
      <c r="H491" s="43"/>
      <c r="I491" s="10" t="s">
        <v>12430</v>
      </c>
      <c r="J491" s="10" t="s">
        <v>12430</v>
      </c>
    </row>
    <row r="492" spans="1:10" s="5" customFormat="1" ht="18" customHeight="1" x14ac:dyDescent="0.2">
      <c r="A492" s="19" t="s">
        <v>2991</v>
      </c>
      <c r="B492" s="19" t="s">
        <v>5058</v>
      </c>
      <c r="C492" s="19" t="s">
        <v>5963</v>
      </c>
      <c r="D492" s="19"/>
      <c r="E492" s="19"/>
      <c r="F492" s="206"/>
      <c r="G492" s="19">
        <v>1994</v>
      </c>
      <c r="H492" s="43"/>
      <c r="I492" s="19"/>
      <c r="J492" s="19"/>
    </row>
    <row r="493" spans="1:10" ht="39.75" customHeight="1" x14ac:dyDescent="0.2">
      <c r="A493" s="647" t="s">
        <v>2992</v>
      </c>
      <c r="B493" s="647" t="s">
        <v>3452</v>
      </c>
      <c r="C493" s="647" t="s">
        <v>5743</v>
      </c>
      <c r="D493" s="642" t="s">
        <v>5680</v>
      </c>
      <c r="E493" s="380" t="s">
        <v>170</v>
      </c>
      <c r="F493" s="59">
        <v>377.6</v>
      </c>
      <c r="G493" s="647">
        <v>1981</v>
      </c>
      <c r="H493" s="23">
        <v>2076441.28</v>
      </c>
      <c r="I493" s="635" t="s">
        <v>11166</v>
      </c>
      <c r="J493" s="728" t="s">
        <v>14046</v>
      </c>
    </row>
    <row r="494" spans="1:10" ht="24.75" customHeight="1" x14ac:dyDescent="0.2">
      <c r="A494" s="647" t="s">
        <v>2993</v>
      </c>
      <c r="B494" s="647" t="s">
        <v>4440</v>
      </c>
      <c r="C494" s="647" t="s">
        <v>13416</v>
      </c>
      <c r="D494" s="642" t="s">
        <v>5681</v>
      </c>
      <c r="E494" s="380" t="s">
        <v>2409</v>
      </c>
      <c r="F494" s="59">
        <v>77.900000000000006</v>
      </c>
      <c r="G494" s="647">
        <v>1981</v>
      </c>
      <c r="H494" s="23">
        <v>428376</v>
      </c>
      <c r="I494" s="635" t="s">
        <v>11166</v>
      </c>
      <c r="J494" s="728" t="s">
        <v>14046</v>
      </c>
    </row>
    <row r="495" spans="1:10" ht="24.75" customHeight="1" x14ac:dyDescent="0.2">
      <c r="A495" s="647" t="s">
        <v>2994</v>
      </c>
      <c r="B495" s="647" t="s">
        <v>2470</v>
      </c>
      <c r="C495" s="647" t="s">
        <v>13416</v>
      </c>
      <c r="D495" s="642" t="s">
        <v>5682</v>
      </c>
      <c r="E495" s="380" t="s">
        <v>2409</v>
      </c>
      <c r="F495" s="59">
        <v>114.3</v>
      </c>
      <c r="G495" s="647">
        <v>1981</v>
      </c>
      <c r="H495" s="23">
        <v>853716.99</v>
      </c>
      <c r="I495" s="635" t="s">
        <v>11166</v>
      </c>
      <c r="J495" s="728" t="s">
        <v>14046</v>
      </c>
    </row>
    <row r="496" spans="1:10" ht="24.75" customHeight="1" x14ac:dyDescent="0.2">
      <c r="A496" s="647" t="s">
        <v>2995</v>
      </c>
      <c r="B496" s="647" t="s">
        <v>4462</v>
      </c>
      <c r="C496" s="647" t="s">
        <v>5883</v>
      </c>
      <c r="D496" s="642" t="s">
        <v>5683</v>
      </c>
      <c r="E496" s="380" t="s">
        <v>2409</v>
      </c>
      <c r="F496" s="59">
        <v>62.6</v>
      </c>
      <c r="G496" s="647">
        <v>1961</v>
      </c>
      <c r="H496" s="23">
        <v>344240.53</v>
      </c>
      <c r="I496" s="635" t="s">
        <v>11180</v>
      </c>
      <c r="J496" s="635" t="s">
        <v>11180</v>
      </c>
    </row>
    <row r="497" spans="1:10" ht="24.75" customHeight="1" x14ac:dyDescent="0.2">
      <c r="A497" s="647" t="s">
        <v>2996</v>
      </c>
      <c r="B497" s="647" t="s">
        <v>4363</v>
      </c>
      <c r="C497" s="647" t="s">
        <v>6014</v>
      </c>
      <c r="D497" s="642" t="s">
        <v>5684</v>
      </c>
      <c r="E497" s="380" t="s">
        <v>2409</v>
      </c>
      <c r="F497" s="59">
        <v>68.099999999999994</v>
      </c>
      <c r="G497" s="647"/>
      <c r="H497" s="23">
        <v>2069972.37</v>
      </c>
      <c r="I497" s="635" t="s">
        <v>11180</v>
      </c>
      <c r="J497" s="635" t="s">
        <v>11180</v>
      </c>
    </row>
    <row r="498" spans="1:10" ht="24.75" customHeight="1" x14ac:dyDescent="0.2">
      <c r="A498" s="647" t="s">
        <v>2997</v>
      </c>
      <c r="B498" s="647" t="s">
        <v>4439</v>
      </c>
      <c r="C498" s="647" t="s">
        <v>6015</v>
      </c>
      <c r="D498" s="642" t="s">
        <v>5685</v>
      </c>
      <c r="E498" s="380" t="s">
        <v>2486</v>
      </c>
      <c r="F498" s="59">
        <v>53.9</v>
      </c>
      <c r="G498" s="647"/>
      <c r="H498" s="23">
        <v>311541.46000000002</v>
      </c>
      <c r="I498" s="635" t="s">
        <v>11166</v>
      </c>
      <c r="J498" s="728" t="s">
        <v>14046</v>
      </c>
    </row>
    <row r="499" spans="1:10" ht="24.75" customHeight="1" x14ac:dyDescent="0.2">
      <c r="A499" s="647" t="s">
        <v>2998</v>
      </c>
      <c r="B499" s="647" t="s">
        <v>2485</v>
      </c>
      <c r="C499" s="647" t="s">
        <v>5746</v>
      </c>
      <c r="D499" s="642" t="s">
        <v>5686</v>
      </c>
      <c r="E499" s="380" t="s">
        <v>2409</v>
      </c>
      <c r="F499" s="59">
        <v>195</v>
      </c>
      <c r="G499" s="647">
        <v>1995</v>
      </c>
      <c r="H499" s="23">
        <v>1456472.55</v>
      </c>
      <c r="I499" s="635" t="s">
        <v>11166</v>
      </c>
      <c r="J499" s="728" t="s">
        <v>14046</v>
      </c>
    </row>
    <row r="500" spans="1:10" ht="24.75" customHeight="1" x14ac:dyDescent="0.2">
      <c r="A500" s="647" t="s">
        <v>2999</v>
      </c>
      <c r="B500" s="647" t="s">
        <v>4537</v>
      </c>
      <c r="C500" s="647" t="s">
        <v>5746</v>
      </c>
      <c r="D500" s="642" t="s">
        <v>5687</v>
      </c>
      <c r="E500" s="380" t="s">
        <v>2409</v>
      </c>
      <c r="F500" s="59">
        <v>290.8</v>
      </c>
      <c r="G500" s="647" t="s">
        <v>3789</v>
      </c>
      <c r="H500" s="23">
        <v>2172011.37</v>
      </c>
      <c r="I500" s="635" t="s">
        <v>11166</v>
      </c>
      <c r="J500" s="728" t="s">
        <v>14046</v>
      </c>
    </row>
    <row r="501" spans="1:10" ht="24.75" customHeight="1" x14ac:dyDescent="0.2">
      <c r="A501" s="647" t="s">
        <v>3000</v>
      </c>
      <c r="B501" s="647" t="s">
        <v>4463</v>
      </c>
      <c r="C501" s="647" t="s">
        <v>5746</v>
      </c>
      <c r="D501" s="642" t="s">
        <v>5688</v>
      </c>
      <c r="E501" s="380" t="s">
        <v>2409</v>
      </c>
      <c r="F501" s="59">
        <v>140.9</v>
      </c>
      <c r="G501" s="647">
        <v>1995</v>
      </c>
      <c r="H501" s="23">
        <v>1052394.78</v>
      </c>
      <c r="I501" s="635" t="s">
        <v>11166</v>
      </c>
      <c r="J501" s="728" t="s">
        <v>14046</v>
      </c>
    </row>
    <row r="502" spans="1:10" ht="24.75" customHeight="1" x14ac:dyDescent="0.2">
      <c r="A502" s="647" t="s">
        <v>3001</v>
      </c>
      <c r="B502" s="647" t="s">
        <v>10878</v>
      </c>
      <c r="C502" s="647" t="s">
        <v>5884</v>
      </c>
      <c r="D502" s="642" t="s">
        <v>5689</v>
      </c>
      <c r="E502" s="380" t="s">
        <v>64</v>
      </c>
      <c r="F502" s="59">
        <v>97.6</v>
      </c>
      <c r="G502" s="647">
        <v>1951</v>
      </c>
      <c r="H502" s="23">
        <v>728983.18</v>
      </c>
      <c r="I502" s="8" t="s">
        <v>9123</v>
      </c>
      <c r="J502" s="8" t="s">
        <v>9123</v>
      </c>
    </row>
    <row r="503" spans="1:10" s="5" customFormat="1" ht="25.5" customHeight="1" x14ac:dyDescent="0.2">
      <c r="A503" s="646" t="s">
        <v>3002</v>
      </c>
      <c r="B503" s="646" t="s">
        <v>3858</v>
      </c>
      <c r="C503" s="646" t="s">
        <v>8882</v>
      </c>
      <c r="D503" s="12" t="s">
        <v>5690</v>
      </c>
      <c r="E503" s="642" t="s">
        <v>2487</v>
      </c>
      <c r="F503" s="113">
        <v>134</v>
      </c>
      <c r="G503" s="646">
        <v>1981</v>
      </c>
      <c r="H503" s="43">
        <v>618494.42000000004</v>
      </c>
      <c r="I503" s="635" t="s">
        <v>11166</v>
      </c>
      <c r="J503" s="728" t="s">
        <v>14046</v>
      </c>
    </row>
    <row r="504" spans="1:10" s="5" customFormat="1" ht="25.5" customHeight="1" x14ac:dyDescent="0.2">
      <c r="A504" s="646" t="s">
        <v>3003</v>
      </c>
      <c r="B504" s="646" t="s">
        <v>2490</v>
      </c>
      <c r="C504" s="646" t="s">
        <v>6017</v>
      </c>
      <c r="D504" s="12"/>
      <c r="E504" s="642" t="s">
        <v>2489</v>
      </c>
      <c r="F504" s="113">
        <v>67.3</v>
      </c>
      <c r="G504" s="646">
        <v>1993</v>
      </c>
      <c r="H504" s="43"/>
      <c r="I504" s="635" t="s">
        <v>9123</v>
      </c>
      <c r="J504" s="726" t="s">
        <v>9123</v>
      </c>
    </row>
    <row r="505" spans="1:10" s="5" customFormat="1" ht="25.5" customHeight="1" x14ac:dyDescent="0.2">
      <c r="A505" s="646" t="s">
        <v>3004</v>
      </c>
      <c r="B505" s="646" t="s">
        <v>3307</v>
      </c>
      <c r="C505" s="646" t="s">
        <v>6017</v>
      </c>
      <c r="D505" s="12"/>
      <c r="E505" s="642" t="s">
        <v>2489</v>
      </c>
      <c r="F505" s="113">
        <v>22.2</v>
      </c>
      <c r="G505" s="646">
        <v>1993</v>
      </c>
      <c r="H505" s="43"/>
      <c r="I505" s="635" t="s">
        <v>9123</v>
      </c>
      <c r="J505" s="726" t="s">
        <v>9123</v>
      </c>
    </row>
    <row r="506" spans="1:10" s="5" customFormat="1" ht="25.5" customHeight="1" x14ac:dyDescent="0.2">
      <c r="A506" s="646" t="s">
        <v>3005</v>
      </c>
      <c r="B506" s="646" t="s">
        <v>3867</v>
      </c>
      <c r="C506" s="646" t="s">
        <v>6017</v>
      </c>
      <c r="D506" s="12"/>
      <c r="E506" s="642" t="s">
        <v>2488</v>
      </c>
      <c r="F506" s="113">
        <v>47.3</v>
      </c>
      <c r="G506" s="646">
        <v>1993</v>
      </c>
      <c r="H506" s="43"/>
      <c r="I506" s="635" t="s">
        <v>9123</v>
      </c>
      <c r="J506" s="726" t="s">
        <v>9123</v>
      </c>
    </row>
    <row r="507" spans="1:10" s="5" customFormat="1" ht="24.75" customHeight="1" x14ac:dyDescent="0.2">
      <c r="A507" s="646" t="s">
        <v>3006</v>
      </c>
      <c r="B507" s="646" t="s">
        <v>4436</v>
      </c>
      <c r="C507" s="646" t="s">
        <v>6018</v>
      </c>
      <c r="D507" s="12" t="s">
        <v>5691</v>
      </c>
      <c r="E507" s="642" t="s">
        <v>2409</v>
      </c>
      <c r="F507" s="113">
        <v>42.8</v>
      </c>
      <c r="G507" s="646">
        <v>1991</v>
      </c>
      <c r="H507" s="43">
        <v>247383.57</v>
      </c>
      <c r="I507" s="635" t="s">
        <v>11166</v>
      </c>
      <c r="J507" s="728" t="s">
        <v>14046</v>
      </c>
    </row>
    <row r="508" spans="1:10" s="5" customFormat="1" ht="24" customHeight="1" x14ac:dyDescent="0.2">
      <c r="A508" s="19" t="s">
        <v>3007</v>
      </c>
      <c r="B508" s="19" t="s">
        <v>11744</v>
      </c>
      <c r="C508" s="19" t="s">
        <v>5885</v>
      </c>
      <c r="D508" s="222" t="s">
        <v>6992</v>
      </c>
      <c r="E508" s="12" t="s">
        <v>2440</v>
      </c>
      <c r="F508" s="113">
        <f>314.1-239.6-17.5</f>
        <v>57.000000000000028</v>
      </c>
      <c r="G508" s="646" t="s">
        <v>3306</v>
      </c>
      <c r="H508" s="43">
        <v>1445217.31</v>
      </c>
      <c r="I508" s="10" t="s">
        <v>6798</v>
      </c>
      <c r="J508" s="10" t="s">
        <v>6798</v>
      </c>
    </row>
    <row r="509" spans="1:10" s="198" customFormat="1" ht="38.25" customHeight="1" x14ac:dyDescent="0.2">
      <c r="A509" s="646" t="s">
        <v>3831</v>
      </c>
      <c r="B509" s="19" t="s">
        <v>4018</v>
      </c>
      <c r="C509" s="101" t="s">
        <v>5885</v>
      </c>
      <c r="D509" s="203" t="s">
        <v>6993</v>
      </c>
      <c r="E509" s="20" t="s">
        <v>2440</v>
      </c>
      <c r="F509" s="113">
        <f>239.6-19</f>
        <v>220.6</v>
      </c>
      <c r="G509" s="19">
        <v>1994</v>
      </c>
      <c r="H509" s="43">
        <v>4647974.04</v>
      </c>
      <c r="I509" s="646" t="s">
        <v>3790</v>
      </c>
      <c r="J509" s="646" t="s">
        <v>3790</v>
      </c>
    </row>
    <row r="510" spans="1:10" ht="104.25" customHeight="1" x14ac:dyDescent="0.2">
      <c r="A510" s="646" t="s">
        <v>4393</v>
      </c>
      <c r="B510" s="49" t="s">
        <v>2431</v>
      </c>
      <c r="C510" s="240" t="s">
        <v>5885</v>
      </c>
      <c r="D510" s="222" t="s">
        <v>6993</v>
      </c>
      <c r="E510" s="48" t="s">
        <v>2440</v>
      </c>
      <c r="F510" s="59">
        <v>19</v>
      </c>
      <c r="G510" s="49">
        <v>1994</v>
      </c>
      <c r="H510" s="23"/>
      <c r="I510" s="34" t="s">
        <v>4392</v>
      </c>
      <c r="J510" s="34" t="s">
        <v>4392</v>
      </c>
    </row>
    <row r="511" spans="1:10" ht="21" customHeight="1" x14ac:dyDescent="0.2">
      <c r="A511" s="646" t="s">
        <v>10992</v>
      </c>
      <c r="B511" s="49" t="s">
        <v>2431</v>
      </c>
      <c r="C511" s="240" t="s">
        <v>5885</v>
      </c>
      <c r="D511" s="222" t="s">
        <v>6992</v>
      </c>
      <c r="E511" s="48" t="s">
        <v>2440</v>
      </c>
      <c r="F511" s="59">
        <v>17.5</v>
      </c>
      <c r="G511" s="49">
        <v>1994</v>
      </c>
      <c r="H511" s="23"/>
      <c r="I511" s="34" t="s">
        <v>11181</v>
      </c>
      <c r="J511" s="34" t="s">
        <v>11181</v>
      </c>
    </row>
    <row r="512" spans="1:10" ht="34.5" customHeight="1" x14ac:dyDescent="0.2">
      <c r="A512" s="646" t="s">
        <v>3008</v>
      </c>
      <c r="B512" s="646" t="s">
        <v>3666</v>
      </c>
      <c r="C512" s="646" t="s">
        <v>5516</v>
      </c>
      <c r="D512" s="642" t="s">
        <v>6571</v>
      </c>
      <c r="E512" s="642" t="s">
        <v>2419</v>
      </c>
      <c r="F512" s="113">
        <v>137.6</v>
      </c>
      <c r="G512" s="646">
        <v>1970</v>
      </c>
      <c r="H512" s="43">
        <v>2139172.2599999998</v>
      </c>
      <c r="I512" s="646" t="s">
        <v>3790</v>
      </c>
      <c r="J512" s="646" t="s">
        <v>3790</v>
      </c>
    </row>
    <row r="513" spans="1:10" ht="57" customHeight="1" x14ac:dyDescent="0.2">
      <c r="A513" s="646" t="s">
        <v>3009</v>
      </c>
      <c r="B513" s="646" t="s">
        <v>3666</v>
      </c>
      <c r="C513" s="646" t="s">
        <v>12534</v>
      </c>
      <c r="D513" s="642" t="s">
        <v>6594</v>
      </c>
      <c r="E513" s="642" t="s">
        <v>2419</v>
      </c>
      <c r="F513" s="113">
        <v>254.2</v>
      </c>
      <c r="G513" s="646"/>
      <c r="H513" s="43">
        <v>1417953.02</v>
      </c>
      <c r="I513" s="646" t="s">
        <v>3790</v>
      </c>
      <c r="J513" s="646" t="s">
        <v>3790</v>
      </c>
    </row>
    <row r="514" spans="1:10" s="5" customFormat="1" ht="24.75" customHeight="1" x14ac:dyDescent="0.2">
      <c r="A514" s="646" t="s">
        <v>3010</v>
      </c>
      <c r="B514" s="646" t="s">
        <v>3683</v>
      </c>
      <c r="C514" s="646" t="s">
        <v>6019</v>
      </c>
      <c r="D514" s="642"/>
      <c r="E514" s="642" t="s">
        <v>273</v>
      </c>
      <c r="F514" s="113">
        <v>50</v>
      </c>
      <c r="G514" s="646"/>
      <c r="H514" s="43"/>
      <c r="I514" s="646"/>
      <c r="J514" s="646"/>
    </row>
    <row r="515" spans="1:10" ht="22.5" customHeight="1" x14ac:dyDescent="0.2">
      <c r="A515" s="646" t="s">
        <v>3011</v>
      </c>
      <c r="B515" s="647" t="s">
        <v>5723</v>
      </c>
      <c r="C515" s="975" t="s">
        <v>6020</v>
      </c>
      <c r="D515" s="984" t="s">
        <v>5692</v>
      </c>
      <c r="E515" s="1006" t="s">
        <v>2491</v>
      </c>
      <c r="F515" s="59">
        <v>137.4</v>
      </c>
      <c r="G515" s="647"/>
      <c r="H515" s="969">
        <v>825190.05</v>
      </c>
      <c r="I515" s="276" t="s">
        <v>9123</v>
      </c>
      <c r="J515" s="276" t="s">
        <v>9123</v>
      </c>
    </row>
    <row r="516" spans="1:10" ht="22.5" customHeight="1" x14ac:dyDescent="0.2">
      <c r="A516" s="19" t="s">
        <v>3832</v>
      </c>
      <c r="B516" s="647" t="s">
        <v>5724</v>
      </c>
      <c r="C516" s="988"/>
      <c r="D516" s="985"/>
      <c r="E516" s="1007"/>
      <c r="F516" s="59" t="s">
        <v>5726</v>
      </c>
      <c r="G516" s="647"/>
      <c r="H516" s="970"/>
      <c r="I516" s="276" t="s">
        <v>9123</v>
      </c>
      <c r="J516" s="276" t="s">
        <v>9123</v>
      </c>
    </row>
    <row r="517" spans="1:10" ht="45" customHeight="1" x14ac:dyDescent="0.2">
      <c r="A517" s="19" t="s">
        <v>5725</v>
      </c>
      <c r="B517" s="647" t="s">
        <v>5728</v>
      </c>
      <c r="C517" s="976"/>
      <c r="D517" s="986"/>
      <c r="E517" s="1008"/>
      <c r="F517" s="59" t="s">
        <v>5727</v>
      </c>
      <c r="G517" s="647"/>
      <c r="H517" s="971"/>
      <c r="I517" s="276" t="s">
        <v>9123</v>
      </c>
      <c r="J517" s="276" t="s">
        <v>9123</v>
      </c>
    </row>
    <row r="518" spans="1:10" ht="44.25" customHeight="1" x14ac:dyDescent="0.2">
      <c r="A518" s="646" t="s">
        <v>3012</v>
      </c>
      <c r="B518" s="647" t="s">
        <v>3682</v>
      </c>
      <c r="C518" s="647" t="s">
        <v>6021</v>
      </c>
      <c r="D518" s="642" t="s">
        <v>5693</v>
      </c>
      <c r="E518" s="380" t="s">
        <v>2492</v>
      </c>
      <c r="F518" s="59">
        <v>786.2</v>
      </c>
      <c r="G518" s="647"/>
      <c r="H518" s="23">
        <v>6732222.7400000002</v>
      </c>
      <c r="I518" s="276" t="s">
        <v>9123</v>
      </c>
      <c r="J518" s="276" t="s">
        <v>9123</v>
      </c>
    </row>
    <row r="519" spans="1:10" s="5" customFormat="1" ht="22.5" customHeight="1" x14ac:dyDescent="0.2">
      <c r="A519" s="646" t="s">
        <v>3833</v>
      </c>
      <c r="B519" s="646" t="s">
        <v>12</v>
      </c>
      <c r="C519" s="646" t="s">
        <v>5886</v>
      </c>
      <c r="D519" s="642" t="s">
        <v>11015</v>
      </c>
      <c r="E519" s="642" t="s">
        <v>2493</v>
      </c>
      <c r="F519" s="113">
        <v>18.600000000000001</v>
      </c>
      <c r="G519" s="646">
        <v>1995</v>
      </c>
      <c r="H519" s="43">
        <v>257498.03</v>
      </c>
      <c r="I519" s="11" t="s">
        <v>6797</v>
      </c>
      <c r="J519" s="11" t="s">
        <v>6797</v>
      </c>
    </row>
    <row r="520" spans="1:10" s="5" customFormat="1" ht="24" customHeight="1" x14ac:dyDescent="0.2">
      <c r="A520" s="646" t="s">
        <v>11014</v>
      </c>
      <c r="B520" s="646" t="s">
        <v>11016</v>
      </c>
      <c r="C520" s="646" t="s">
        <v>5886</v>
      </c>
      <c r="D520" s="642" t="s">
        <v>11020</v>
      </c>
      <c r="E520" s="642" t="s">
        <v>2493</v>
      </c>
      <c r="F520" s="113">
        <v>15</v>
      </c>
      <c r="G520" s="646" t="s">
        <v>3789</v>
      </c>
      <c r="H520" s="43">
        <v>207659.7</v>
      </c>
      <c r="I520" s="11" t="s">
        <v>6797</v>
      </c>
      <c r="J520" s="11" t="s">
        <v>6797</v>
      </c>
    </row>
    <row r="521" spans="1:10" ht="69.75" customHeight="1" x14ac:dyDescent="0.2">
      <c r="A521" s="646" t="s">
        <v>3834</v>
      </c>
      <c r="B521" s="646" t="s">
        <v>11175</v>
      </c>
      <c r="C521" s="646" t="s">
        <v>11176</v>
      </c>
      <c r="D521" s="642" t="s">
        <v>8722</v>
      </c>
      <c r="E521" s="642" t="s">
        <v>8618</v>
      </c>
      <c r="F521" s="113">
        <v>17.3</v>
      </c>
      <c r="G521" s="646" t="s">
        <v>3306</v>
      </c>
      <c r="H521" s="43">
        <v>212708.34</v>
      </c>
      <c r="I521" s="646" t="s">
        <v>9366</v>
      </c>
      <c r="J521" s="646" t="s">
        <v>9366</v>
      </c>
    </row>
    <row r="522" spans="1:10" s="60" customFormat="1" ht="69.75" customHeight="1" x14ac:dyDescent="0.2">
      <c r="A522" s="646" t="s">
        <v>3013</v>
      </c>
      <c r="B522" s="646" t="s">
        <v>8617</v>
      </c>
      <c r="C522" s="646" t="s">
        <v>6632</v>
      </c>
      <c r="D522" s="642" t="s">
        <v>8721</v>
      </c>
      <c r="E522" s="642" t="s">
        <v>4014</v>
      </c>
      <c r="F522" s="113">
        <v>83.5</v>
      </c>
      <c r="G522" s="646" t="s">
        <v>3783</v>
      </c>
      <c r="H522" s="43">
        <v>1026655.88</v>
      </c>
      <c r="I522" s="646" t="s">
        <v>9366</v>
      </c>
      <c r="J522" s="646" t="s">
        <v>9366</v>
      </c>
    </row>
    <row r="523" spans="1:10" s="60" customFormat="1" ht="24" customHeight="1" x14ac:dyDescent="0.2">
      <c r="A523" s="646" t="s">
        <v>4403</v>
      </c>
      <c r="B523" s="646" t="s">
        <v>3905</v>
      </c>
      <c r="C523" s="646" t="s">
        <v>6023</v>
      </c>
      <c r="D523" s="20" t="s">
        <v>5694</v>
      </c>
      <c r="E523" s="642" t="s">
        <v>318</v>
      </c>
      <c r="F523" s="113">
        <f>293.6-293.6</f>
        <v>0</v>
      </c>
      <c r="G523" s="646" t="s">
        <v>2876</v>
      </c>
      <c r="H523" s="637">
        <f>1541347.15-1541347.15</f>
        <v>0</v>
      </c>
      <c r="I523" s="12"/>
      <c r="J523" s="646"/>
    </row>
    <row r="524" spans="1:10" s="60" customFormat="1" ht="25.5" customHeight="1" x14ac:dyDescent="0.2">
      <c r="A524" s="646" t="s">
        <v>4404</v>
      </c>
      <c r="B524" s="66" t="s">
        <v>292</v>
      </c>
      <c r="C524" s="646" t="s">
        <v>12437</v>
      </c>
      <c r="D524" s="12" t="s">
        <v>12438</v>
      </c>
      <c r="E524" s="642" t="s">
        <v>5708</v>
      </c>
      <c r="F524" s="113">
        <v>41</v>
      </c>
      <c r="G524" s="646" t="s">
        <v>2876</v>
      </c>
      <c r="H524" s="43">
        <v>8428.3700000000008</v>
      </c>
      <c r="I524" s="642" t="s">
        <v>12441</v>
      </c>
      <c r="J524" s="642" t="s">
        <v>12441</v>
      </c>
    </row>
    <row r="525" spans="1:10" s="60" customFormat="1" ht="34.5" customHeight="1" x14ac:dyDescent="0.2">
      <c r="A525" s="646" t="s">
        <v>4405</v>
      </c>
      <c r="B525" s="66" t="s">
        <v>292</v>
      </c>
      <c r="C525" s="646" t="s">
        <v>12437</v>
      </c>
      <c r="D525" s="12" t="s">
        <v>12439</v>
      </c>
      <c r="E525" s="642" t="s">
        <v>12440</v>
      </c>
      <c r="F525" s="113">
        <f>181.6+71</f>
        <v>252.6</v>
      </c>
      <c r="G525" s="646" t="s">
        <v>2876</v>
      </c>
      <c r="H525" s="43">
        <v>2688202.04</v>
      </c>
      <c r="I525" s="642" t="s">
        <v>10999</v>
      </c>
      <c r="J525" s="34" t="s">
        <v>13896</v>
      </c>
    </row>
    <row r="526" spans="1:10" ht="34.5" customHeight="1" x14ac:dyDescent="0.2">
      <c r="A526" s="646" t="s">
        <v>3014</v>
      </c>
      <c r="B526" s="646" t="s">
        <v>8707</v>
      </c>
      <c r="C526" s="646" t="s">
        <v>8706</v>
      </c>
      <c r="D526" s="642" t="s">
        <v>7082</v>
      </c>
      <c r="E526" s="642" t="s">
        <v>318</v>
      </c>
      <c r="F526" s="113">
        <v>558.1</v>
      </c>
      <c r="G526" s="646">
        <v>1969</v>
      </c>
      <c r="H526" s="43">
        <v>14100000</v>
      </c>
      <c r="I526" s="646" t="s">
        <v>8941</v>
      </c>
      <c r="J526" s="646" t="s">
        <v>8941</v>
      </c>
    </row>
    <row r="527" spans="1:10" s="60" customFormat="1" ht="57" customHeight="1" x14ac:dyDescent="0.2">
      <c r="A527" s="646" t="s">
        <v>3015</v>
      </c>
      <c r="B527" s="646" t="s">
        <v>2157</v>
      </c>
      <c r="C527" s="646" t="s">
        <v>5994</v>
      </c>
      <c r="D527" s="642"/>
      <c r="E527" s="642"/>
      <c r="F527" s="113"/>
      <c r="G527" s="646">
        <v>2008</v>
      </c>
      <c r="H527" s="43"/>
      <c r="I527" s="210" t="s">
        <v>9291</v>
      </c>
      <c r="J527" s="210" t="s">
        <v>9291</v>
      </c>
    </row>
    <row r="528" spans="1:10" s="60" customFormat="1" ht="46.5" customHeight="1" x14ac:dyDescent="0.2">
      <c r="A528" s="646" t="s">
        <v>3016</v>
      </c>
      <c r="B528" s="646" t="s">
        <v>8704</v>
      </c>
      <c r="C528" s="646" t="s">
        <v>8705</v>
      </c>
      <c r="D528" s="642" t="s">
        <v>8908</v>
      </c>
      <c r="E528" s="642"/>
      <c r="F528" s="113">
        <v>161.69999999999999</v>
      </c>
      <c r="G528" s="646" t="s">
        <v>3627</v>
      </c>
      <c r="H528" s="43"/>
      <c r="I528" s="646" t="s">
        <v>91</v>
      </c>
      <c r="J528" s="646" t="s">
        <v>91</v>
      </c>
    </row>
    <row r="529" spans="1:10" s="60" customFormat="1" ht="47.25" customHeight="1" x14ac:dyDescent="0.2">
      <c r="A529" s="646" t="s">
        <v>3017</v>
      </c>
      <c r="B529" s="646" t="s">
        <v>499</v>
      </c>
      <c r="C529" s="646" t="s">
        <v>8622</v>
      </c>
      <c r="D529" s="642" t="s">
        <v>8623</v>
      </c>
      <c r="E529" s="642"/>
      <c r="F529" s="113">
        <v>99.8</v>
      </c>
      <c r="G529" s="646">
        <v>2008</v>
      </c>
      <c r="H529" s="43">
        <v>548805.18999999994</v>
      </c>
      <c r="I529" s="646" t="s">
        <v>498</v>
      </c>
      <c r="J529" s="646" t="s">
        <v>498</v>
      </c>
    </row>
    <row r="530" spans="1:10" s="60" customFormat="1" ht="45.75" customHeight="1" x14ac:dyDescent="0.2">
      <c r="A530" s="646" t="s">
        <v>3018</v>
      </c>
      <c r="B530" s="646" t="s">
        <v>2157</v>
      </c>
      <c r="C530" s="646" t="s">
        <v>5994</v>
      </c>
      <c r="D530" s="642" t="s">
        <v>5695</v>
      </c>
      <c r="E530" s="642" t="s">
        <v>3513</v>
      </c>
      <c r="F530" s="113">
        <v>51.2</v>
      </c>
      <c r="G530" s="646">
        <v>2007</v>
      </c>
      <c r="H530" s="43"/>
      <c r="I530" s="646" t="s">
        <v>508</v>
      </c>
      <c r="J530" s="210" t="s">
        <v>9398</v>
      </c>
    </row>
    <row r="531" spans="1:10" s="272" customFormat="1" ht="39" customHeight="1" x14ac:dyDescent="0.2">
      <c r="A531" s="647" t="s">
        <v>3019</v>
      </c>
      <c r="B531" s="647" t="s">
        <v>3680</v>
      </c>
      <c r="C531" s="647" t="s">
        <v>7050</v>
      </c>
      <c r="D531" s="99" t="s">
        <v>8621</v>
      </c>
      <c r="E531" s="142" t="s">
        <v>318</v>
      </c>
      <c r="F531" s="404">
        <f>707.3</f>
        <v>707.3</v>
      </c>
      <c r="G531" s="647">
        <v>2009</v>
      </c>
      <c r="H531" s="43">
        <v>145399.66</v>
      </c>
      <c r="I531" s="240" t="s">
        <v>10447</v>
      </c>
      <c r="J531" s="240" t="s">
        <v>10447</v>
      </c>
    </row>
    <row r="532" spans="1:10" s="60" customFormat="1" ht="45.75" customHeight="1" x14ac:dyDescent="0.2">
      <c r="A532" s="646" t="s">
        <v>3020</v>
      </c>
      <c r="B532" s="646" t="s">
        <v>509</v>
      </c>
      <c r="C532" s="646" t="s">
        <v>5994</v>
      </c>
      <c r="D532" s="642" t="s">
        <v>6806</v>
      </c>
      <c r="E532" s="642" t="s">
        <v>2410</v>
      </c>
      <c r="F532" s="113">
        <v>27.1</v>
      </c>
      <c r="G532" s="646">
        <v>2007</v>
      </c>
      <c r="H532" s="43"/>
      <c r="I532" s="646" t="s">
        <v>508</v>
      </c>
      <c r="J532" s="210" t="s">
        <v>9398</v>
      </c>
    </row>
    <row r="533" spans="1:10" s="60" customFormat="1" ht="89.25" customHeight="1" x14ac:dyDescent="0.2">
      <c r="A533" s="646" t="s">
        <v>3021</v>
      </c>
      <c r="B533" s="646" t="s">
        <v>12</v>
      </c>
      <c r="C533" s="646" t="s">
        <v>6695</v>
      </c>
      <c r="D533" s="654" t="s">
        <v>5696</v>
      </c>
      <c r="E533" s="642" t="s">
        <v>63</v>
      </c>
      <c r="F533" s="216">
        <v>997</v>
      </c>
      <c r="G533" s="646" t="s">
        <v>3300</v>
      </c>
      <c r="H533" s="192">
        <v>6112188.2599999998</v>
      </c>
      <c r="I533" s="646" t="s">
        <v>13477</v>
      </c>
      <c r="J533" s="702" t="s">
        <v>13902</v>
      </c>
    </row>
    <row r="534" spans="1:10" ht="26.25" customHeight="1" x14ac:dyDescent="0.2">
      <c r="A534" s="647" t="s">
        <v>3022</v>
      </c>
      <c r="B534" s="647" t="s">
        <v>494</v>
      </c>
      <c r="C534" s="647" t="s">
        <v>5995</v>
      </c>
      <c r="D534" s="654" t="s">
        <v>5855</v>
      </c>
      <c r="E534" s="642" t="s">
        <v>63</v>
      </c>
      <c r="F534" s="59">
        <f>140.4-50</f>
        <v>90.4</v>
      </c>
      <c r="G534" s="647" t="s">
        <v>6647</v>
      </c>
      <c r="H534" s="23">
        <v>28862.03</v>
      </c>
      <c r="I534" s="110" t="s">
        <v>5458</v>
      </c>
      <c r="J534" s="110" t="s">
        <v>5458</v>
      </c>
    </row>
    <row r="535" spans="1:10" ht="45" customHeight="1" x14ac:dyDescent="0.2">
      <c r="A535" s="646" t="s">
        <v>5059</v>
      </c>
      <c r="B535" s="145" t="s">
        <v>5856</v>
      </c>
      <c r="C535" s="148" t="s">
        <v>5996</v>
      </c>
      <c r="D535" s="20"/>
      <c r="E535" s="642" t="s">
        <v>5857</v>
      </c>
      <c r="F535" s="175">
        <v>50</v>
      </c>
      <c r="G535" s="647" t="s">
        <v>6647</v>
      </c>
      <c r="H535" s="126"/>
      <c r="I535" s="108" t="s">
        <v>3850</v>
      </c>
      <c r="J535" s="108" t="s">
        <v>13813</v>
      </c>
    </row>
    <row r="536" spans="1:10" s="60" customFormat="1" ht="36" customHeight="1" x14ac:dyDescent="0.2">
      <c r="A536" s="646" t="s">
        <v>3023</v>
      </c>
      <c r="B536" s="646" t="s">
        <v>5045</v>
      </c>
      <c r="C536" s="646" t="s">
        <v>5997</v>
      </c>
      <c r="D536" s="642" t="s">
        <v>4659</v>
      </c>
      <c r="E536" s="642" t="s">
        <v>68</v>
      </c>
      <c r="F536" s="113">
        <v>3513</v>
      </c>
      <c r="G536" s="646" t="s">
        <v>70</v>
      </c>
      <c r="H536" s="43"/>
      <c r="I536" s="642" t="s">
        <v>3528</v>
      </c>
      <c r="J536" s="642" t="s">
        <v>3528</v>
      </c>
    </row>
    <row r="537" spans="1:10" ht="33.75" customHeight="1" x14ac:dyDescent="0.2">
      <c r="A537" s="646" t="s">
        <v>3024</v>
      </c>
      <c r="B537" s="647" t="s">
        <v>5046</v>
      </c>
      <c r="C537" s="646" t="s">
        <v>5998</v>
      </c>
      <c r="D537" s="642" t="s">
        <v>4659</v>
      </c>
      <c r="E537" s="380" t="s">
        <v>183</v>
      </c>
      <c r="F537" s="59">
        <v>129</v>
      </c>
      <c r="G537" s="647" t="s">
        <v>70</v>
      </c>
      <c r="H537" s="23"/>
      <c r="I537" s="642" t="s">
        <v>3528</v>
      </c>
      <c r="J537" s="642" t="s">
        <v>3528</v>
      </c>
    </row>
    <row r="538" spans="1:10" ht="33.75" customHeight="1" x14ac:dyDescent="0.2">
      <c r="A538" s="646" t="s">
        <v>3025</v>
      </c>
      <c r="B538" s="647" t="s">
        <v>5047</v>
      </c>
      <c r="C538" s="646" t="s">
        <v>5999</v>
      </c>
      <c r="D538" s="642" t="s">
        <v>4659</v>
      </c>
      <c r="E538" s="380" t="s">
        <v>3515</v>
      </c>
      <c r="F538" s="59">
        <v>93.6</v>
      </c>
      <c r="G538" s="647" t="s">
        <v>70</v>
      </c>
      <c r="H538" s="23"/>
      <c r="I538" s="642" t="s">
        <v>3528</v>
      </c>
      <c r="J538" s="642" t="s">
        <v>3528</v>
      </c>
    </row>
    <row r="539" spans="1:10" ht="33.75" customHeight="1" x14ac:dyDescent="0.2">
      <c r="A539" s="646" t="s">
        <v>3026</v>
      </c>
      <c r="B539" s="647" t="s">
        <v>5048</v>
      </c>
      <c r="C539" s="646" t="s">
        <v>6000</v>
      </c>
      <c r="D539" s="642" t="s">
        <v>4659</v>
      </c>
      <c r="E539" s="380" t="s">
        <v>3516</v>
      </c>
      <c r="F539" s="59">
        <v>563.1</v>
      </c>
      <c r="G539" s="647" t="s">
        <v>70</v>
      </c>
      <c r="H539" s="23"/>
      <c r="I539" s="642" t="s">
        <v>3528</v>
      </c>
      <c r="J539" s="642" t="s">
        <v>3528</v>
      </c>
    </row>
    <row r="540" spans="1:10" ht="22.5" customHeight="1" x14ac:dyDescent="0.2">
      <c r="A540" s="647" t="s">
        <v>3027</v>
      </c>
      <c r="B540" s="647" t="s">
        <v>346</v>
      </c>
      <c r="C540" s="647" t="s">
        <v>6024</v>
      </c>
      <c r="D540" s="642"/>
      <c r="E540" s="380" t="s">
        <v>3046</v>
      </c>
      <c r="F540" s="59"/>
      <c r="G540" s="647">
        <v>2011</v>
      </c>
      <c r="H540" s="23"/>
      <c r="I540" s="647"/>
      <c r="J540" s="647"/>
    </row>
    <row r="541" spans="1:10" s="60" customFormat="1" ht="24.75" customHeight="1" x14ac:dyDescent="0.2">
      <c r="A541" s="646" t="s">
        <v>3028</v>
      </c>
      <c r="B541" s="646" t="s">
        <v>3476</v>
      </c>
      <c r="C541" s="642" t="s">
        <v>6053</v>
      </c>
      <c r="D541" s="642" t="s">
        <v>11457</v>
      </c>
      <c r="E541" s="642" t="s">
        <v>385</v>
      </c>
      <c r="F541" s="113">
        <v>171.1</v>
      </c>
      <c r="G541" s="646"/>
      <c r="H541" s="43">
        <v>644393.4</v>
      </c>
      <c r="I541" s="646" t="s">
        <v>4025</v>
      </c>
      <c r="J541" s="646" t="s">
        <v>4025</v>
      </c>
    </row>
    <row r="542" spans="1:10" s="60" customFormat="1" ht="28.5" customHeight="1" x14ac:dyDescent="0.2">
      <c r="A542" s="646" t="s">
        <v>5060</v>
      </c>
      <c r="B542" s="646" t="s">
        <v>3477</v>
      </c>
      <c r="C542" s="642" t="s">
        <v>6053</v>
      </c>
      <c r="D542" s="642" t="s">
        <v>11455</v>
      </c>
      <c r="E542" s="642" t="s">
        <v>385</v>
      </c>
      <c r="F542" s="113">
        <v>287.3</v>
      </c>
      <c r="G542" s="646"/>
      <c r="H542" s="43">
        <v>213165.79</v>
      </c>
      <c r="I542" s="646" t="s">
        <v>4025</v>
      </c>
      <c r="J542" s="646" t="s">
        <v>4025</v>
      </c>
    </row>
    <row r="543" spans="1:10" s="60" customFormat="1" ht="22.5" customHeight="1" x14ac:dyDescent="0.2">
      <c r="A543" s="646" t="s">
        <v>3029</v>
      </c>
      <c r="B543" s="646" t="s">
        <v>3478</v>
      </c>
      <c r="C543" s="646" t="s">
        <v>6053</v>
      </c>
      <c r="D543" s="989" t="s">
        <v>11456</v>
      </c>
      <c r="E543" s="642" t="s">
        <v>385</v>
      </c>
      <c r="F543" s="113">
        <f>450.1-171.1</f>
        <v>279</v>
      </c>
      <c r="G543" s="646"/>
      <c r="H543" s="43">
        <v>1082023.51</v>
      </c>
      <c r="I543" s="646"/>
      <c r="J543" s="646"/>
    </row>
    <row r="544" spans="1:10" s="60" customFormat="1" ht="22.5" customHeight="1" x14ac:dyDescent="0.2">
      <c r="A544" s="646" t="s">
        <v>5061</v>
      </c>
      <c r="B544" s="646" t="s">
        <v>4026</v>
      </c>
      <c r="C544" s="642" t="s">
        <v>6053</v>
      </c>
      <c r="D544" s="990"/>
      <c r="E544" s="642" t="s">
        <v>385</v>
      </c>
      <c r="F544" s="113">
        <v>171.1</v>
      </c>
      <c r="G544" s="646"/>
      <c r="H544" s="43">
        <v>1695157.62</v>
      </c>
      <c r="I544" s="646" t="s">
        <v>4025</v>
      </c>
      <c r="J544" s="646" t="s">
        <v>4025</v>
      </c>
    </row>
    <row r="545" spans="1:10" s="60" customFormat="1" ht="24.75" customHeight="1" x14ac:dyDescent="0.2">
      <c r="A545" s="646" t="s">
        <v>3030</v>
      </c>
      <c r="B545" s="646" t="s">
        <v>5572</v>
      </c>
      <c r="C545" s="642" t="s">
        <v>6052</v>
      </c>
      <c r="D545" s="642"/>
      <c r="E545" s="642" t="s">
        <v>495</v>
      </c>
      <c r="F545" s="113">
        <v>12</v>
      </c>
      <c r="G545" s="646"/>
      <c r="H545" s="43"/>
      <c r="I545" s="646" t="s">
        <v>3977</v>
      </c>
      <c r="J545" s="646"/>
    </row>
    <row r="546" spans="1:10" s="5" customFormat="1" ht="23.25" customHeight="1" x14ac:dyDescent="0.2">
      <c r="A546" s="12" t="s">
        <v>3031</v>
      </c>
      <c r="B546" s="12" t="s">
        <v>3040</v>
      </c>
      <c r="C546" s="12" t="s">
        <v>25</v>
      </c>
      <c r="D546" s="12" t="s">
        <v>5698</v>
      </c>
      <c r="E546" s="12" t="s">
        <v>2410</v>
      </c>
      <c r="F546" s="190">
        <v>285.60000000000002</v>
      </c>
      <c r="G546" s="12"/>
      <c r="H546" s="155">
        <v>1978725.34</v>
      </c>
      <c r="I546" s="12"/>
      <c r="J546" s="12"/>
    </row>
    <row r="547" spans="1:10" s="21" customFormat="1" ht="36" customHeight="1" x14ac:dyDescent="0.2">
      <c r="A547" s="222" t="s">
        <v>3032</v>
      </c>
      <c r="B547" s="222" t="s">
        <v>6693</v>
      </c>
      <c r="C547" s="222" t="s">
        <v>6691</v>
      </c>
      <c r="D547" s="12" t="s">
        <v>11165</v>
      </c>
      <c r="E547" s="222" t="s">
        <v>3978</v>
      </c>
      <c r="F547" s="405">
        <f>3*6</f>
        <v>18</v>
      </c>
      <c r="G547" s="101" t="s">
        <v>490</v>
      </c>
      <c r="H547" s="637">
        <v>465116.22</v>
      </c>
      <c r="I547" s="630" t="s">
        <v>8946</v>
      </c>
      <c r="J547" s="630" t="s">
        <v>8946</v>
      </c>
    </row>
    <row r="548" spans="1:10" s="14" customFormat="1" ht="48.75" customHeight="1" x14ac:dyDescent="0.2">
      <c r="A548" s="630" t="s">
        <v>3033</v>
      </c>
      <c r="B548" s="639" t="s">
        <v>5544</v>
      </c>
      <c r="C548" s="630" t="s">
        <v>5807</v>
      </c>
      <c r="D548" s="237"/>
      <c r="E548" s="12" t="s">
        <v>5808</v>
      </c>
      <c r="F548" s="637">
        <v>32.119999999999997</v>
      </c>
      <c r="G548" s="640" t="s">
        <v>4433</v>
      </c>
      <c r="H548" s="237"/>
      <c r="I548" s="646" t="s">
        <v>506</v>
      </c>
      <c r="J548" s="646" t="s">
        <v>506</v>
      </c>
    </row>
    <row r="549" spans="1:10" ht="47.25" customHeight="1" x14ac:dyDescent="0.2">
      <c r="A549" s="639" t="s">
        <v>3034</v>
      </c>
      <c r="B549" s="639" t="s">
        <v>5545</v>
      </c>
      <c r="C549" s="630" t="s">
        <v>0</v>
      </c>
      <c r="D549" s="237"/>
      <c r="E549" s="12" t="s">
        <v>5809</v>
      </c>
      <c r="F549" s="637">
        <v>32.119999999999997</v>
      </c>
      <c r="G549" s="640" t="s">
        <v>4433</v>
      </c>
      <c r="H549" s="237"/>
      <c r="I549" s="630" t="s">
        <v>9</v>
      </c>
      <c r="J549" s="630" t="s">
        <v>9</v>
      </c>
    </row>
    <row r="550" spans="1:10" ht="33.75" customHeight="1" x14ac:dyDescent="0.2">
      <c r="A550" s="105" t="s">
        <v>3035</v>
      </c>
      <c r="B550" s="105" t="s">
        <v>5909</v>
      </c>
      <c r="C550" s="25" t="s">
        <v>4213</v>
      </c>
      <c r="D550" s="99" t="s">
        <v>4217</v>
      </c>
      <c r="E550" s="105"/>
      <c r="F550" s="189"/>
      <c r="G550" s="8"/>
      <c r="H550" s="22"/>
      <c r="I550" s="276" t="s">
        <v>9123</v>
      </c>
      <c r="J550" s="276" t="s">
        <v>9123</v>
      </c>
    </row>
    <row r="551" spans="1:10" ht="25.5" customHeight="1" x14ac:dyDescent="0.2">
      <c r="A551" s="8" t="s">
        <v>5062</v>
      </c>
      <c r="B551" s="8" t="s">
        <v>4218</v>
      </c>
      <c r="C551" s="25" t="s">
        <v>4213</v>
      </c>
      <c r="D551" s="99" t="s">
        <v>4217</v>
      </c>
      <c r="E551" s="8" t="s">
        <v>4229</v>
      </c>
      <c r="F551" s="160">
        <v>1959.5</v>
      </c>
      <c r="G551" s="8"/>
      <c r="H551" s="22"/>
      <c r="I551" s="276" t="s">
        <v>9123</v>
      </c>
      <c r="J551" s="276" t="s">
        <v>9123</v>
      </c>
    </row>
    <row r="552" spans="1:10" ht="24.75" customHeight="1" x14ac:dyDescent="0.2">
      <c r="A552" s="8" t="s">
        <v>5063</v>
      </c>
      <c r="B552" s="8" t="s">
        <v>4226</v>
      </c>
      <c r="C552" s="25" t="s">
        <v>4213</v>
      </c>
      <c r="D552" s="99" t="s">
        <v>4217</v>
      </c>
      <c r="E552" s="8" t="s">
        <v>4230</v>
      </c>
      <c r="F552" s="160">
        <v>40.200000000000003</v>
      </c>
      <c r="G552" s="8"/>
      <c r="H552" s="22"/>
      <c r="I552" s="276" t="s">
        <v>9123</v>
      </c>
      <c r="J552" s="276" t="s">
        <v>9123</v>
      </c>
    </row>
    <row r="553" spans="1:10" ht="25.5" customHeight="1" x14ac:dyDescent="0.2">
      <c r="A553" s="8" t="s">
        <v>5064</v>
      </c>
      <c r="B553" s="8" t="s">
        <v>4225</v>
      </c>
      <c r="C553" s="25" t="s">
        <v>4213</v>
      </c>
      <c r="D553" s="99" t="s">
        <v>4217</v>
      </c>
      <c r="E553" s="8" t="s">
        <v>3965</v>
      </c>
      <c r="F553" s="160">
        <v>476.9</v>
      </c>
      <c r="G553" s="8"/>
      <c r="H553" s="22"/>
      <c r="I553" s="276" t="s">
        <v>9123</v>
      </c>
      <c r="J553" s="276" t="s">
        <v>9123</v>
      </c>
    </row>
    <row r="554" spans="1:10" ht="24.75" customHeight="1" x14ac:dyDescent="0.2">
      <c r="A554" s="8" t="s">
        <v>5065</v>
      </c>
      <c r="B554" s="8" t="s">
        <v>4227</v>
      </c>
      <c r="C554" s="25" t="s">
        <v>4213</v>
      </c>
      <c r="D554" s="99" t="s">
        <v>4217</v>
      </c>
      <c r="E554" s="8" t="s">
        <v>3965</v>
      </c>
      <c r="F554" s="160">
        <v>144.19999999999999</v>
      </c>
      <c r="G554" s="8"/>
      <c r="H554" s="22"/>
      <c r="I554" s="276" t="s">
        <v>9123</v>
      </c>
      <c r="J554" s="276" t="s">
        <v>9123</v>
      </c>
    </row>
    <row r="555" spans="1:10" ht="26.25" customHeight="1" x14ac:dyDescent="0.2">
      <c r="A555" s="8" t="s">
        <v>5066</v>
      </c>
      <c r="B555" s="12" t="s">
        <v>4228</v>
      </c>
      <c r="C555" s="25" t="s">
        <v>4213</v>
      </c>
      <c r="D555" s="99" t="s">
        <v>4217</v>
      </c>
      <c r="E555" s="8" t="s">
        <v>4230</v>
      </c>
      <c r="F555" s="160">
        <v>2682</v>
      </c>
      <c r="G555" s="8"/>
      <c r="H555" s="22"/>
      <c r="I555" s="276" t="s">
        <v>9123</v>
      </c>
      <c r="J555" s="276" t="s">
        <v>9123</v>
      </c>
    </row>
    <row r="556" spans="1:10" ht="24.75" customHeight="1" x14ac:dyDescent="0.2">
      <c r="A556" s="8" t="s">
        <v>5067</v>
      </c>
      <c r="B556" s="222" t="s">
        <v>4760</v>
      </c>
      <c r="C556" s="25" t="s">
        <v>4213</v>
      </c>
      <c r="D556" s="99" t="s">
        <v>4217</v>
      </c>
      <c r="E556" s="8" t="s">
        <v>3965</v>
      </c>
      <c r="F556" s="160">
        <v>110.8</v>
      </c>
      <c r="G556" s="8"/>
      <c r="H556" s="22"/>
      <c r="I556" s="19" t="s">
        <v>5747</v>
      </c>
      <c r="J556" s="19" t="s">
        <v>5747</v>
      </c>
    </row>
    <row r="557" spans="1:10" ht="25.5" customHeight="1" x14ac:dyDescent="0.2">
      <c r="A557" s="8" t="s">
        <v>5068</v>
      </c>
      <c r="B557" s="222" t="s">
        <v>4830</v>
      </c>
      <c r="C557" s="25" t="s">
        <v>4213</v>
      </c>
      <c r="D557" s="99" t="s">
        <v>4217</v>
      </c>
      <c r="E557" s="8" t="s">
        <v>4230</v>
      </c>
      <c r="F557" s="160">
        <v>20.9</v>
      </c>
      <c r="G557" s="8"/>
      <c r="H557" s="22"/>
      <c r="I557" s="646" t="s">
        <v>11180</v>
      </c>
      <c r="J557" s="646" t="s">
        <v>11180</v>
      </c>
    </row>
    <row r="558" spans="1:10" ht="26.25" customHeight="1" x14ac:dyDescent="0.2">
      <c r="A558" s="8" t="s">
        <v>3036</v>
      </c>
      <c r="B558" s="8" t="s">
        <v>8651</v>
      </c>
      <c r="C558" s="8" t="s">
        <v>4200</v>
      </c>
      <c r="D558" s="642" t="s">
        <v>5699</v>
      </c>
      <c r="E558" s="8" t="s">
        <v>4201</v>
      </c>
      <c r="F558" s="160">
        <v>362.7</v>
      </c>
      <c r="G558" s="8"/>
      <c r="H558" s="81">
        <v>1365993.49</v>
      </c>
      <c r="I558" s="19" t="s">
        <v>4545</v>
      </c>
      <c r="J558" s="19" t="s">
        <v>4545</v>
      </c>
    </row>
    <row r="559" spans="1:10" ht="24.75" customHeight="1" x14ac:dyDescent="0.2">
      <c r="A559" s="639" t="s">
        <v>4371</v>
      </c>
      <c r="B559" s="639" t="s">
        <v>4215</v>
      </c>
      <c r="C559" s="639" t="s">
        <v>4216</v>
      </c>
      <c r="D559" s="642" t="s">
        <v>5700</v>
      </c>
      <c r="E559" s="12" t="s">
        <v>4203</v>
      </c>
      <c r="F559" s="190">
        <v>129.6</v>
      </c>
      <c r="G559" s="12"/>
      <c r="H559" s="155">
        <v>1240507.8700000001</v>
      </c>
      <c r="I559" s="630" t="s">
        <v>11180</v>
      </c>
      <c r="J559" s="630" t="s">
        <v>11180</v>
      </c>
    </row>
    <row r="560" spans="1:10" ht="25.5" customHeight="1" x14ac:dyDescent="0.2">
      <c r="A560" s="8" t="s">
        <v>4251</v>
      </c>
      <c r="B560" s="8" t="s">
        <v>4214</v>
      </c>
      <c r="C560" s="8" t="s">
        <v>4213</v>
      </c>
      <c r="D560" s="642" t="s">
        <v>5701</v>
      </c>
      <c r="E560" s="8" t="s">
        <v>4203</v>
      </c>
      <c r="F560" s="160">
        <v>138.9</v>
      </c>
      <c r="G560" s="8"/>
      <c r="H560" s="81">
        <v>1329525.8</v>
      </c>
      <c r="I560" s="276" t="s">
        <v>9123</v>
      </c>
      <c r="J560" s="276" t="s">
        <v>9123</v>
      </c>
    </row>
    <row r="561" spans="1:10" ht="26.25" customHeight="1" x14ac:dyDescent="0.2">
      <c r="A561" s="8" t="s">
        <v>4252</v>
      </c>
      <c r="B561" s="8" t="s">
        <v>4204</v>
      </c>
      <c r="C561" s="8" t="s">
        <v>4200</v>
      </c>
      <c r="D561" s="642" t="s">
        <v>5702</v>
      </c>
      <c r="E561" s="8" t="s">
        <v>4203</v>
      </c>
      <c r="F561" s="160">
        <v>80.099999999999994</v>
      </c>
      <c r="G561" s="8"/>
      <c r="H561" s="81">
        <v>301671.02</v>
      </c>
      <c r="I561" s="19" t="s">
        <v>11180</v>
      </c>
      <c r="J561" s="19" t="s">
        <v>11180</v>
      </c>
    </row>
    <row r="562" spans="1:10" ht="26.25" customHeight="1" x14ac:dyDescent="0.2">
      <c r="A562" s="8" t="s">
        <v>4253</v>
      </c>
      <c r="B562" s="25" t="s">
        <v>4205</v>
      </c>
      <c r="C562" s="8" t="s">
        <v>4200</v>
      </c>
      <c r="D562" s="642" t="s">
        <v>5703</v>
      </c>
      <c r="E562" s="8" t="s">
        <v>4203</v>
      </c>
      <c r="F562" s="160">
        <v>16.8</v>
      </c>
      <c r="G562" s="8"/>
      <c r="H562" s="81">
        <v>63271.82</v>
      </c>
      <c r="I562" s="8" t="s">
        <v>11166</v>
      </c>
      <c r="J562" s="728" t="s">
        <v>14046</v>
      </c>
    </row>
    <row r="563" spans="1:10" ht="26.25" customHeight="1" x14ac:dyDescent="0.2">
      <c r="A563" s="8" t="s">
        <v>4254</v>
      </c>
      <c r="B563" s="25" t="s">
        <v>4204</v>
      </c>
      <c r="C563" s="8" t="s">
        <v>4200</v>
      </c>
      <c r="D563" s="642" t="s">
        <v>10645</v>
      </c>
      <c r="E563" s="8" t="s">
        <v>4203</v>
      </c>
      <c r="F563" s="219">
        <v>88.8</v>
      </c>
      <c r="G563" s="25"/>
      <c r="H563" s="441">
        <v>334436.78000000003</v>
      </c>
      <c r="I563" s="276" t="s">
        <v>9123</v>
      </c>
      <c r="J563" s="276" t="s">
        <v>9123</v>
      </c>
    </row>
    <row r="564" spans="1:10" ht="27" customHeight="1" x14ac:dyDescent="0.2">
      <c r="A564" s="8" t="s">
        <v>4255</v>
      </c>
      <c r="B564" s="8" t="s">
        <v>337</v>
      </c>
      <c r="C564" s="8" t="s">
        <v>4200</v>
      </c>
      <c r="D564" s="642" t="s">
        <v>5704</v>
      </c>
      <c r="E564" s="8" t="s">
        <v>4203</v>
      </c>
      <c r="F564" s="160">
        <v>88.7</v>
      </c>
      <c r="G564" s="8"/>
      <c r="H564" s="81">
        <v>334060.17</v>
      </c>
      <c r="I564" s="8" t="s">
        <v>11166</v>
      </c>
      <c r="J564" s="728" t="s">
        <v>14046</v>
      </c>
    </row>
    <row r="565" spans="1:10" ht="24.75" customHeight="1" x14ac:dyDescent="0.2">
      <c r="A565" s="8" t="s">
        <v>4256</v>
      </c>
      <c r="B565" s="8" t="s">
        <v>4198</v>
      </c>
      <c r="C565" s="8" t="s">
        <v>4200</v>
      </c>
      <c r="D565" s="642" t="s">
        <v>5705</v>
      </c>
      <c r="E565" s="8" t="s">
        <v>4201</v>
      </c>
      <c r="F565" s="160">
        <v>336.6</v>
      </c>
      <c r="G565" s="8"/>
      <c r="H565" s="81">
        <v>1267696.19</v>
      </c>
      <c r="I565" s="8" t="s">
        <v>11166</v>
      </c>
      <c r="J565" s="728" t="s">
        <v>14046</v>
      </c>
    </row>
    <row r="566" spans="1:10" ht="25.5" customHeight="1" x14ac:dyDescent="0.2">
      <c r="A566" s="8" t="s">
        <v>4257</v>
      </c>
      <c r="B566" s="158" t="s">
        <v>5910</v>
      </c>
      <c r="C566" s="25" t="s">
        <v>4406</v>
      </c>
      <c r="D566" s="222" t="s">
        <v>4500</v>
      </c>
      <c r="E566" s="105"/>
      <c r="F566" s="220"/>
      <c r="G566" s="8"/>
      <c r="H566" s="22"/>
      <c r="I566" s="276" t="s">
        <v>9123</v>
      </c>
      <c r="J566" s="276" t="s">
        <v>9123</v>
      </c>
    </row>
    <row r="567" spans="1:10" ht="24.75" customHeight="1" x14ac:dyDescent="0.2">
      <c r="A567" s="8" t="s">
        <v>4756</v>
      </c>
      <c r="B567" s="25" t="s">
        <v>4497</v>
      </c>
      <c r="C567" s="25" t="s">
        <v>4406</v>
      </c>
      <c r="D567" s="222" t="s">
        <v>4500</v>
      </c>
      <c r="E567" s="8" t="s">
        <v>4501</v>
      </c>
      <c r="F567" s="160">
        <v>1302.8</v>
      </c>
      <c r="G567" s="8" t="s">
        <v>552</v>
      </c>
      <c r="H567" s="22"/>
      <c r="I567" s="276" t="s">
        <v>9123</v>
      </c>
      <c r="J567" s="276" t="s">
        <v>9123</v>
      </c>
    </row>
    <row r="568" spans="1:10" ht="24" customHeight="1" x14ac:dyDescent="0.2">
      <c r="A568" s="8" t="s">
        <v>5069</v>
      </c>
      <c r="B568" s="25" t="s">
        <v>4498</v>
      </c>
      <c r="C568" s="25" t="s">
        <v>4406</v>
      </c>
      <c r="D568" s="222" t="s">
        <v>4500</v>
      </c>
      <c r="E568" s="8" t="s">
        <v>4502</v>
      </c>
      <c r="F568" s="160">
        <v>800.8</v>
      </c>
      <c r="G568" s="8" t="s">
        <v>3551</v>
      </c>
      <c r="H568" s="22"/>
      <c r="I568" s="276" t="s">
        <v>9123</v>
      </c>
      <c r="J568" s="276" t="s">
        <v>9123</v>
      </c>
    </row>
    <row r="569" spans="1:10" ht="21.75" customHeight="1" x14ac:dyDescent="0.2">
      <c r="A569" s="8" t="s">
        <v>5070</v>
      </c>
      <c r="B569" s="25" t="s">
        <v>4499</v>
      </c>
      <c r="C569" s="25" t="s">
        <v>4406</v>
      </c>
      <c r="D569" s="222" t="s">
        <v>4500</v>
      </c>
      <c r="E569" s="8" t="s">
        <v>4495</v>
      </c>
      <c r="F569" s="160">
        <v>79.900000000000006</v>
      </c>
      <c r="G569" s="8" t="s">
        <v>552</v>
      </c>
      <c r="H569" s="22"/>
      <c r="I569" s="276" t="s">
        <v>9123</v>
      </c>
      <c r="J569" s="276" t="s">
        <v>9123</v>
      </c>
    </row>
    <row r="570" spans="1:10" ht="35.25" customHeight="1" x14ac:dyDescent="0.2">
      <c r="A570" s="8" t="s">
        <v>5071</v>
      </c>
      <c r="B570" s="105" t="s">
        <v>5915</v>
      </c>
      <c r="C570" s="966" t="s">
        <v>4406</v>
      </c>
      <c r="D570" s="981" t="s">
        <v>4542</v>
      </c>
      <c r="E570" s="105"/>
      <c r="F570" s="189"/>
      <c r="G570" s="8"/>
      <c r="H570" s="22"/>
      <c r="I570" s="1009" t="s">
        <v>11180</v>
      </c>
      <c r="J570" s="1009" t="s">
        <v>11180</v>
      </c>
    </row>
    <row r="571" spans="1:10" ht="25.5" customHeight="1" x14ac:dyDescent="0.2">
      <c r="A571" s="8" t="s">
        <v>4372</v>
      </c>
      <c r="B571" s="8" t="s">
        <v>4543</v>
      </c>
      <c r="C571" s="968"/>
      <c r="D571" s="983"/>
      <c r="E571" s="8" t="s">
        <v>4546</v>
      </c>
      <c r="F571" s="160">
        <v>268.60000000000002</v>
      </c>
      <c r="G571" s="8" t="s">
        <v>552</v>
      </c>
      <c r="H571" s="22"/>
      <c r="I571" s="1009"/>
      <c r="J571" s="1009"/>
    </row>
    <row r="572" spans="1:10" ht="31.5" customHeight="1" x14ac:dyDescent="0.2">
      <c r="A572" s="8" t="s">
        <v>4258</v>
      </c>
      <c r="B572" s="105" t="s">
        <v>5914</v>
      </c>
      <c r="C572" s="25" t="s">
        <v>4406</v>
      </c>
      <c r="D572" s="222" t="s">
        <v>4586</v>
      </c>
      <c r="E572" s="105"/>
      <c r="F572" s="189"/>
      <c r="G572" s="8"/>
      <c r="H572" s="22"/>
      <c r="I572" s="8" t="s">
        <v>11166</v>
      </c>
      <c r="J572" s="728" t="s">
        <v>14046</v>
      </c>
    </row>
    <row r="573" spans="1:10" ht="33.75" customHeight="1" x14ac:dyDescent="0.2">
      <c r="A573" s="8" t="s">
        <v>4763</v>
      </c>
      <c r="B573" s="8" t="s">
        <v>4588</v>
      </c>
      <c r="C573" s="25" t="s">
        <v>4406</v>
      </c>
      <c r="D573" s="222" t="s">
        <v>4586</v>
      </c>
      <c r="E573" s="8" t="s">
        <v>4491</v>
      </c>
      <c r="F573" s="160">
        <v>299.5</v>
      </c>
      <c r="G573" s="8" t="s">
        <v>517</v>
      </c>
      <c r="H573" s="22"/>
      <c r="I573" s="8" t="s">
        <v>11166</v>
      </c>
      <c r="J573" s="728" t="s">
        <v>14046</v>
      </c>
    </row>
    <row r="574" spans="1:10" ht="38.25" customHeight="1" x14ac:dyDescent="0.2">
      <c r="A574" s="8" t="s">
        <v>5072</v>
      </c>
      <c r="B574" s="8" t="s">
        <v>4589</v>
      </c>
      <c r="C574" s="25" t="s">
        <v>4406</v>
      </c>
      <c r="D574" s="222" t="s">
        <v>4586</v>
      </c>
      <c r="E574" s="8" t="s">
        <v>4623</v>
      </c>
      <c r="F574" s="160">
        <v>813.3</v>
      </c>
      <c r="G574" s="8" t="s">
        <v>517</v>
      </c>
      <c r="H574" s="22"/>
      <c r="I574" s="8" t="s">
        <v>11166</v>
      </c>
      <c r="J574" s="728" t="s">
        <v>14046</v>
      </c>
    </row>
    <row r="575" spans="1:10" ht="22.5" customHeight="1" x14ac:dyDescent="0.2">
      <c r="A575" s="8" t="s">
        <v>5073</v>
      </c>
      <c r="B575" s="8" t="s">
        <v>4590</v>
      </c>
      <c r="C575" s="25" t="s">
        <v>4406</v>
      </c>
      <c r="D575" s="222" t="s">
        <v>4586</v>
      </c>
      <c r="E575" s="8" t="s">
        <v>4624</v>
      </c>
      <c r="F575" s="160">
        <v>49.5</v>
      </c>
      <c r="G575" s="8" t="s">
        <v>517</v>
      </c>
      <c r="H575" s="22"/>
      <c r="I575" s="8" t="s">
        <v>11166</v>
      </c>
      <c r="J575" s="728" t="s">
        <v>14046</v>
      </c>
    </row>
    <row r="576" spans="1:10" ht="22.5" customHeight="1" x14ac:dyDescent="0.2">
      <c r="A576" s="8" t="s">
        <v>5074</v>
      </c>
      <c r="B576" s="8" t="s">
        <v>4591</v>
      </c>
      <c r="C576" s="25" t="s">
        <v>4406</v>
      </c>
      <c r="D576" s="222" t="s">
        <v>4586</v>
      </c>
      <c r="E576" s="8" t="s">
        <v>4624</v>
      </c>
      <c r="F576" s="160">
        <v>415.1</v>
      </c>
      <c r="G576" s="8" t="s">
        <v>85</v>
      </c>
      <c r="H576" s="22"/>
      <c r="I576" s="8" t="s">
        <v>11166</v>
      </c>
      <c r="J576" s="728" t="s">
        <v>14046</v>
      </c>
    </row>
    <row r="577" spans="1:10" ht="24" customHeight="1" x14ac:dyDescent="0.2">
      <c r="A577" s="8" t="s">
        <v>5075</v>
      </c>
      <c r="B577" s="8" t="s">
        <v>4464</v>
      </c>
      <c r="C577" s="25" t="s">
        <v>4406</v>
      </c>
      <c r="D577" s="222" t="s">
        <v>4586</v>
      </c>
      <c r="E577" s="8" t="s">
        <v>4491</v>
      </c>
      <c r="F577" s="160">
        <v>174.8</v>
      </c>
      <c r="G577" s="8" t="s">
        <v>517</v>
      </c>
      <c r="H577" s="22"/>
      <c r="I577" s="8" t="s">
        <v>11166</v>
      </c>
      <c r="J577" s="728" t="s">
        <v>14046</v>
      </c>
    </row>
    <row r="578" spans="1:10" ht="24.75" customHeight="1" x14ac:dyDescent="0.2">
      <c r="A578" s="8" t="s">
        <v>5076</v>
      </c>
      <c r="B578" s="8" t="s">
        <v>4592</v>
      </c>
      <c r="C578" s="25" t="s">
        <v>4406</v>
      </c>
      <c r="D578" s="222" t="s">
        <v>4586</v>
      </c>
      <c r="E578" s="8" t="s">
        <v>4623</v>
      </c>
      <c r="F578" s="160">
        <v>77.7</v>
      </c>
      <c r="G578" s="8" t="s">
        <v>517</v>
      </c>
      <c r="H578" s="22"/>
      <c r="I578" s="8" t="s">
        <v>11166</v>
      </c>
      <c r="J578" s="728" t="s">
        <v>14046</v>
      </c>
    </row>
    <row r="579" spans="1:10" ht="38.25" customHeight="1" x14ac:dyDescent="0.2">
      <c r="A579" s="8" t="s">
        <v>5077</v>
      </c>
      <c r="B579" s="8" t="s">
        <v>4593</v>
      </c>
      <c r="C579" s="25" t="s">
        <v>4406</v>
      </c>
      <c r="D579" s="222" t="s">
        <v>4586</v>
      </c>
      <c r="E579" s="8" t="s">
        <v>4623</v>
      </c>
      <c r="F579" s="160">
        <v>117.6</v>
      </c>
      <c r="G579" s="8" t="s">
        <v>517</v>
      </c>
      <c r="H579" s="22"/>
      <c r="I579" s="8" t="s">
        <v>11166</v>
      </c>
      <c r="J579" s="728" t="s">
        <v>14046</v>
      </c>
    </row>
    <row r="580" spans="1:10" ht="24" customHeight="1" x14ac:dyDescent="0.2">
      <c r="A580" s="8" t="s">
        <v>5078</v>
      </c>
      <c r="B580" s="105" t="s">
        <v>5913</v>
      </c>
      <c r="C580" s="25" t="s">
        <v>4406</v>
      </c>
      <c r="D580" s="222" t="s">
        <v>4479</v>
      </c>
      <c r="E580" s="105"/>
      <c r="F580" s="189"/>
      <c r="G580" s="8"/>
      <c r="H580" s="22"/>
      <c r="I580" s="276" t="s">
        <v>9123</v>
      </c>
      <c r="J580" s="276" t="s">
        <v>9123</v>
      </c>
    </row>
    <row r="581" spans="1:10" ht="36" customHeight="1" x14ac:dyDescent="0.2">
      <c r="A581" s="8" t="s">
        <v>5079</v>
      </c>
      <c r="B581" s="8" t="s">
        <v>2146</v>
      </c>
      <c r="C581" s="25" t="s">
        <v>4406</v>
      </c>
      <c r="D581" s="222" t="s">
        <v>4479</v>
      </c>
      <c r="E581" s="8" t="s">
        <v>4490</v>
      </c>
      <c r="F581" s="160">
        <v>3616.5</v>
      </c>
      <c r="G581" s="8" t="s">
        <v>85</v>
      </c>
      <c r="H581" s="22"/>
      <c r="I581" s="276" t="s">
        <v>9123</v>
      </c>
      <c r="J581" s="276" t="s">
        <v>9123</v>
      </c>
    </row>
    <row r="582" spans="1:10" ht="33.75" customHeight="1" x14ac:dyDescent="0.2">
      <c r="A582" s="8" t="s">
        <v>4764</v>
      </c>
      <c r="B582" s="8" t="s">
        <v>4485</v>
      </c>
      <c r="C582" s="25" t="s">
        <v>4406</v>
      </c>
      <c r="D582" s="222" t="s">
        <v>4479</v>
      </c>
      <c r="E582" s="8" t="s">
        <v>4491</v>
      </c>
      <c r="F582" s="160">
        <v>1030.3</v>
      </c>
      <c r="G582" s="8" t="s">
        <v>504</v>
      </c>
      <c r="H582" s="22"/>
      <c r="I582" s="276" t="s">
        <v>9123</v>
      </c>
      <c r="J582" s="276" t="s">
        <v>9123</v>
      </c>
    </row>
    <row r="583" spans="1:10" ht="33.75" customHeight="1" x14ac:dyDescent="0.2">
      <c r="A583" s="8" t="s">
        <v>4765</v>
      </c>
      <c r="B583" s="8" t="s">
        <v>4486</v>
      </c>
      <c r="C583" s="25" t="s">
        <v>4406</v>
      </c>
      <c r="D583" s="222" t="s">
        <v>4479</v>
      </c>
      <c r="E583" s="8" t="s">
        <v>4492</v>
      </c>
      <c r="F583" s="160">
        <v>2130</v>
      </c>
      <c r="G583" s="8" t="s">
        <v>85</v>
      </c>
      <c r="H583" s="22"/>
      <c r="I583" s="276" t="s">
        <v>9123</v>
      </c>
      <c r="J583" s="276" t="s">
        <v>9123</v>
      </c>
    </row>
    <row r="584" spans="1:10" ht="34.5" customHeight="1" x14ac:dyDescent="0.2">
      <c r="A584" s="8" t="s">
        <v>4766</v>
      </c>
      <c r="B584" s="8" t="s">
        <v>4487</v>
      </c>
      <c r="C584" s="25" t="s">
        <v>4406</v>
      </c>
      <c r="D584" s="222" t="s">
        <v>4479</v>
      </c>
      <c r="E584" s="8" t="s">
        <v>4494</v>
      </c>
      <c r="F584" s="160">
        <v>423.1</v>
      </c>
      <c r="G584" s="8" t="s">
        <v>85</v>
      </c>
      <c r="H584" s="22"/>
      <c r="I584" s="276" t="s">
        <v>9123</v>
      </c>
      <c r="J584" s="276" t="s">
        <v>9123</v>
      </c>
    </row>
    <row r="585" spans="1:10" ht="33.75" customHeight="1" x14ac:dyDescent="0.2">
      <c r="A585" s="8" t="s">
        <v>4767</v>
      </c>
      <c r="B585" s="8" t="s">
        <v>4488</v>
      </c>
      <c r="C585" s="25" t="s">
        <v>4406</v>
      </c>
      <c r="D585" s="222" t="s">
        <v>4479</v>
      </c>
      <c r="E585" s="8" t="s">
        <v>4496</v>
      </c>
      <c r="F585" s="160">
        <v>541.79999999999995</v>
      </c>
      <c r="G585" s="8" t="s">
        <v>504</v>
      </c>
      <c r="H585" s="22"/>
      <c r="I585" s="276" t="s">
        <v>9123</v>
      </c>
      <c r="J585" s="276" t="s">
        <v>9123</v>
      </c>
    </row>
    <row r="586" spans="1:10" ht="36.75" customHeight="1" x14ac:dyDescent="0.2">
      <c r="A586" s="8" t="s">
        <v>4768</v>
      </c>
      <c r="B586" s="8" t="s">
        <v>4489</v>
      </c>
      <c r="C586" s="25" t="s">
        <v>4406</v>
      </c>
      <c r="D586" s="222" t="s">
        <v>4479</v>
      </c>
      <c r="E586" s="8" t="s">
        <v>4495</v>
      </c>
      <c r="F586" s="160">
        <v>140.6</v>
      </c>
      <c r="G586" s="8" t="s">
        <v>504</v>
      </c>
      <c r="H586" s="22"/>
      <c r="I586" s="276" t="s">
        <v>9123</v>
      </c>
      <c r="J586" s="276" t="s">
        <v>9123</v>
      </c>
    </row>
    <row r="587" spans="1:10" ht="25.5" customHeight="1" x14ac:dyDescent="0.2">
      <c r="A587" s="8" t="s">
        <v>4769</v>
      </c>
      <c r="B587" s="105" t="s">
        <v>5912</v>
      </c>
      <c r="C587" s="25" t="s">
        <v>4406</v>
      </c>
      <c r="D587" s="12" t="s">
        <v>11524</v>
      </c>
      <c r="E587" s="105"/>
      <c r="F587" s="189"/>
      <c r="G587" s="8"/>
      <c r="H587" s="22"/>
      <c r="I587" s="25" t="s">
        <v>11180</v>
      </c>
      <c r="J587" s="25" t="s">
        <v>11180</v>
      </c>
    </row>
    <row r="588" spans="1:10" ht="33.75" customHeight="1" x14ac:dyDescent="0.2">
      <c r="A588" s="8" t="s">
        <v>4480</v>
      </c>
      <c r="B588" s="8" t="s">
        <v>4669</v>
      </c>
      <c r="C588" s="25" t="s">
        <v>4406</v>
      </c>
      <c r="D588" s="12" t="s">
        <v>11524</v>
      </c>
      <c r="E588" s="8" t="s">
        <v>4494</v>
      </c>
      <c r="F588" s="160">
        <v>1099.4000000000001</v>
      </c>
      <c r="G588" s="8" t="s">
        <v>2889</v>
      </c>
      <c r="H588" s="22"/>
      <c r="I588" s="25" t="s">
        <v>11180</v>
      </c>
      <c r="J588" s="25" t="s">
        <v>11180</v>
      </c>
    </row>
    <row r="589" spans="1:10" ht="23.25" customHeight="1" x14ac:dyDescent="0.2">
      <c r="A589" s="8" t="s">
        <v>4481</v>
      </c>
      <c r="B589" s="8" t="s">
        <v>4670</v>
      </c>
      <c r="C589" s="25" t="s">
        <v>4406</v>
      </c>
      <c r="D589" s="12" t="s">
        <v>11524</v>
      </c>
      <c r="E589" s="8" t="s">
        <v>4688</v>
      </c>
      <c r="F589" s="160">
        <v>36.5</v>
      </c>
      <c r="G589" s="8" t="s">
        <v>2889</v>
      </c>
      <c r="H589" s="22"/>
      <c r="I589" s="25" t="s">
        <v>11180</v>
      </c>
      <c r="J589" s="25" t="s">
        <v>11180</v>
      </c>
    </row>
    <row r="590" spans="1:10" ht="23.25" customHeight="1" x14ac:dyDescent="0.2">
      <c r="A590" s="8" t="s">
        <v>4482</v>
      </c>
      <c r="B590" s="8" t="s">
        <v>4671</v>
      </c>
      <c r="C590" s="25" t="s">
        <v>4406</v>
      </c>
      <c r="D590" s="12" t="s">
        <v>11524</v>
      </c>
      <c r="E590" s="8" t="s">
        <v>4491</v>
      </c>
      <c r="F590" s="160">
        <v>98.1</v>
      </c>
      <c r="G590" s="8" t="s">
        <v>39</v>
      </c>
      <c r="H590" s="22"/>
      <c r="I590" s="25" t="s">
        <v>11180</v>
      </c>
      <c r="J590" s="25" t="s">
        <v>11180</v>
      </c>
    </row>
    <row r="591" spans="1:10" ht="23.25" customHeight="1" x14ac:dyDescent="0.2">
      <c r="A591" s="8" t="s">
        <v>4483</v>
      </c>
      <c r="B591" s="8" t="s">
        <v>10452</v>
      </c>
      <c r="C591" s="25" t="s">
        <v>4406</v>
      </c>
      <c r="D591" s="12" t="s">
        <v>10451</v>
      </c>
      <c r="E591" s="8" t="s">
        <v>4491</v>
      </c>
      <c r="F591" s="160">
        <v>83.4</v>
      </c>
      <c r="G591" s="8" t="s">
        <v>39</v>
      </c>
      <c r="H591" s="22"/>
      <c r="I591" s="25" t="s">
        <v>11180</v>
      </c>
      <c r="J591" s="25" t="s">
        <v>11180</v>
      </c>
    </row>
    <row r="592" spans="1:10" ht="23.25" customHeight="1" x14ac:dyDescent="0.2">
      <c r="A592" s="8" t="s">
        <v>4484</v>
      </c>
      <c r="B592" s="8" t="s">
        <v>10453</v>
      </c>
      <c r="C592" s="25" t="s">
        <v>4406</v>
      </c>
      <c r="D592" s="12" t="s">
        <v>10450</v>
      </c>
      <c r="E592" s="8" t="s">
        <v>4491</v>
      </c>
      <c r="F592" s="160">
        <v>125.4</v>
      </c>
      <c r="G592" s="8" t="s">
        <v>79</v>
      </c>
      <c r="H592" s="22"/>
      <c r="I592" s="25" t="s">
        <v>11180</v>
      </c>
      <c r="J592" s="25"/>
    </row>
    <row r="593" spans="1:10" ht="23.25" customHeight="1" x14ac:dyDescent="0.2">
      <c r="A593" s="8" t="s">
        <v>4770</v>
      </c>
      <c r="B593" s="8" t="s">
        <v>4478</v>
      </c>
      <c r="C593" s="25" t="s">
        <v>4406</v>
      </c>
      <c r="D593" s="12" t="s">
        <v>5706</v>
      </c>
      <c r="E593" s="8" t="s">
        <v>4493</v>
      </c>
      <c r="F593" s="160">
        <v>414.6</v>
      </c>
      <c r="G593" s="8" t="s">
        <v>65</v>
      </c>
      <c r="H593" s="22">
        <v>1561458.23</v>
      </c>
      <c r="I593" s="25" t="s">
        <v>9123</v>
      </c>
      <c r="J593" s="25" t="s">
        <v>9123</v>
      </c>
    </row>
    <row r="594" spans="1:10" ht="24.75" customHeight="1" x14ac:dyDescent="0.2">
      <c r="A594" s="25" t="s">
        <v>4988</v>
      </c>
      <c r="B594" s="25" t="s">
        <v>4477</v>
      </c>
      <c r="C594" s="966" t="s">
        <v>13546</v>
      </c>
      <c r="D594" s="12" t="s">
        <v>5707</v>
      </c>
      <c r="E594" s="8" t="s">
        <v>9248</v>
      </c>
      <c r="F594" s="160">
        <f>1071.1-36.2-24.4</f>
        <v>1010.4999999999999</v>
      </c>
      <c r="G594" s="12" t="s">
        <v>83</v>
      </c>
      <c r="H594" s="81">
        <v>3746140.12</v>
      </c>
      <c r="I594" s="276" t="s">
        <v>9123</v>
      </c>
      <c r="J594" s="276" t="s">
        <v>9123</v>
      </c>
    </row>
    <row r="595" spans="1:10" ht="28.5" customHeight="1" x14ac:dyDescent="0.2">
      <c r="A595" s="685"/>
      <c r="B595" s="33" t="s">
        <v>2431</v>
      </c>
      <c r="C595" s="967"/>
      <c r="D595" s="12" t="s">
        <v>5707</v>
      </c>
      <c r="E595" s="8" t="s">
        <v>9248</v>
      </c>
      <c r="F595" s="160">
        <v>36.200000000000003</v>
      </c>
      <c r="G595" s="12" t="s">
        <v>83</v>
      </c>
      <c r="H595" s="81"/>
      <c r="I595" s="276" t="s">
        <v>9123</v>
      </c>
      <c r="J595" s="276" t="s">
        <v>9249</v>
      </c>
    </row>
    <row r="596" spans="1:10" ht="28.5" customHeight="1" x14ac:dyDescent="0.2">
      <c r="A596" s="47"/>
      <c r="B596" s="33" t="s">
        <v>2431</v>
      </c>
      <c r="C596" s="968"/>
      <c r="D596" s="12" t="s">
        <v>5707</v>
      </c>
      <c r="E596" s="8" t="s">
        <v>9248</v>
      </c>
      <c r="F596" s="160">
        <v>24.4</v>
      </c>
      <c r="G596" s="12" t="s">
        <v>83</v>
      </c>
      <c r="H596" s="81"/>
      <c r="I596" s="276" t="s">
        <v>9123</v>
      </c>
      <c r="J596" s="276"/>
    </row>
    <row r="597" spans="1:10" ht="33" customHeight="1" x14ac:dyDescent="0.2">
      <c r="A597" s="25" t="s">
        <v>4986</v>
      </c>
      <c r="B597" s="33" t="s">
        <v>11022</v>
      </c>
      <c r="C597" s="141" t="s">
        <v>11021</v>
      </c>
      <c r="D597" s="981" t="s">
        <v>5782</v>
      </c>
      <c r="E597" s="33" t="s">
        <v>4747</v>
      </c>
      <c r="F597" s="93">
        <f>308.3-67.9</f>
        <v>240.4</v>
      </c>
      <c r="G597" s="20"/>
      <c r="H597" s="660"/>
      <c r="I597" s="34" t="s">
        <v>11161</v>
      </c>
      <c r="J597" s="34" t="s">
        <v>11161</v>
      </c>
    </row>
    <row r="598" spans="1:10" ht="30" customHeight="1" x14ac:dyDescent="0.2">
      <c r="A598" s="47"/>
      <c r="B598" s="33" t="s">
        <v>4985</v>
      </c>
      <c r="C598" s="141" t="s">
        <v>5730</v>
      </c>
      <c r="D598" s="983"/>
      <c r="E598" s="33" t="s">
        <v>4982</v>
      </c>
      <c r="F598" s="93">
        <v>67.5</v>
      </c>
      <c r="G598" s="20"/>
      <c r="H598" s="660"/>
      <c r="I598" s="34" t="s">
        <v>11161</v>
      </c>
      <c r="J598" s="34" t="s">
        <v>11161</v>
      </c>
    </row>
    <row r="599" spans="1:10" ht="24.75" customHeight="1" x14ac:dyDescent="0.2">
      <c r="A599" s="8" t="s">
        <v>4987</v>
      </c>
      <c r="B599" s="33" t="s">
        <v>13545</v>
      </c>
      <c r="C599" s="141" t="s">
        <v>5730</v>
      </c>
      <c r="D599" s="20" t="s">
        <v>11360</v>
      </c>
      <c r="E599" s="33" t="s">
        <v>4983</v>
      </c>
      <c r="F599" s="93">
        <v>102.6</v>
      </c>
      <c r="G599" s="20" t="s">
        <v>79</v>
      </c>
      <c r="H599" s="660"/>
      <c r="I599" s="34" t="s">
        <v>11161</v>
      </c>
      <c r="J599" s="34" t="s">
        <v>11161</v>
      </c>
    </row>
    <row r="600" spans="1:10" ht="36" customHeight="1" x14ac:dyDescent="0.2">
      <c r="A600" s="8" t="s">
        <v>4771</v>
      </c>
      <c r="B600" s="105" t="s">
        <v>5911</v>
      </c>
      <c r="C600" s="966" t="s">
        <v>4199</v>
      </c>
      <c r="D600" s="987" t="s">
        <v>4197</v>
      </c>
      <c r="E600" s="105"/>
      <c r="F600" s="189"/>
      <c r="G600" s="8"/>
      <c r="H600" s="22"/>
      <c r="I600" s="276" t="s">
        <v>9123</v>
      </c>
      <c r="J600" s="276" t="s">
        <v>9123</v>
      </c>
    </row>
    <row r="601" spans="1:10" ht="24" customHeight="1" x14ac:dyDescent="0.2">
      <c r="A601" s="8" t="s">
        <v>4664</v>
      </c>
      <c r="B601" s="8" t="s">
        <v>4220</v>
      </c>
      <c r="C601" s="967"/>
      <c r="D601" s="987"/>
      <c r="E601" s="8" t="s">
        <v>4550</v>
      </c>
      <c r="F601" s="113">
        <v>2276.9</v>
      </c>
      <c r="G601" s="8" t="s">
        <v>73</v>
      </c>
      <c r="H601" s="22"/>
      <c r="I601" s="276" t="s">
        <v>9123</v>
      </c>
      <c r="J601" s="276" t="s">
        <v>9123</v>
      </c>
    </row>
    <row r="602" spans="1:10" ht="24" customHeight="1" x14ac:dyDescent="0.2">
      <c r="A602" s="8" t="s">
        <v>4665</v>
      </c>
      <c r="B602" s="8" t="s">
        <v>4202</v>
      </c>
      <c r="C602" s="967"/>
      <c r="D602" s="987"/>
      <c r="E602" s="8" t="s">
        <v>4551</v>
      </c>
      <c r="F602" s="113">
        <v>3492.1</v>
      </c>
      <c r="G602" s="8" t="s">
        <v>73</v>
      </c>
      <c r="H602" s="22"/>
      <c r="I602" s="276" t="s">
        <v>9123</v>
      </c>
      <c r="J602" s="276" t="s">
        <v>9123</v>
      </c>
    </row>
    <row r="603" spans="1:10" ht="24" customHeight="1" x14ac:dyDescent="0.2">
      <c r="A603" s="8" t="s">
        <v>4666</v>
      </c>
      <c r="B603" s="8" t="s">
        <v>4223</v>
      </c>
      <c r="C603" s="967"/>
      <c r="D603" s="987"/>
      <c r="E603" s="8" t="s">
        <v>170</v>
      </c>
      <c r="F603" s="113">
        <v>129.6</v>
      </c>
      <c r="G603" s="8" t="s">
        <v>73</v>
      </c>
      <c r="H603" s="22"/>
      <c r="I603" s="276" t="s">
        <v>9123</v>
      </c>
      <c r="J603" s="276" t="s">
        <v>9123</v>
      </c>
    </row>
    <row r="604" spans="1:10" ht="24" customHeight="1" x14ac:dyDescent="0.2">
      <c r="A604" s="8" t="s">
        <v>4667</v>
      </c>
      <c r="B604" s="8" t="s">
        <v>4224</v>
      </c>
      <c r="C604" s="967"/>
      <c r="D604" s="987"/>
      <c r="E604" s="8" t="s">
        <v>183</v>
      </c>
      <c r="F604" s="113">
        <v>81.900000000000006</v>
      </c>
      <c r="G604" s="8" t="s">
        <v>504</v>
      </c>
      <c r="H604" s="22"/>
      <c r="I604" s="276" t="s">
        <v>9123</v>
      </c>
      <c r="J604" s="276" t="s">
        <v>9123</v>
      </c>
    </row>
    <row r="605" spans="1:10" ht="24" customHeight="1" x14ac:dyDescent="0.2">
      <c r="A605" s="8" t="s">
        <v>4668</v>
      </c>
      <c r="B605" s="8" t="s">
        <v>4222</v>
      </c>
      <c r="C605" s="967"/>
      <c r="D605" s="987"/>
      <c r="E605" s="8" t="s">
        <v>4552</v>
      </c>
      <c r="F605" s="113">
        <v>189.2</v>
      </c>
      <c r="G605" s="8" t="s">
        <v>532</v>
      </c>
      <c r="H605" s="22"/>
      <c r="I605" s="276" t="s">
        <v>9123</v>
      </c>
      <c r="J605" s="276" t="s">
        <v>9123</v>
      </c>
    </row>
    <row r="606" spans="1:10" ht="24" customHeight="1" x14ac:dyDescent="0.2">
      <c r="A606" s="8" t="s">
        <v>4772</v>
      </c>
      <c r="B606" s="8" t="s">
        <v>4221</v>
      </c>
      <c r="C606" s="967"/>
      <c r="D606" s="987"/>
      <c r="E606" s="8" t="s">
        <v>183</v>
      </c>
      <c r="F606" s="113">
        <v>135</v>
      </c>
      <c r="G606" s="8" t="s">
        <v>79</v>
      </c>
      <c r="H606" s="22"/>
      <c r="I606" s="276" t="s">
        <v>9123</v>
      </c>
      <c r="J606" s="276" t="s">
        <v>9123</v>
      </c>
    </row>
    <row r="607" spans="1:10" ht="24" customHeight="1" x14ac:dyDescent="0.2">
      <c r="A607" s="8" t="s">
        <v>4773</v>
      </c>
      <c r="B607" s="8" t="s">
        <v>4219</v>
      </c>
      <c r="C607" s="968"/>
      <c r="D607" s="987"/>
      <c r="E607" s="8" t="s">
        <v>4553</v>
      </c>
      <c r="F607" s="113">
        <v>1669</v>
      </c>
      <c r="G607" s="8" t="s">
        <v>3300</v>
      </c>
      <c r="H607" s="22"/>
      <c r="I607" s="276" t="s">
        <v>9123</v>
      </c>
      <c r="J607" s="276" t="s">
        <v>9123</v>
      </c>
    </row>
    <row r="608" spans="1:10" ht="22.5" customHeight="1" x14ac:dyDescent="0.2">
      <c r="A608" s="8" t="s">
        <v>4774</v>
      </c>
      <c r="B608" s="8" t="s">
        <v>4800</v>
      </c>
      <c r="C608" s="8" t="s">
        <v>4406</v>
      </c>
      <c r="D608" s="12" t="s">
        <v>11478</v>
      </c>
      <c r="E608" s="8" t="s">
        <v>183</v>
      </c>
      <c r="F608" s="113">
        <v>41.7</v>
      </c>
      <c r="G608" s="8"/>
      <c r="H608" s="81">
        <v>157049.71</v>
      </c>
      <c r="I608" s="8" t="s">
        <v>11166</v>
      </c>
      <c r="J608" s="728" t="s">
        <v>14046</v>
      </c>
    </row>
    <row r="609" spans="1:10" ht="22.5" customHeight="1" x14ac:dyDescent="0.2">
      <c r="A609" s="8" t="s">
        <v>4803</v>
      </c>
      <c r="B609" s="8" t="s">
        <v>4801</v>
      </c>
      <c r="C609" s="8" t="s">
        <v>4406</v>
      </c>
      <c r="D609" s="12" t="s">
        <v>11479</v>
      </c>
      <c r="E609" s="8" t="s">
        <v>183</v>
      </c>
      <c r="F609" s="113">
        <v>66.2</v>
      </c>
      <c r="G609" s="8"/>
      <c r="H609" s="81">
        <v>249321.12</v>
      </c>
      <c r="I609" s="276" t="s">
        <v>9123</v>
      </c>
      <c r="J609" s="276" t="s">
        <v>9123</v>
      </c>
    </row>
    <row r="610" spans="1:10" ht="24.75" customHeight="1" x14ac:dyDescent="0.2">
      <c r="A610" s="8" t="s">
        <v>4804</v>
      </c>
      <c r="B610" s="8" t="s">
        <v>4802</v>
      </c>
      <c r="C610" s="8" t="s">
        <v>4406</v>
      </c>
      <c r="D610" s="12" t="s">
        <v>11480</v>
      </c>
      <c r="E610" s="8" t="s">
        <v>183</v>
      </c>
      <c r="F610" s="113">
        <v>12.6</v>
      </c>
      <c r="G610" s="8"/>
      <c r="H610" s="81">
        <v>44068.12</v>
      </c>
      <c r="I610" s="8" t="s">
        <v>11180</v>
      </c>
      <c r="J610" s="8" t="s">
        <v>11180</v>
      </c>
    </row>
    <row r="611" spans="1:10" ht="24" customHeight="1" x14ac:dyDescent="0.2">
      <c r="A611" s="8" t="s">
        <v>4807</v>
      </c>
      <c r="B611" s="105" t="s">
        <v>4805</v>
      </c>
      <c r="C611" s="966" t="s">
        <v>4199</v>
      </c>
      <c r="D611" s="12" t="s">
        <v>11523</v>
      </c>
      <c r="E611" s="105" t="s">
        <v>4806</v>
      </c>
      <c r="F611" s="189"/>
      <c r="G611" s="8"/>
      <c r="H611" s="22"/>
      <c r="I611" s="8" t="s">
        <v>11180</v>
      </c>
      <c r="J611" s="8" t="s">
        <v>11180</v>
      </c>
    </row>
    <row r="612" spans="1:10" ht="13.5" customHeight="1" x14ac:dyDescent="0.2">
      <c r="A612" s="8" t="s">
        <v>4808</v>
      </c>
      <c r="B612" s="8" t="s">
        <v>4810</v>
      </c>
      <c r="C612" s="967"/>
      <c r="D612" s="12"/>
      <c r="E612" s="8"/>
      <c r="F612" s="159"/>
      <c r="G612" s="8"/>
      <c r="H612" s="22"/>
      <c r="I612" s="8" t="s">
        <v>11180</v>
      </c>
      <c r="J612" s="8" t="s">
        <v>11180</v>
      </c>
    </row>
    <row r="613" spans="1:10" ht="24" customHeight="1" x14ac:dyDescent="0.2">
      <c r="A613" s="8" t="s">
        <v>4809</v>
      </c>
      <c r="B613" s="8" t="s">
        <v>4811</v>
      </c>
      <c r="C613" s="968"/>
      <c r="D613" s="12"/>
      <c r="E613" s="8"/>
      <c r="F613" s="159"/>
      <c r="G613" s="8"/>
      <c r="H613" s="22"/>
      <c r="I613" s="8" t="s">
        <v>11180</v>
      </c>
      <c r="J613" s="8" t="s">
        <v>11180</v>
      </c>
    </row>
    <row r="614" spans="1:10" ht="23.25" customHeight="1" x14ac:dyDescent="0.2">
      <c r="A614" s="8" t="s">
        <v>4816</v>
      </c>
      <c r="B614" s="8" t="s">
        <v>4831</v>
      </c>
      <c r="C614" s="8" t="s">
        <v>4199</v>
      </c>
      <c r="D614" s="12" t="s">
        <v>11481</v>
      </c>
      <c r="E614" s="8" t="s">
        <v>183</v>
      </c>
      <c r="F614" s="113">
        <v>147.4</v>
      </c>
      <c r="G614" s="8"/>
      <c r="H614" s="81">
        <v>555134.93000000005</v>
      </c>
      <c r="I614" s="276" t="s">
        <v>9123</v>
      </c>
      <c r="J614" s="276" t="s">
        <v>9123</v>
      </c>
    </row>
    <row r="615" spans="1:10" s="5" customFormat="1" ht="25.5" customHeight="1" x14ac:dyDescent="0.2">
      <c r="A615" s="12" t="s">
        <v>4833</v>
      </c>
      <c r="B615" s="12" t="s">
        <v>6703</v>
      </c>
      <c r="C615" s="12" t="s">
        <v>6704</v>
      </c>
      <c r="D615" s="12"/>
      <c r="E615" s="12" t="s">
        <v>183</v>
      </c>
      <c r="F615" s="113">
        <v>348</v>
      </c>
      <c r="G615" s="153"/>
      <c r="H615" s="65"/>
      <c r="I615" s="19" t="s">
        <v>6254</v>
      </c>
      <c r="J615" s="19" t="s">
        <v>6254</v>
      </c>
    </row>
    <row r="616" spans="1:10" ht="34.5" customHeight="1" x14ac:dyDescent="0.2">
      <c r="A616" s="8" t="s">
        <v>4834</v>
      </c>
      <c r="B616" s="8" t="s">
        <v>6701</v>
      </c>
      <c r="C616" s="12" t="s">
        <v>6698</v>
      </c>
      <c r="D616" s="12"/>
      <c r="E616" s="8" t="s">
        <v>183</v>
      </c>
      <c r="F616" s="113">
        <v>179.19</v>
      </c>
      <c r="G616" s="94"/>
      <c r="H616" s="22"/>
      <c r="I616" s="19" t="s">
        <v>6281</v>
      </c>
      <c r="J616" s="19" t="s">
        <v>6281</v>
      </c>
    </row>
    <row r="617" spans="1:10" s="5" customFormat="1" ht="36" customHeight="1" x14ac:dyDescent="0.2">
      <c r="A617" s="12" t="s">
        <v>6699</v>
      </c>
      <c r="B617" s="12" t="s">
        <v>7089</v>
      </c>
      <c r="C617" s="12" t="s">
        <v>6700</v>
      </c>
      <c r="D617" s="12"/>
      <c r="E617" s="12" t="s">
        <v>183</v>
      </c>
      <c r="F617" s="113">
        <v>145.30000000000001</v>
      </c>
      <c r="G617" s="153">
        <v>37288</v>
      </c>
      <c r="H617" s="65"/>
      <c r="I617" s="19" t="s">
        <v>6846</v>
      </c>
      <c r="J617" s="19" t="s">
        <v>6846</v>
      </c>
    </row>
    <row r="618" spans="1:10" ht="24.75" customHeight="1" x14ac:dyDescent="0.2">
      <c r="A618" s="8" t="s">
        <v>3037</v>
      </c>
      <c r="B618" s="8" t="s">
        <v>4926</v>
      </c>
      <c r="C618" s="8" t="s">
        <v>4200</v>
      </c>
      <c r="D618" s="12"/>
      <c r="E618" s="8" t="s">
        <v>183</v>
      </c>
      <c r="F618" s="113"/>
      <c r="G618" s="94">
        <v>37288</v>
      </c>
      <c r="H618" s="22"/>
      <c r="I618" s="8" t="s">
        <v>11166</v>
      </c>
      <c r="J618" s="728" t="s">
        <v>14046</v>
      </c>
    </row>
    <row r="619" spans="1:10" ht="44.25" customHeight="1" x14ac:dyDescent="0.2">
      <c r="A619" s="639" t="s">
        <v>3038</v>
      </c>
      <c r="B619" s="639" t="s">
        <v>11027</v>
      </c>
      <c r="C619" s="630" t="s">
        <v>6921</v>
      </c>
      <c r="D619" s="20" t="s">
        <v>11045</v>
      </c>
      <c r="E619" s="12" t="s">
        <v>5808</v>
      </c>
      <c r="F619" s="192">
        <v>30</v>
      </c>
      <c r="G619" s="153" t="s">
        <v>4433</v>
      </c>
      <c r="H619" s="155">
        <v>475247.7</v>
      </c>
      <c r="I619" s="630" t="s">
        <v>92</v>
      </c>
      <c r="J619" s="630" t="s">
        <v>92</v>
      </c>
    </row>
    <row r="620" spans="1:10" ht="48.75" customHeight="1" x14ac:dyDescent="0.2">
      <c r="A620" s="639" t="s">
        <v>4835</v>
      </c>
      <c r="B620" s="639" t="s">
        <v>11026</v>
      </c>
      <c r="C620" s="630" t="s">
        <v>11025</v>
      </c>
      <c r="D620" s="20" t="s">
        <v>11046</v>
      </c>
      <c r="E620" s="12" t="s">
        <v>5810</v>
      </c>
      <c r="F620" s="113">
        <v>32</v>
      </c>
      <c r="G620" s="153" t="s">
        <v>4433</v>
      </c>
      <c r="H620" s="155">
        <v>103706.56</v>
      </c>
      <c r="I620" s="630" t="s">
        <v>92</v>
      </c>
      <c r="J620" s="630" t="s">
        <v>92</v>
      </c>
    </row>
    <row r="621" spans="1:10" ht="47.25" customHeight="1" x14ac:dyDescent="0.2">
      <c r="A621" s="639" t="s">
        <v>3039</v>
      </c>
      <c r="B621" s="639" t="s">
        <v>11113</v>
      </c>
      <c r="C621" s="639" t="s">
        <v>5943</v>
      </c>
      <c r="D621" s="12" t="s">
        <v>11127</v>
      </c>
      <c r="E621" s="12" t="s">
        <v>5810</v>
      </c>
      <c r="F621" s="113">
        <v>29.2</v>
      </c>
      <c r="G621" s="153" t="s">
        <v>4433</v>
      </c>
      <c r="H621" s="155">
        <v>746773.06</v>
      </c>
      <c r="I621" s="630" t="s">
        <v>89</v>
      </c>
      <c r="J621" s="630" t="s">
        <v>89</v>
      </c>
    </row>
    <row r="622" spans="1:10" ht="45" customHeight="1" x14ac:dyDescent="0.2">
      <c r="A622" s="12" t="s">
        <v>5948</v>
      </c>
      <c r="B622" s="12" t="s">
        <v>11101</v>
      </c>
      <c r="C622" s="120" t="s">
        <v>6897</v>
      </c>
      <c r="D622" s="12" t="s">
        <v>11128</v>
      </c>
      <c r="E622" s="12" t="s">
        <v>11102</v>
      </c>
      <c r="F622" s="190">
        <v>19.7</v>
      </c>
      <c r="G622" s="12" t="s">
        <v>490</v>
      </c>
      <c r="H622" s="155">
        <v>155662.10999999999</v>
      </c>
      <c r="I622" s="646" t="s">
        <v>89</v>
      </c>
      <c r="J622" s="646" t="s">
        <v>89</v>
      </c>
    </row>
    <row r="623" spans="1:10" ht="36" customHeight="1" x14ac:dyDescent="0.2">
      <c r="A623" s="12" t="s">
        <v>6114</v>
      </c>
      <c r="B623" s="12" t="s">
        <v>494</v>
      </c>
      <c r="C623" s="12" t="s">
        <v>6240</v>
      </c>
      <c r="D623" s="20" t="s">
        <v>6115</v>
      </c>
      <c r="E623" s="12" t="s">
        <v>183</v>
      </c>
      <c r="F623" s="190">
        <v>136.9</v>
      </c>
      <c r="G623" s="12" t="s">
        <v>70</v>
      </c>
      <c r="H623" s="65"/>
      <c r="I623" s="19" t="s">
        <v>6229</v>
      </c>
      <c r="J623" s="19" t="s">
        <v>6229</v>
      </c>
    </row>
    <row r="624" spans="1:10" ht="45" customHeight="1" x14ac:dyDescent="0.2">
      <c r="A624" s="12" t="s">
        <v>6913</v>
      </c>
      <c r="B624" s="12" t="s">
        <v>11024</v>
      </c>
      <c r="C624" s="646" t="s">
        <v>6921</v>
      </c>
      <c r="D624" s="20" t="s">
        <v>11043</v>
      </c>
      <c r="E624" s="20" t="s">
        <v>6922</v>
      </c>
      <c r="F624" s="190">
        <v>23.6</v>
      </c>
      <c r="G624" s="12" t="s">
        <v>5783</v>
      </c>
      <c r="H624" s="155">
        <v>373861.52</v>
      </c>
      <c r="I624" s="84" t="s">
        <v>92</v>
      </c>
      <c r="J624" s="84" t="s">
        <v>92</v>
      </c>
    </row>
    <row r="625" spans="1:10" ht="47.25" customHeight="1" x14ac:dyDescent="0.2">
      <c r="A625" s="12" t="s">
        <v>6914</v>
      </c>
      <c r="B625" s="12" t="s">
        <v>11024</v>
      </c>
      <c r="C625" s="646" t="s">
        <v>11025</v>
      </c>
      <c r="D625" s="20" t="s">
        <v>11044</v>
      </c>
      <c r="E625" s="20" t="s">
        <v>6922</v>
      </c>
      <c r="F625" s="190">
        <v>20</v>
      </c>
      <c r="G625" s="12" t="s">
        <v>5783</v>
      </c>
      <c r="H625" s="155">
        <v>64816.6</v>
      </c>
      <c r="I625" s="84" t="s">
        <v>92</v>
      </c>
      <c r="J625" s="84" t="s">
        <v>92</v>
      </c>
    </row>
    <row r="626" spans="1:10" ht="33.75" customHeight="1" x14ac:dyDescent="0.2">
      <c r="A626" s="12" t="s">
        <v>6915</v>
      </c>
      <c r="B626" s="12" t="s">
        <v>6920</v>
      </c>
      <c r="C626" s="646" t="s">
        <v>6924</v>
      </c>
      <c r="D626" s="12"/>
      <c r="E626" s="20" t="s">
        <v>6922</v>
      </c>
      <c r="F626" s="190">
        <v>21</v>
      </c>
      <c r="G626" s="12" t="s">
        <v>5783</v>
      </c>
      <c r="H626" s="65"/>
      <c r="I626" s="646" t="s">
        <v>6923</v>
      </c>
      <c r="J626" s="646" t="s">
        <v>6923</v>
      </c>
    </row>
    <row r="627" spans="1:10" ht="33.75" customHeight="1" x14ac:dyDescent="0.2">
      <c r="A627" s="12" t="s">
        <v>6916</v>
      </c>
      <c r="B627" s="12" t="s">
        <v>6920</v>
      </c>
      <c r="C627" s="646" t="s">
        <v>6926</v>
      </c>
      <c r="D627" s="12"/>
      <c r="E627" s="20" t="s">
        <v>6922</v>
      </c>
      <c r="F627" s="190">
        <v>21</v>
      </c>
      <c r="G627" s="12" t="s">
        <v>5783</v>
      </c>
      <c r="H627" s="65"/>
      <c r="I627" s="646" t="s">
        <v>6925</v>
      </c>
      <c r="J627" s="646" t="s">
        <v>6925</v>
      </c>
    </row>
    <row r="628" spans="1:10" s="235" customFormat="1" ht="48" customHeight="1" x14ac:dyDescent="0.2">
      <c r="A628" s="639" t="s">
        <v>6917</v>
      </c>
      <c r="B628" s="222" t="s">
        <v>7085</v>
      </c>
      <c r="C628" s="101" t="s">
        <v>7086</v>
      </c>
      <c r="D628" s="440" t="s">
        <v>7167</v>
      </c>
      <c r="E628" s="99" t="s">
        <v>7166</v>
      </c>
      <c r="F628" s="406">
        <f>5569.5-881.5-801.3-12-12</f>
        <v>3862.7</v>
      </c>
      <c r="G628" s="222" t="s">
        <v>5783</v>
      </c>
      <c r="H628" s="972">
        <v>1144922.1200000001</v>
      </c>
      <c r="I628" s="407" t="s">
        <v>13478</v>
      </c>
      <c r="J628" s="407" t="s">
        <v>13478</v>
      </c>
    </row>
    <row r="629" spans="1:10" s="5" customFormat="1" ht="58.5" customHeight="1" x14ac:dyDescent="0.2">
      <c r="A629" s="12" t="s">
        <v>9042</v>
      </c>
      <c r="B629" s="33" t="s">
        <v>292</v>
      </c>
      <c r="C629" s="646" t="s">
        <v>7086</v>
      </c>
      <c r="D629" s="440" t="s">
        <v>7167</v>
      </c>
      <c r="E629" s="147" t="s">
        <v>7166</v>
      </c>
      <c r="F629" s="190">
        <v>881.5</v>
      </c>
      <c r="G629" s="12" t="s">
        <v>5783</v>
      </c>
      <c r="H629" s="973"/>
      <c r="I629" s="84" t="s">
        <v>9044</v>
      </c>
      <c r="J629" s="84" t="s">
        <v>9044</v>
      </c>
    </row>
    <row r="630" spans="1:10" ht="59.25" customHeight="1" x14ac:dyDescent="0.2">
      <c r="A630" s="12" t="s">
        <v>9043</v>
      </c>
      <c r="B630" s="33" t="s">
        <v>292</v>
      </c>
      <c r="C630" s="647" t="s">
        <v>7086</v>
      </c>
      <c r="D630" s="440" t="s">
        <v>7167</v>
      </c>
      <c r="E630" s="20" t="s">
        <v>7166</v>
      </c>
      <c r="F630" s="160">
        <v>801.3</v>
      </c>
      <c r="G630" s="8" t="s">
        <v>5783</v>
      </c>
      <c r="H630" s="973"/>
      <c r="I630" s="84" t="s">
        <v>9045</v>
      </c>
      <c r="J630" s="84" t="s">
        <v>9045</v>
      </c>
    </row>
    <row r="631" spans="1:10" ht="55.5" customHeight="1" x14ac:dyDescent="0.2">
      <c r="A631" s="12" t="s">
        <v>11154</v>
      </c>
      <c r="B631" s="33" t="s">
        <v>292</v>
      </c>
      <c r="C631" s="647" t="s">
        <v>7086</v>
      </c>
      <c r="D631" s="480" t="s">
        <v>7167</v>
      </c>
      <c r="E631" s="20" t="s">
        <v>7166</v>
      </c>
      <c r="F631" s="160">
        <v>12</v>
      </c>
      <c r="G631" s="8" t="s">
        <v>5783</v>
      </c>
      <c r="H631" s="973"/>
      <c r="I631" s="84" t="s">
        <v>9044</v>
      </c>
      <c r="J631" s="84" t="s">
        <v>9044</v>
      </c>
    </row>
    <row r="632" spans="1:10" ht="60.75" customHeight="1" x14ac:dyDescent="0.2">
      <c r="A632" s="12" t="s">
        <v>12431</v>
      </c>
      <c r="B632" s="33" t="s">
        <v>292</v>
      </c>
      <c r="C632" s="647" t="s">
        <v>7086</v>
      </c>
      <c r="D632" s="480" t="s">
        <v>7167</v>
      </c>
      <c r="E632" s="20" t="s">
        <v>7166</v>
      </c>
      <c r="F632" s="160">
        <v>12</v>
      </c>
      <c r="G632" s="8" t="s">
        <v>5783</v>
      </c>
      <c r="H632" s="974"/>
      <c r="I632" s="84" t="s">
        <v>9045</v>
      </c>
      <c r="J632" s="84" t="s">
        <v>9045</v>
      </c>
    </row>
    <row r="633" spans="1:10" ht="27" customHeight="1" x14ac:dyDescent="0.2">
      <c r="A633" s="12" t="s">
        <v>6918</v>
      </c>
      <c r="B633" s="647" t="s">
        <v>7389</v>
      </c>
      <c r="C633" s="647" t="s">
        <v>9251</v>
      </c>
      <c r="D633" s="12" t="s">
        <v>7393</v>
      </c>
      <c r="E633" s="20" t="s">
        <v>2407</v>
      </c>
      <c r="F633" s="160">
        <v>145.4</v>
      </c>
      <c r="G633" s="8"/>
      <c r="H633" s="155">
        <v>1086005.69</v>
      </c>
      <c r="I633" s="84"/>
      <c r="J633" s="84"/>
    </row>
    <row r="634" spans="1:10" ht="38.25" customHeight="1" x14ac:dyDescent="0.2">
      <c r="A634" s="12" t="s">
        <v>6919</v>
      </c>
      <c r="B634" s="647" t="s">
        <v>475</v>
      </c>
      <c r="C634" s="647" t="s">
        <v>8827</v>
      </c>
      <c r="D634" s="12" t="s">
        <v>9038</v>
      </c>
      <c r="E634" s="8" t="s">
        <v>183</v>
      </c>
      <c r="F634" s="160">
        <v>235</v>
      </c>
      <c r="G634" s="646">
        <v>1953</v>
      </c>
      <c r="H634" s="155">
        <v>48308.95</v>
      </c>
      <c r="I634" s="84" t="s">
        <v>9250</v>
      </c>
      <c r="J634" s="84" t="s">
        <v>9250</v>
      </c>
    </row>
    <row r="635" spans="1:10" ht="34.5" customHeight="1" x14ac:dyDescent="0.2">
      <c r="A635" s="12" t="s">
        <v>8921</v>
      </c>
      <c r="B635" s="646" t="s">
        <v>3869</v>
      </c>
      <c r="C635" s="646" t="s">
        <v>6031</v>
      </c>
      <c r="D635" s="12" t="s">
        <v>9113</v>
      </c>
      <c r="E635" s="12" t="s">
        <v>8655</v>
      </c>
      <c r="F635" s="190">
        <v>98.1</v>
      </c>
      <c r="G635" s="12" t="s">
        <v>67</v>
      </c>
      <c r="H635" s="155">
        <v>775671.44</v>
      </c>
      <c r="I635" s="646" t="s">
        <v>8920</v>
      </c>
      <c r="J635" s="646" t="s">
        <v>8920</v>
      </c>
    </row>
    <row r="636" spans="1:10" ht="36.75" customHeight="1" x14ac:dyDescent="0.2">
      <c r="A636" s="12" t="s">
        <v>8951</v>
      </c>
      <c r="B636" s="647" t="s">
        <v>8974</v>
      </c>
      <c r="C636" s="647" t="s">
        <v>8975</v>
      </c>
      <c r="D636" s="642" t="s">
        <v>8976</v>
      </c>
      <c r="E636" s="380" t="s">
        <v>5935</v>
      </c>
      <c r="F636" s="160">
        <v>1028.5</v>
      </c>
      <c r="G636" s="8" t="s">
        <v>3994</v>
      </c>
      <c r="H636" s="155">
        <v>7681959.0700000003</v>
      </c>
      <c r="I636" s="647" t="s">
        <v>13479</v>
      </c>
      <c r="J636" s="34" t="s">
        <v>13828</v>
      </c>
    </row>
    <row r="637" spans="1:10" ht="25.5" customHeight="1" x14ac:dyDescent="0.2">
      <c r="A637" s="12" t="s">
        <v>8952</v>
      </c>
      <c r="B637" s="647" t="s">
        <v>8979</v>
      </c>
      <c r="C637" s="647" t="s">
        <v>9021</v>
      </c>
      <c r="D637" s="642" t="s">
        <v>8980</v>
      </c>
      <c r="E637" s="380" t="s">
        <v>318</v>
      </c>
      <c r="F637" s="160" t="s">
        <v>12435</v>
      </c>
      <c r="G637" s="8" t="s">
        <v>83</v>
      </c>
      <c r="H637" s="155" t="s">
        <v>12436</v>
      </c>
      <c r="I637" s="647"/>
      <c r="J637" s="647"/>
    </row>
    <row r="638" spans="1:10" ht="57" customHeight="1" x14ac:dyDescent="0.2">
      <c r="A638" s="12" t="s">
        <v>8981</v>
      </c>
      <c r="B638" s="33" t="s">
        <v>292</v>
      </c>
      <c r="C638" s="647" t="s">
        <v>9021</v>
      </c>
      <c r="D638" s="642" t="s">
        <v>12433</v>
      </c>
      <c r="E638" s="380" t="s">
        <v>318</v>
      </c>
      <c r="F638" s="160">
        <v>572.5</v>
      </c>
      <c r="G638" s="8" t="s">
        <v>83</v>
      </c>
      <c r="H638" s="155">
        <v>117688.83</v>
      </c>
      <c r="I638" s="8" t="s">
        <v>9048</v>
      </c>
      <c r="J638" s="8" t="s">
        <v>9048</v>
      </c>
    </row>
    <row r="639" spans="1:10" ht="67.5" customHeight="1" x14ac:dyDescent="0.2">
      <c r="A639" s="12" t="s">
        <v>12432</v>
      </c>
      <c r="B639" s="33" t="s">
        <v>292</v>
      </c>
      <c r="C639" s="647" t="s">
        <v>9021</v>
      </c>
      <c r="D639" s="642" t="s">
        <v>12434</v>
      </c>
      <c r="E639" s="380" t="s">
        <v>8996</v>
      </c>
      <c r="F639" s="160">
        <v>845.5</v>
      </c>
      <c r="G639" s="8" t="s">
        <v>83</v>
      </c>
      <c r="H639" s="155">
        <v>173809.44</v>
      </c>
      <c r="I639" s="647" t="s">
        <v>8995</v>
      </c>
      <c r="J639" s="647" t="s">
        <v>8995</v>
      </c>
    </row>
    <row r="640" spans="1:10" ht="33.75" customHeight="1" x14ac:dyDescent="0.2">
      <c r="A640" s="12" t="s">
        <v>8953</v>
      </c>
      <c r="B640" s="646" t="s">
        <v>12230</v>
      </c>
      <c r="C640" s="19" t="s">
        <v>8714</v>
      </c>
      <c r="D640" s="642" t="s">
        <v>9019</v>
      </c>
      <c r="E640" s="642" t="s">
        <v>9020</v>
      </c>
      <c r="F640" s="113">
        <v>93.3</v>
      </c>
      <c r="G640" s="646" t="s">
        <v>2829</v>
      </c>
      <c r="H640" s="43">
        <v>1765448.72</v>
      </c>
      <c r="I640" s="646" t="s">
        <v>8945</v>
      </c>
      <c r="J640" s="646" t="s">
        <v>8945</v>
      </c>
    </row>
    <row r="641" spans="1:10" ht="47.25" customHeight="1" x14ac:dyDescent="0.2">
      <c r="A641" s="12" t="s">
        <v>9115</v>
      </c>
      <c r="B641" s="646" t="s">
        <v>12230</v>
      </c>
      <c r="C641" s="646" t="s">
        <v>6222</v>
      </c>
      <c r="D641" s="642" t="s">
        <v>9116</v>
      </c>
      <c r="E641" s="642" t="s">
        <v>9020</v>
      </c>
      <c r="F641" s="113">
        <v>83.8</v>
      </c>
      <c r="G641" s="646" t="s">
        <v>83</v>
      </c>
      <c r="H641" s="247">
        <v>1585687.06</v>
      </c>
      <c r="I641" s="646" t="s">
        <v>94</v>
      </c>
      <c r="J641" s="646" t="s">
        <v>94</v>
      </c>
    </row>
    <row r="642" spans="1:10" ht="27" customHeight="1" x14ac:dyDescent="0.2">
      <c r="A642" s="12" t="s">
        <v>10467</v>
      </c>
      <c r="B642" s="646" t="s">
        <v>10468</v>
      </c>
      <c r="C642" s="19" t="s">
        <v>10469</v>
      </c>
      <c r="D642" s="642" t="s">
        <v>10470</v>
      </c>
      <c r="E642" s="642" t="s">
        <v>10476</v>
      </c>
      <c r="F642" s="113">
        <v>1326.4</v>
      </c>
      <c r="G642" s="646"/>
      <c r="H642" s="43"/>
      <c r="I642" s="646"/>
      <c r="J642" s="646"/>
    </row>
    <row r="643" spans="1:10" ht="46.5" customHeight="1" x14ac:dyDescent="0.2">
      <c r="A643" s="68" t="s">
        <v>10826</v>
      </c>
      <c r="B643" s="646" t="s">
        <v>10831</v>
      </c>
      <c r="C643" s="646" t="s">
        <v>10602</v>
      </c>
      <c r="D643" s="642" t="s">
        <v>10834</v>
      </c>
      <c r="E643" s="642" t="s">
        <v>10835</v>
      </c>
      <c r="F643" s="113">
        <v>19.8</v>
      </c>
      <c r="G643" s="646" t="s">
        <v>3701</v>
      </c>
      <c r="H643" s="43">
        <v>189522.04</v>
      </c>
      <c r="I643" s="646" t="s">
        <v>5949</v>
      </c>
      <c r="J643" s="646" t="s">
        <v>5949</v>
      </c>
    </row>
    <row r="644" spans="1:10" ht="46.5" customHeight="1" x14ac:dyDescent="0.2">
      <c r="A644" s="68" t="s">
        <v>10827</v>
      </c>
      <c r="B644" s="646" t="s">
        <v>10831</v>
      </c>
      <c r="C644" s="646" t="s">
        <v>10603</v>
      </c>
      <c r="D644" s="642" t="s">
        <v>10829</v>
      </c>
      <c r="E644" s="642" t="s">
        <v>10830</v>
      </c>
      <c r="F644" s="113">
        <v>96.3</v>
      </c>
      <c r="G644" s="646" t="s">
        <v>3300</v>
      </c>
      <c r="H644" s="43">
        <v>921766.27</v>
      </c>
      <c r="I644" s="646" t="s">
        <v>5949</v>
      </c>
      <c r="J644" s="646" t="s">
        <v>5949</v>
      </c>
    </row>
    <row r="645" spans="1:10" ht="46.5" customHeight="1" x14ac:dyDescent="0.2">
      <c r="A645" s="68" t="s">
        <v>10828</v>
      </c>
      <c r="B645" s="646" t="s">
        <v>10832</v>
      </c>
      <c r="C645" s="646" t="s">
        <v>10603</v>
      </c>
      <c r="D645" s="642" t="s">
        <v>10833</v>
      </c>
      <c r="E645" s="642" t="s">
        <v>10830</v>
      </c>
      <c r="F645" s="113">
        <v>20.3</v>
      </c>
      <c r="G645" s="646" t="s">
        <v>2830</v>
      </c>
      <c r="H645" s="43">
        <v>194307.95</v>
      </c>
      <c r="I645" s="646" t="s">
        <v>5949</v>
      </c>
      <c r="J645" s="646" t="s">
        <v>5949</v>
      </c>
    </row>
    <row r="646" spans="1:10" ht="34.5" customHeight="1" x14ac:dyDescent="0.2">
      <c r="A646" s="12" t="s">
        <v>10904</v>
      </c>
      <c r="B646" s="646" t="s">
        <v>3869</v>
      </c>
      <c r="C646" s="646" t="s">
        <v>5967</v>
      </c>
      <c r="D646" s="642" t="s">
        <v>10967</v>
      </c>
      <c r="E646" s="642" t="s">
        <v>10908</v>
      </c>
      <c r="F646" s="113">
        <v>11.2</v>
      </c>
      <c r="G646" s="646"/>
      <c r="H646" s="43">
        <v>340435.98</v>
      </c>
      <c r="I646" s="630" t="s">
        <v>5934</v>
      </c>
      <c r="J646" s="630" t="s">
        <v>5934</v>
      </c>
    </row>
    <row r="647" spans="1:10" ht="37.5" customHeight="1" x14ac:dyDescent="0.2">
      <c r="A647" s="12" t="s">
        <v>10905</v>
      </c>
      <c r="B647" s="646" t="s">
        <v>10948</v>
      </c>
      <c r="C647" s="646" t="s">
        <v>10949</v>
      </c>
      <c r="D647" s="642" t="s">
        <v>10991</v>
      </c>
      <c r="E647" s="642" t="s">
        <v>2420</v>
      </c>
      <c r="F647" s="113">
        <v>76.3</v>
      </c>
      <c r="G647" s="646"/>
      <c r="H647" s="43">
        <v>841312.79</v>
      </c>
      <c r="I647" s="646" t="s">
        <v>3790</v>
      </c>
      <c r="J647" s="646" t="s">
        <v>3790</v>
      </c>
    </row>
    <row r="648" spans="1:10" ht="48.75" customHeight="1" x14ac:dyDescent="0.2">
      <c r="A648" s="12" t="s">
        <v>10906</v>
      </c>
      <c r="B648" s="12" t="s">
        <v>3681</v>
      </c>
      <c r="C648" s="19" t="s">
        <v>7165</v>
      </c>
      <c r="D648" s="642" t="s">
        <v>11047</v>
      </c>
      <c r="E648" s="20" t="s">
        <v>11028</v>
      </c>
      <c r="F648" s="113">
        <v>32.1</v>
      </c>
      <c r="G648" s="646" t="s">
        <v>5783</v>
      </c>
      <c r="H648" s="43">
        <v>104030.64</v>
      </c>
      <c r="I648" s="646" t="s">
        <v>92</v>
      </c>
      <c r="J648" s="646" t="s">
        <v>92</v>
      </c>
    </row>
    <row r="649" spans="1:10" ht="34.5" customHeight="1" x14ac:dyDescent="0.2">
      <c r="A649" s="12" t="s">
        <v>10907</v>
      </c>
      <c r="B649" s="646" t="s">
        <v>3869</v>
      </c>
      <c r="C649" s="101" t="s">
        <v>9003</v>
      </c>
      <c r="D649" s="642" t="s">
        <v>11130</v>
      </c>
      <c r="E649" s="642" t="s">
        <v>10830</v>
      </c>
      <c r="F649" s="113">
        <v>90.8</v>
      </c>
      <c r="G649" s="646" t="s">
        <v>2830</v>
      </c>
      <c r="H649" s="43"/>
      <c r="I649" s="101" t="s">
        <v>11387</v>
      </c>
      <c r="J649" s="101" t="s">
        <v>11387</v>
      </c>
    </row>
    <row r="650" spans="1:10" ht="44.25" customHeight="1" x14ac:dyDescent="0.2">
      <c r="A650" s="12" t="s">
        <v>11103</v>
      </c>
      <c r="B650" s="646" t="s">
        <v>11108</v>
      </c>
      <c r="C650" s="120" t="s">
        <v>6897</v>
      </c>
      <c r="D650" s="642" t="s">
        <v>11129</v>
      </c>
      <c r="E650" s="642" t="s">
        <v>2474</v>
      </c>
      <c r="F650" s="113">
        <v>73.400000000000006</v>
      </c>
      <c r="G650" s="646" t="s">
        <v>3700</v>
      </c>
      <c r="H650" s="43">
        <v>579979.64</v>
      </c>
      <c r="I650" s="646" t="s">
        <v>89</v>
      </c>
      <c r="J650" s="646" t="s">
        <v>89</v>
      </c>
    </row>
    <row r="651" spans="1:10" ht="66.75" customHeight="1" x14ac:dyDescent="0.2">
      <c r="A651" s="12" t="s">
        <v>11104</v>
      </c>
      <c r="B651" s="646" t="s">
        <v>3303</v>
      </c>
      <c r="C651" s="646" t="s">
        <v>11114</v>
      </c>
      <c r="D651" s="642" t="s">
        <v>11136</v>
      </c>
      <c r="E651" s="642" t="s">
        <v>183</v>
      </c>
      <c r="F651" s="113">
        <v>201.7</v>
      </c>
      <c r="G651" s="646" t="s">
        <v>3789</v>
      </c>
      <c r="H651" s="43">
        <v>41463.47</v>
      </c>
      <c r="I651" s="646" t="s">
        <v>350</v>
      </c>
      <c r="J651" s="646" t="s">
        <v>3284</v>
      </c>
    </row>
    <row r="652" spans="1:10" ht="54.75" customHeight="1" x14ac:dyDescent="0.2">
      <c r="A652" s="12" t="s">
        <v>11105</v>
      </c>
      <c r="B652" s="646" t="s">
        <v>548</v>
      </c>
      <c r="C652" s="646" t="s">
        <v>11114</v>
      </c>
      <c r="D652" s="642" t="s">
        <v>11137</v>
      </c>
      <c r="E652" s="642" t="s">
        <v>183</v>
      </c>
      <c r="F652" s="113">
        <v>10.8</v>
      </c>
      <c r="G652" s="646"/>
      <c r="H652" s="43">
        <v>74825.75</v>
      </c>
      <c r="I652" s="646" t="s">
        <v>350</v>
      </c>
      <c r="J652" s="646" t="s">
        <v>3284</v>
      </c>
    </row>
    <row r="653" spans="1:10" ht="59.25" customHeight="1" x14ac:dyDescent="0.2">
      <c r="A653" s="12" t="s">
        <v>11106</v>
      </c>
      <c r="B653" s="646" t="s">
        <v>11116</v>
      </c>
      <c r="C653" s="646" t="s">
        <v>11114</v>
      </c>
      <c r="D653" s="642" t="s">
        <v>11138</v>
      </c>
      <c r="E653" s="642" t="s">
        <v>183</v>
      </c>
      <c r="F653" s="113">
        <v>17.399999999999999</v>
      </c>
      <c r="G653" s="646"/>
      <c r="H653" s="43">
        <v>120552.59</v>
      </c>
      <c r="I653" s="646" t="s">
        <v>350</v>
      </c>
      <c r="J653" s="646" t="s">
        <v>3284</v>
      </c>
    </row>
    <row r="654" spans="1:10" ht="33.75" customHeight="1" x14ac:dyDescent="0.2">
      <c r="A654" s="12" t="s">
        <v>11107</v>
      </c>
      <c r="B654" s="646" t="s">
        <v>11142</v>
      </c>
      <c r="C654" s="120" t="s">
        <v>11141</v>
      </c>
      <c r="D654" s="642" t="s">
        <v>11140</v>
      </c>
      <c r="E654" s="642" t="s">
        <v>2430</v>
      </c>
      <c r="F654" s="113">
        <v>93.6</v>
      </c>
      <c r="G654" s="646" t="s">
        <v>512</v>
      </c>
      <c r="H654" s="43">
        <v>573822.29</v>
      </c>
      <c r="I654" s="34" t="s">
        <v>11211</v>
      </c>
      <c r="J654" s="34" t="s">
        <v>11211</v>
      </c>
    </row>
    <row r="655" spans="1:10" ht="45" customHeight="1" x14ac:dyDescent="0.2">
      <c r="A655" s="12" t="s">
        <v>11109</v>
      </c>
      <c r="B655" s="646" t="s">
        <v>12269</v>
      </c>
      <c r="C655" s="120" t="s">
        <v>12270</v>
      </c>
      <c r="D655" s="642" t="s">
        <v>12271</v>
      </c>
      <c r="E655" s="642" t="s">
        <v>5808</v>
      </c>
      <c r="F655" s="192">
        <v>33</v>
      </c>
      <c r="G655" s="646" t="s">
        <v>5783</v>
      </c>
      <c r="H655" s="43">
        <v>456851.34</v>
      </c>
      <c r="I655" s="8" t="s">
        <v>4011</v>
      </c>
      <c r="J655" s="646"/>
    </row>
    <row r="656" spans="1:10" ht="24.75" customHeight="1" x14ac:dyDescent="0.2">
      <c r="A656" s="12" t="s">
        <v>11110</v>
      </c>
      <c r="B656" s="646" t="s">
        <v>11224</v>
      </c>
      <c r="C656" s="120" t="s">
        <v>11225</v>
      </c>
      <c r="D656" s="642" t="s">
        <v>11254</v>
      </c>
      <c r="E656" s="642" t="s">
        <v>11226</v>
      </c>
      <c r="F656" s="113">
        <f>5*11</f>
        <v>55</v>
      </c>
      <c r="G656" s="646" t="s">
        <v>3627</v>
      </c>
      <c r="H656" s="43">
        <v>366280.75</v>
      </c>
      <c r="I656" s="646" t="s">
        <v>11162</v>
      </c>
      <c r="J656" s="646" t="s">
        <v>11162</v>
      </c>
    </row>
    <row r="657" spans="1:10" ht="36" customHeight="1" x14ac:dyDescent="0.2">
      <c r="A657" s="12" t="s">
        <v>11111</v>
      </c>
      <c r="B657" s="646" t="s">
        <v>11411</v>
      </c>
      <c r="C657" s="120" t="s">
        <v>6628</v>
      </c>
      <c r="D657" s="642" t="s">
        <v>11462</v>
      </c>
      <c r="E657" s="642" t="s">
        <v>2474</v>
      </c>
      <c r="F657" s="113">
        <f>4.5*4.5</f>
        <v>20.25</v>
      </c>
      <c r="G657" s="646" t="s">
        <v>3581</v>
      </c>
      <c r="H657" s="43"/>
      <c r="I657" s="646" t="s">
        <v>91</v>
      </c>
      <c r="J657" s="646"/>
    </row>
    <row r="658" spans="1:10" ht="36" customHeight="1" x14ac:dyDescent="0.2">
      <c r="A658" s="12" t="s">
        <v>11112</v>
      </c>
      <c r="B658" s="646" t="s">
        <v>11411</v>
      </c>
      <c r="C658" s="8" t="s">
        <v>11407</v>
      </c>
      <c r="D658" s="642" t="s">
        <v>11460</v>
      </c>
      <c r="E658" s="642" t="s">
        <v>2474</v>
      </c>
      <c r="F658" s="113">
        <f>4.1*4.1</f>
        <v>16.809999999999999</v>
      </c>
      <c r="G658" s="8" t="s">
        <v>3581</v>
      </c>
      <c r="H658" s="8"/>
      <c r="I658" s="646" t="s">
        <v>91</v>
      </c>
      <c r="J658" s="8"/>
    </row>
    <row r="659" spans="1:10" ht="56.25" x14ac:dyDescent="0.2">
      <c r="A659" s="12" t="s">
        <v>12231</v>
      </c>
      <c r="B659" s="646" t="s">
        <v>12232</v>
      </c>
      <c r="C659" s="120" t="s">
        <v>4200</v>
      </c>
      <c r="D659" s="642" t="s">
        <v>12233</v>
      </c>
      <c r="E659" s="642" t="s">
        <v>12234</v>
      </c>
      <c r="F659" s="192">
        <v>28.26</v>
      </c>
      <c r="G659" s="646" t="s">
        <v>2889</v>
      </c>
      <c r="H659" s="43">
        <v>106582.89</v>
      </c>
      <c r="I659" s="8" t="s">
        <v>11166</v>
      </c>
      <c r="J659" s="728" t="s">
        <v>14046</v>
      </c>
    </row>
    <row r="660" spans="1:10" ht="56.25" x14ac:dyDescent="0.2">
      <c r="A660" s="12" t="s">
        <v>12235</v>
      </c>
      <c r="B660" s="646" t="s">
        <v>12236</v>
      </c>
      <c r="C660" s="120" t="s">
        <v>4200</v>
      </c>
      <c r="D660" s="642" t="s">
        <v>12237</v>
      </c>
      <c r="E660" s="642" t="s">
        <v>12234</v>
      </c>
      <c r="F660" s="192">
        <v>28.26</v>
      </c>
      <c r="G660" s="646" t="s">
        <v>2889</v>
      </c>
      <c r="H660" s="43">
        <v>106582.89</v>
      </c>
      <c r="I660" s="8" t="s">
        <v>11166</v>
      </c>
      <c r="J660" s="728" t="s">
        <v>14046</v>
      </c>
    </row>
    <row r="661" spans="1:10" ht="22.5" x14ac:dyDescent="0.2">
      <c r="A661" s="981" t="s">
        <v>12238</v>
      </c>
      <c r="B661" s="961" t="s">
        <v>12239</v>
      </c>
      <c r="C661" s="981" t="s">
        <v>4200</v>
      </c>
      <c r="D661" s="642" t="s">
        <v>12240</v>
      </c>
      <c r="E661" s="642" t="s">
        <v>12234</v>
      </c>
      <c r="F661" s="192">
        <v>28.26</v>
      </c>
      <c r="G661" s="646" t="s">
        <v>2889</v>
      </c>
      <c r="H661" s="43">
        <v>106582.89</v>
      </c>
      <c r="I661" s="966" t="s">
        <v>11166</v>
      </c>
      <c r="J661" s="966" t="s">
        <v>14046</v>
      </c>
    </row>
    <row r="662" spans="1:10" ht="35.25" customHeight="1" x14ac:dyDescent="0.2">
      <c r="A662" s="982"/>
      <c r="B662" s="963"/>
      <c r="C662" s="982"/>
      <c r="D662" s="408" t="s">
        <v>12241</v>
      </c>
      <c r="E662" s="964" t="s">
        <v>12242</v>
      </c>
      <c r="F662" s="965"/>
      <c r="G662" s="646" t="s">
        <v>12243</v>
      </c>
      <c r="H662" s="43"/>
      <c r="I662" s="967"/>
      <c r="J662" s="967"/>
    </row>
    <row r="663" spans="1:10" ht="36" customHeight="1" x14ac:dyDescent="0.2">
      <c r="A663" s="983"/>
      <c r="B663" s="962"/>
      <c r="C663" s="983"/>
      <c r="D663" s="408" t="s">
        <v>12241</v>
      </c>
      <c r="E663" s="964" t="s">
        <v>12244</v>
      </c>
      <c r="F663" s="965"/>
      <c r="G663" s="646" t="s">
        <v>12243</v>
      </c>
      <c r="H663" s="43"/>
      <c r="I663" s="968"/>
      <c r="J663" s="968"/>
    </row>
    <row r="664" spans="1:10" ht="56.25" x14ac:dyDescent="0.2">
      <c r="A664" s="12" t="s">
        <v>12245</v>
      </c>
      <c r="B664" s="646" t="s">
        <v>12246</v>
      </c>
      <c r="C664" s="120" t="s">
        <v>4200</v>
      </c>
      <c r="D664" s="642" t="s">
        <v>12247</v>
      </c>
      <c r="E664" s="642" t="s">
        <v>12234</v>
      </c>
      <c r="F664" s="192">
        <v>28.26</v>
      </c>
      <c r="G664" s="646" t="s">
        <v>2889</v>
      </c>
      <c r="H664" s="43">
        <v>106582.89</v>
      </c>
      <c r="I664" s="8" t="s">
        <v>11166</v>
      </c>
      <c r="J664" s="728" t="s">
        <v>14046</v>
      </c>
    </row>
    <row r="665" spans="1:10" ht="56.25" x14ac:dyDescent="0.2">
      <c r="A665" s="12" t="s">
        <v>12248</v>
      </c>
      <c r="B665" s="646" t="s">
        <v>12249</v>
      </c>
      <c r="C665" s="120" t="s">
        <v>4199</v>
      </c>
      <c r="D665" s="642" t="s">
        <v>12250</v>
      </c>
      <c r="E665" s="642" t="s">
        <v>12234</v>
      </c>
      <c r="F665" s="192">
        <v>28.26</v>
      </c>
      <c r="G665" s="646"/>
      <c r="H665" s="43">
        <v>106582.89</v>
      </c>
      <c r="I665" s="8" t="s">
        <v>11166</v>
      </c>
      <c r="J665" s="728" t="s">
        <v>14046</v>
      </c>
    </row>
    <row r="666" spans="1:10" ht="56.25" x14ac:dyDescent="0.2">
      <c r="A666" s="12" t="s">
        <v>12251</v>
      </c>
      <c r="B666" s="646" t="s">
        <v>12252</v>
      </c>
      <c r="C666" s="120" t="s">
        <v>12253</v>
      </c>
      <c r="D666" s="642" t="s">
        <v>12254</v>
      </c>
      <c r="E666" s="642" t="s">
        <v>12234</v>
      </c>
      <c r="F666" s="192">
        <f>3*5</f>
        <v>15</v>
      </c>
      <c r="G666" s="646" t="s">
        <v>504</v>
      </c>
      <c r="H666" s="43">
        <v>143577.29999999999</v>
      </c>
      <c r="I666" s="8" t="s">
        <v>11166</v>
      </c>
      <c r="J666" s="728" t="s">
        <v>14046</v>
      </c>
    </row>
    <row r="667" spans="1:10" ht="56.25" x14ac:dyDescent="0.2">
      <c r="A667" s="12" t="s">
        <v>12255</v>
      </c>
      <c r="B667" s="646" t="s">
        <v>12256</v>
      </c>
      <c r="C667" s="120" t="s">
        <v>12257</v>
      </c>
      <c r="D667" s="642" t="s">
        <v>12258</v>
      </c>
      <c r="E667" s="642" t="s">
        <v>12259</v>
      </c>
      <c r="F667" s="192">
        <f>3*3</f>
        <v>9</v>
      </c>
      <c r="G667" s="646" t="s">
        <v>504</v>
      </c>
      <c r="H667" s="43">
        <v>86146.38</v>
      </c>
      <c r="I667" s="8" t="s">
        <v>11166</v>
      </c>
      <c r="J667" s="728" t="s">
        <v>14046</v>
      </c>
    </row>
    <row r="668" spans="1:10" ht="22.5" x14ac:dyDescent="0.2">
      <c r="A668" s="732" t="s">
        <v>12264</v>
      </c>
      <c r="B668" s="732" t="s">
        <v>14142</v>
      </c>
      <c r="C668" s="732" t="s">
        <v>14143</v>
      </c>
      <c r="D668" s="719" t="s">
        <v>14144</v>
      </c>
      <c r="E668" s="719" t="s">
        <v>14145</v>
      </c>
      <c r="F668" s="744">
        <v>73.8</v>
      </c>
      <c r="G668" s="745" t="s">
        <v>4368</v>
      </c>
      <c r="H668" s="747">
        <v>15171.07</v>
      </c>
      <c r="J668" s="746"/>
    </row>
    <row r="669" spans="1:10" ht="56.25" x14ac:dyDescent="0.2">
      <c r="A669" s="694" t="s">
        <v>12265</v>
      </c>
      <c r="B669" s="739" t="s">
        <v>14561</v>
      </c>
      <c r="C669" s="790" t="s">
        <v>14562</v>
      </c>
      <c r="D669" s="719" t="s">
        <v>14563</v>
      </c>
      <c r="E669" s="719" t="s">
        <v>14564</v>
      </c>
      <c r="F669" s="746">
        <v>36.6</v>
      </c>
      <c r="G669" s="8"/>
      <c r="H669" s="747">
        <v>360612.11</v>
      </c>
      <c r="I669" s="715" t="s">
        <v>14694</v>
      </c>
      <c r="J669" s="790" t="s">
        <v>14695</v>
      </c>
    </row>
    <row r="670" spans="1:10" ht="33.75" x14ac:dyDescent="0.2">
      <c r="A670" s="803" t="s">
        <v>14814</v>
      </c>
      <c r="B670" s="803" t="s">
        <v>14815</v>
      </c>
      <c r="C670" s="833" t="s">
        <v>14816</v>
      </c>
      <c r="D670" s="825" t="s">
        <v>14817</v>
      </c>
      <c r="E670" s="825" t="s">
        <v>14818</v>
      </c>
      <c r="F670" s="834">
        <v>131.9</v>
      </c>
      <c r="G670" s="790" t="s">
        <v>171</v>
      </c>
      <c r="H670" s="721">
        <v>461316.29</v>
      </c>
      <c r="I670" s="721">
        <v>461316.29</v>
      </c>
      <c r="J670" s="721">
        <v>461316.29</v>
      </c>
    </row>
    <row r="671" spans="1:10" ht="33.75" x14ac:dyDescent="0.2">
      <c r="A671" s="803" t="s">
        <v>14819</v>
      </c>
      <c r="B671" s="835" t="s">
        <v>14820</v>
      </c>
      <c r="C671" s="833" t="s">
        <v>14816</v>
      </c>
      <c r="D671" s="825" t="s">
        <v>14821</v>
      </c>
      <c r="E671" s="825" t="s">
        <v>14822</v>
      </c>
      <c r="F671" s="834">
        <v>100.1</v>
      </c>
      <c r="G671" s="790" t="s">
        <v>171</v>
      </c>
      <c r="H671" s="834">
        <v>350096.75</v>
      </c>
      <c r="I671" s="834">
        <v>350096.75</v>
      </c>
      <c r="J671" s="834">
        <v>350096.75</v>
      </c>
    </row>
    <row r="672" spans="1:10" ht="33.75" x14ac:dyDescent="0.2">
      <c r="A672" s="803" t="s">
        <v>14823</v>
      </c>
      <c r="B672" s="715" t="s">
        <v>14824</v>
      </c>
      <c r="C672" s="833" t="s">
        <v>14825</v>
      </c>
      <c r="D672" s="825" t="s">
        <v>14826</v>
      </c>
      <c r="E672" s="825" t="s">
        <v>14827</v>
      </c>
      <c r="F672" s="834">
        <v>349.9</v>
      </c>
      <c r="G672" s="790" t="s">
        <v>3047</v>
      </c>
      <c r="H672" s="721">
        <v>1539399.05</v>
      </c>
      <c r="I672" s="721">
        <v>1539399.05</v>
      </c>
      <c r="J672" s="721">
        <v>1539399.05</v>
      </c>
    </row>
    <row r="673" spans="1:10" ht="22.5" x14ac:dyDescent="0.2">
      <c r="A673" s="803" t="s">
        <v>14828</v>
      </c>
      <c r="B673" s="803" t="s">
        <v>14829</v>
      </c>
      <c r="C673" s="833" t="s">
        <v>14830</v>
      </c>
      <c r="D673" s="825" t="s">
        <v>14831</v>
      </c>
      <c r="E673" s="825" t="s">
        <v>14832</v>
      </c>
      <c r="F673" s="834">
        <v>575.1</v>
      </c>
      <c r="G673" s="790"/>
      <c r="H673" s="721">
        <v>2530175.4500000002</v>
      </c>
      <c r="I673" s="721">
        <v>2530175.4500000002</v>
      </c>
      <c r="J673" s="721">
        <v>2530175.4500000002</v>
      </c>
    </row>
    <row r="674" spans="1:10" ht="22.5" x14ac:dyDescent="0.2">
      <c r="A674" s="803" t="s">
        <v>14833</v>
      </c>
      <c r="B674" s="803" t="s">
        <v>14834</v>
      </c>
      <c r="C674" s="833" t="s">
        <v>14830</v>
      </c>
      <c r="D674" s="825" t="s">
        <v>14835</v>
      </c>
      <c r="E674" s="825" t="s">
        <v>14832</v>
      </c>
      <c r="F674" s="834">
        <v>444.6</v>
      </c>
      <c r="G674" s="790"/>
      <c r="H674" s="721">
        <v>1956035.48</v>
      </c>
      <c r="I674" s="721">
        <v>1956035.48</v>
      </c>
      <c r="J674" s="721">
        <v>1956035.48</v>
      </c>
    </row>
    <row r="675" spans="1:10" x14ac:dyDescent="0.2">
      <c r="A675" s="694"/>
      <c r="B675" s="739"/>
      <c r="C675" s="790"/>
      <c r="D675" s="719"/>
      <c r="E675" s="719"/>
      <c r="F675" s="746"/>
      <c r="G675" s="8"/>
      <c r="H675" s="747"/>
      <c r="I675" s="715"/>
      <c r="J675" s="790"/>
    </row>
    <row r="676" spans="1:10" x14ac:dyDescent="0.2">
      <c r="A676" s="694"/>
      <c r="B676" s="739"/>
      <c r="C676" s="790"/>
      <c r="D676" s="719"/>
      <c r="E676" s="719"/>
      <c r="F676" s="746"/>
      <c r="G676" s="8"/>
      <c r="H676" s="747"/>
      <c r="I676" s="715"/>
      <c r="J676" s="790"/>
    </row>
    <row r="677" spans="1:10" x14ac:dyDescent="0.2">
      <c r="A677" s="694"/>
      <c r="B677" s="739"/>
      <c r="C677" s="790"/>
      <c r="D677" s="719"/>
      <c r="E677" s="719"/>
      <c r="F677" s="746"/>
      <c r="G677" s="8"/>
      <c r="H677" s="747"/>
      <c r="I677" s="715"/>
      <c r="J677" s="790"/>
    </row>
    <row r="678" spans="1:10" x14ac:dyDescent="0.2">
      <c r="A678" s="694"/>
      <c r="B678" s="739"/>
      <c r="C678" s="790"/>
      <c r="D678" s="719"/>
      <c r="E678" s="719"/>
      <c r="F678" s="746"/>
      <c r="G678" s="8"/>
      <c r="H678" s="747"/>
      <c r="I678" s="715"/>
      <c r="J678" s="790"/>
    </row>
    <row r="679" spans="1:10" x14ac:dyDescent="0.2">
      <c r="A679" s="694"/>
      <c r="B679" s="739"/>
      <c r="C679" s="790"/>
      <c r="D679" s="719"/>
      <c r="E679" s="719"/>
      <c r="F679" s="746"/>
      <c r="G679" s="8"/>
      <c r="H679" s="747"/>
      <c r="I679" s="715"/>
      <c r="J679" s="790"/>
    </row>
    <row r="680" spans="1:10" x14ac:dyDescent="0.2">
      <c r="A680" s="694"/>
      <c r="B680" s="739"/>
      <c r="C680" s="790"/>
      <c r="D680" s="719"/>
      <c r="E680" s="719"/>
      <c r="F680" s="746"/>
      <c r="G680" s="8"/>
      <c r="H680" s="747"/>
      <c r="I680" s="715"/>
      <c r="J680" s="790"/>
    </row>
    <row r="681" spans="1:10" x14ac:dyDescent="0.2">
      <c r="A681" s="694"/>
      <c r="B681" s="739"/>
      <c r="C681" s="790"/>
      <c r="D681" s="719"/>
      <c r="E681" s="719"/>
      <c r="F681" s="746"/>
      <c r="G681" s="8"/>
      <c r="H681" s="747"/>
      <c r="I681" s="715"/>
      <c r="J681" s="790"/>
    </row>
    <row r="682" spans="1:10" x14ac:dyDescent="0.2">
      <c r="A682" s="694"/>
      <c r="B682" s="739"/>
      <c r="C682" s="790"/>
      <c r="D682" s="719"/>
      <c r="E682" s="719"/>
      <c r="F682" s="746"/>
      <c r="G682" s="8"/>
      <c r="H682" s="747"/>
      <c r="I682" s="715"/>
      <c r="J682" s="790"/>
    </row>
  </sheetData>
  <sheetProtection selectLockedCells="1" selectUnlockedCells="1"/>
  <mergeCells count="94">
    <mergeCell ref="C427:C429"/>
    <mergeCell ref="I254:I255"/>
    <mergeCell ref="I241:I243"/>
    <mergeCell ref="J149:J150"/>
    <mergeCell ref="D570:D571"/>
    <mergeCell ref="I149:I150"/>
    <mergeCell ref="E515:E517"/>
    <mergeCell ref="H455:H456"/>
    <mergeCell ref="H400:H401"/>
    <mergeCell ref="I570:I571"/>
    <mergeCell ref="H332:H333"/>
    <mergeCell ref="J570:J571"/>
    <mergeCell ref="J254:J255"/>
    <mergeCell ref="I236:I238"/>
    <mergeCell ref="I407:I408"/>
    <mergeCell ref="I400:I401"/>
    <mergeCell ref="H149:H150"/>
    <mergeCell ref="H179:H180"/>
    <mergeCell ref="C254:C255"/>
    <mergeCell ref="C226:C227"/>
    <mergeCell ref="D254:D255"/>
    <mergeCell ref="D149:D150"/>
    <mergeCell ref="C224:C225"/>
    <mergeCell ref="C222:C223"/>
    <mergeCell ref="H254:H255"/>
    <mergeCell ref="H184:H185"/>
    <mergeCell ref="A67:A68"/>
    <mergeCell ref="B6:C6"/>
    <mergeCell ref="B184:B185"/>
    <mergeCell ref="C149:C150"/>
    <mergeCell ref="C184:C185"/>
    <mergeCell ref="C179:C181"/>
    <mergeCell ref="C137:C138"/>
    <mergeCell ref="J112:J115"/>
    <mergeCell ref="C110:C111"/>
    <mergeCell ref="B94:C94"/>
    <mergeCell ref="B77:C77"/>
    <mergeCell ref="B43:C43"/>
    <mergeCell ref="B60:C60"/>
    <mergeCell ref="B54:C54"/>
    <mergeCell ref="I112:I115"/>
    <mergeCell ref="H47:H52"/>
    <mergeCell ref="B2:F2"/>
    <mergeCell ref="I226:I227"/>
    <mergeCell ref="A349:A350"/>
    <mergeCell ref="C476:C477"/>
    <mergeCell ref="H295:H296"/>
    <mergeCell ref="A400:A401"/>
    <mergeCell ref="A427:A429"/>
    <mergeCell ref="B400:B401"/>
    <mergeCell ref="C400:C401"/>
    <mergeCell ref="B349:B350"/>
    <mergeCell ref="C367:C368"/>
    <mergeCell ref="A137:A138"/>
    <mergeCell ref="B137:B138"/>
    <mergeCell ref="A112:A116"/>
    <mergeCell ref="D34:D35"/>
    <mergeCell ref="F34:F35"/>
    <mergeCell ref="H306:H307"/>
    <mergeCell ref="H327:H328"/>
    <mergeCell ref="J241:J243"/>
    <mergeCell ref="H310:H311"/>
    <mergeCell ref="A661:A663"/>
    <mergeCell ref="B661:B663"/>
    <mergeCell ref="C661:C663"/>
    <mergeCell ref="C611:C613"/>
    <mergeCell ref="C600:C607"/>
    <mergeCell ref="D515:D517"/>
    <mergeCell ref="D600:D607"/>
    <mergeCell ref="D597:D598"/>
    <mergeCell ref="C570:C571"/>
    <mergeCell ref="C515:C517"/>
    <mergeCell ref="D543:D544"/>
    <mergeCell ref="C594:C596"/>
    <mergeCell ref="E662:F662"/>
    <mergeCell ref="E663:F663"/>
    <mergeCell ref="I661:I663"/>
    <mergeCell ref="J407:J408"/>
    <mergeCell ref="J367:J368"/>
    <mergeCell ref="J661:J663"/>
    <mergeCell ref="H515:H517"/>
    <mergeCell ref="H628:H632"/>
    <mergeCell ref="J400:J401"/>
    <mergeCell ref="I367:I368"/>
    <mergeCell ref="J427:J429"/>
    <mergeCell ref="A270:A271"/>
    <mergeCell ref="J184:J185"/>
    <mergeCell ref="I184:I185"/>
    <mergeCell ref="I222:I223"/>
    <mergeCell ref="J222:J223"/>
    <mergeCell ref="I224:I225"/>
    <mergeCell ref="J224:J225"/>
    <mergeCell ref="J226:J227"/>
    <mergeCell ref="J236:J23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M235"/>
  <sheetViews>
    <sheetView zoomScale="94" zoomScaleNormal="94" zoomScaleSheetLayoutView="80" workbookViewId="0">
      <pane xSplit="5" ySplit="5" topLeftCell="F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J69" sqref="J69"/>
    </sheetView>
  </sheetViews>
  <sheetFormatPr defaultRowHeight="12.75" x14ac:dyDescent="0.2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599" customWidth="1"/>
    <col min="8" max="8" width="12.5703125" style="281" customWidth="1"/>
    <col min="9" max="9" width="15.28515625" style="4" customWidth="1"/>
    <col min="10" max="10" width="22.28515625" style="4" customWidth="1"/>
    <col min="11" max="11" width="32.28515625" style="4" customWidth="1"/>
    <col min="12" max="15" width="9.140625" style="4"/>
    <col min="17" max="16384" width="9.140625" style="4"/>
  </cols>
  <sheetData>
    <row r="1" spans="1:20" ht="21.75" customHeight="1" x14ac:dyDescent="0.2">
      <c r="G1" s="597"/>
    </row>
    <row r="2" spans="1:20" ht="14.25" customHeight="1" x14ac:dyDescent="0.2">
      <c r="A2" s="6"/>
      <c r="B2" s="991" t="s">
        <v>11705</v>
      </c>
      <c r="C2" s="991"/>
      <c r="D2" s="991"/>
      <c r="E2" s="991"/>
      <c r="F2" s="991"/>
      <c r="G2" s="598" t="s">
        <v>384</v>
      </c>
      <c r="H2" s="315"/>
      <c r="I2" s="6"/>
    </row>
    <row r="3" spans="1:20" x14ac:dyDescent="0.2">
      <c r="J3" s="4" t="s">
        <v>384</v>
      </c>
    </row>
    <row r="4" spans="1:20" ht="80.25" customHeight="1" x14ac:dyDescent="0.2">
      <c r="A4" s="305" t="s">
        <v>11707</v>
      </c>
      <c r="B4" s="305" t="s">
        <v>11708</v>
      </c>
      <c r="C4" s="1052" t="s">
        <v>11709</v>
      </c>
      <c r="D4" s="1053"/>
      <c r="E4" s="305" t="s">
        <v>11711</v>
      </c>
      <c r="F4" s="305" t="s">
        <v>11716</v>
      </c>
      <c r="G4" s="600" t="s">
        <v>11713</v>
      </c>
      <c r="H4" s="305" t="s">
        <v>11714</v>
      </c>
      <c r="I4" s="305" t="s">
        <v>11715</v>
      </c>
      <c r="J4" s="376" t="s">
        <v>11718</v>
      </c>
      <c r="K4" s="376" t="s">
        <v>11719</v>
      </c>
      <c r="L4" s="53"/>
      <c r="M4" s="53"/>
      <c r="N4" s="53"/>
      <c r="O4" s="53"/>
    </row>
    <row r="5" spans="1:20" x14ac:dyDescent="0.2">
      <c r="A5" s="9">
        <v>1</v>
      </c>
      <c r="B5" s="9">
        <v>2</v>
      </c>
      <c r="C5" s="1050">
        <v>3</v>
      </c>
      <c r="D5" s="1051"/>
      <c r="E5" s="9">
        <v>4</v>
      </c>
      <c r="F5" s="9" t="s">
        <v>5478</v>
      </c>
      <c r="G5" s="601" t="s">
        <v>477</v>
      </c>
      <c r="H5" s="313">
        <v>7</v>
      </c>
      <c r="I5" s="283" t="s">
        <v>5477</v>
      </c>
      <c r="J5" s="9" t="s">
        <v>11703</v>
      </c>
      <c r="K5" s="9" t="s">
        <v>11704</v>
      </c>
    </row>
    <row r="6" spans="1:20" ht="12.75" customHeight="1" x14ac:dyDescent="0.2">
      <c r="A6" s="16" t="s">
        <v>302</v>
      </c>
      <c r="B6" s="1054"/>
      <c r="C6" s="1054"/>
      <c r="D6" s="1054"/>
      <c r="E6" s="1054"/>
      <c r="F6" s="105"/>
      <c r="G6" s="602"/>
      <c r="H6" s="316"/>
      <c r="I6" s="8"/>
      <c r="J6" s="11"/>
      <c r="K6" s="11"/>
    </row>
    <row r="7" spans="1:20" s="37" customFormat="1" ht="33.75" x14ac:dyDescent="0.2">
      <c r="A7" s="33" t="s">
        <v>2197</v>
      </c>
      <c r="B7" s="33" t="s">
        <v>292</v>
      </c>
      <c r="C7" s="1011" t="s">
        <v>6117</v>
      </c>
      <c r="D7" s="1011"/>
      <c r="E7" s="20" t="s">
        <v>6929</v>
      </c>
      <c r="F7" s="33" t="s">
        <v>2832</v>
      </c>
      <c r="G7" s="317">
        <v>444.3</v>
      </c>
      <c r="H7" s="320" t="s">
        <v>65</v>
      </c>
      <c r="I7" s="27">
        <v>6150880.3099999996</v>
      </c>
      <c r="J7" s="34" t="s">
        <v>3299</v>
      </c>
      <c r="K7" s="34" t="s">
        <v>3299</v>
      </c>
      <c r="L7" s="62"/>
      <c r="M7" s="62"/>
      <c r="N7" s="62"/>
      <c r="O7" s="62"/>
    </row>
    <row r="8" spans="1:20" s="60" customFormat="1" ht="42.75" customHeight="1" x14ac:dyDescent="0.2">
      <c r="A8" s="33" t="s">
        <v>3961</v>
      </c>
      <c r="B8" s="33" t="s">
        <v>292</v>
      </c>
      <c r="C8" s="1011" t="s">
        <v>6118</v>
      </c>
      <c r="D8" s="1011"/>
      <c r="E8" s="642" t="s">
        <v>5793</v>
      </c>
      <c r="F8" s="33" t="s">
        <v>75</v>
      </c>
      <c r="G8" s="317">
        <f>89.4</f>
        <v>89.4</v>
      </c>
      <c r="H8" s="26" t="s">
        <v>74</v>
      </c>
      <c r="I8" s="660">
        <v>1608518.77</v>
      </c>
      <c r="J8" s="34" t="s">
        <v>3299</v>
      </c>
      <c r="K8" s="34" t="s">
        <v>3299</v>
      </c>
      <c r="L8" s="1059"/>
      <c r="M8" s="1059"/>
      <c r="N8" s="1058"/>
      <c r="O8" s="1058"/>
      <c r="P8" s="76"/>
      <c r="Q8" s="77"/>
      <c r="R8" s="77"/>
      <c r="S8" s="77"/>
      <c r="T8" s="77"/>
    </row>
    <row r="9" spans="1:20" s="60" customFormat="1" ht="33.75" customHeight="1" x14ac:dyDescent="0.2">
      <c r="A9" s="33" t="s">
        <v>2198</v>
      </c>
      <c r="B9" s="33" t="s">
        <v>292</v>
      </c>
      <c r="C9" s="1011" t="s">
        <v>6119</v>
      </c>
      <c r="D9" s="1011"/>
      <c r="E9" s="111" t="s">
        <v>6220</v>
      </c>
      <c r="F9" s="33" t="s">
        <v>3346</v>
      </c>
      <c r="G9" s="317">
        <f>109.7-27.8-38.9</f>
        <v>43.000000000000007</v>
      </c>
      <c r="H9" s="26" t="s">
        <v>65</v>
      </c>
      <c r="I9" s="50">
        <v>2044303.84</v>
      </c>
      <c r="J9" s="32" t="s">
        <v>12197</v>
      </c>
      <c r="K9" s="32" t="s">
        <v>13910</v>
      </c>
      <c r="P9" s="76"/>
    </row>
    <row r="10" spans="1:20" s="235" customFormat="1" ht="33.75" customHeight="1" x14ac:dyDescent="0.2">
      <c r="A10" s="33" t="s">
        <v>11471</v>
      </c>
      <c r="B10" s="33" t="s">
        <v>292</v>
      </c>
      <c r="C10" s="1011" t="s">
        <v>6119</v>
      </c>
      <c r="D10" s="1011"/>
      <c r="E10" s="111"/>
      <c r="F10" s="33" t="s">
        <v>3346</v>
      </c>
      <c r="G10" s="317">
        <v>38.9</v>
      </c>
      <c r="H10" s="26" t="s">
        <v>65</v>
      </c>
      <c r="I10" s="80"/>
      <c r="J10" s="32" t="s">
        <v>12197</v>
      </c>
      <c r="K10" s="32" t="s">
        <v>13865</v>
      </c>
      <c r="L10" s="60"/>
      <c r="M10" s="60"/>
      <c r="P10" s="275"/>
    </row>
    <row r="11" spans="1:20" s="272" customFormat="1" ht="35.25" customHeight="1" x14ac:dyDescent="0.2">
      <c r="A11" s="31" t="s">
        <v>2846</v>
      </c>
      <c r="B11" s="31" t="s">
        <v>292</v>
      </c>
      <c r="C11" s="1019" t="s">
        <v>6120</v>
      </c>
      <c r="D11" s="1019"/>
      <c r="E11" s="8" t="s">
        <v>5440</v>
      </c>
      <c r="F11" s="8" t="s">
        <v>82</v>
      </c>
      <c r="G11" s="319">
        <v>51.4</v>
      </c>
      <c r="H11" s="320" t="s">
        <v>2830</v>
      </c>
      <c r="I11" s="27">
        <v>711580.57</v>
      </c>
      <c r="J11" s="32" t="s">
        <v>2838</v>
      </c>
      <c r="K11" s="32" t="s">
        <v>13850</v>
      </c>
      <c r="L11" s="60"/>
      <c r="M11" s="60"/>
      <c r="P11" s="279"/>
    </row>
    <row r="12" spans="1:20" s="60" customFormat="1" ht="30.75" customHeight="1" x14ac:dyDescent="0.2">
      <c r="A12" s="33" t="s">
        <v>2199</v>
      </c>
      <c r="B12" s="33" t="s">
        <v>292</v>
      </c>
      <c r="C12" s="1011" t="s">
        <v>6847</v>
      </c>
      <c r="D12" s="1011"/>
      <c r="E12" s="1025" t="s">
        <v>2837</v>
      </c>
      <c r="F12" s="1035" t="s">
        <v>82</v>
      </c>
      <c r="G12" s="318">
        <f>57.1-19.78</f>
        <v>37.32</v>
      </c>
      <c r="H12" s="381" t="s">
        <v>2830</v>
      </c>
      <c r="I12" s="1060">
        <v>1027364.9</v>
      </c>
      <c r="J12" s="34" t="s">
        <v>5899</v>
      </c>
      <c r="K12" s="34" t="s">
        <v>14048</v>
      </c>
      <c r="P12" s="76"/>
    </row>
    <row r="13" spans="1:20" s="60" customFormat="1" ht="23.25" customHeight="1" x14ac:dyDescent="0.2">
      <c r="A13" s="33" t="s">
        <v>3944</v>
      </c>
      <c r="B13" s="33" t="s">
        <v>292</v>
      </c>
      <c r="C13" s="1011" t="s">
        <v>6847</v>
      </c>
      <c r="D13" s="1011"/>
      <c r="E13" s="1025"/>
      <c r="F13" s="1035"/>
      <c r="G13" s="318">
        <v>19.78</v>
      </c>
      <c r="H13" s="381" t="s">
        <v>2830</v>
      </c>
      <c r="I13" s="1060"/>
      <c r="J13" s="34" t="s">
        <v>3293</v>
      </c>
      <c r="K13" s="34" t="s">
        <v>6108</v>
      </c>
      <c r="P13" s="76"/>
    </row>
    <row r="14" spans="1:20" s="60" customFormat="1" ht="33.75" customHeight="1" x14ac:dyDescent="0.2">
      <c r="A14" s="33" t="s">
        <v>2200</v>
      </c>
      <c r="B14" s="33" t="s">
        <v>292</v>
      </c>
      <c r="C14" s="1011" t="s">
        <v>6120</v>
      </c>
      <c r="D14" s="1011"/>
      <c r="E14" s="176" t="s">
        <v>5443</v>
      </c>
      <c r="F14" s="33" t="s">
        <v>82</v>
      </c>
      <c r="G14" s="317">
        <v>27.6</v>
      </c>
      <c r="H14" s="26" t="s">
        <v>2830</v>
      </c>
      <c r="I14" s="660">
        <v>514336.53</v>
      </c>
      <c r="J14" s="34" t="s">
        <v>6839</v>
      </c>
      <c r="K14" s="34" t="s">
        <v>13874</v>
      </c>
      <c r="N14" s="5"/>
      <c r="O14" s="5"/>
      <c r="P14" s="76"/>
    </row>
    <row r="15" spans="1:20" s="60" customFormat="1" ht="43.5" customHeight="1" x14ac:dyDescent="0.2">
      <c r="A15" s="33" t="s">
        <v>3812</v>
      </c>
      <c r="B15" s="33" t="s">
        <v>292</v>
      </c>
      <c r="C15" s="1011" t="s">
        <v>6120</v>
      </c>
      <c r="D15" s="1011"/>
      <c r="E15" s="176" t="s">
        <v>5951</v>
      </c>
      <c r="F15" s="33" t="s">
        <v>4016</v>
      </c>
      <c r="G15" s="317">
        <f>88.7-51.2-7.5-0.8</f>
        <v>29.2</v>
      </c>
      <c r="H15" s="26" t="s">
        <v>2830</v>
      </c>
      <c r="I15" s="1062">
        <v>1513192.97</v>
      </c>
      <c r="J15" s="34" t="s">
        <v>13822</v>
      </c>
      <c r="K15" s="34" t="s">
        <v>13842</v>
      </c>
      <c r="L15" s="5"/>
      <c r="M15" s="5"/>
      <c r="N15" s="5"/>
      <c r="O15" s="5"/>
      <c r="P15" s="76"/>
    </row>
    <row r="16" spans="1:20" s="235" customFormat="1" ht="35.25" customHeight="1" x14ac:dyDescent="0.2">
      <c r="A16" s="33" t="s">
        <v>3813</v>
      </c>
      <c r="B16" s="33" t="s">
        <v>292</v>
      </c>
      <c r="C16" s="1011" t="s">
        <v>6120</v>
      </c>
      <c r="D16" s="1011"/>
      <c r="E16" s="176" t="s">
        <v>5951</v>
      </c>
      <c r="F16" s="33" t="s">
        <v>5906</v>
      </c>
      <c r="G16" s="317">
        <v>51.2</v>
      </c>
      <c r="H16" s="26" t="s">
        <v>2830</v>
      </c>
      <c r="I16" s="1063"/>
      <c r="J16" s="34" t="s">
        <v>12490</v>
      </c>
      <c r="K16" s="34" t="s">
        <v>13899</v>
      </c>
      <c r="L16" s="194"/>
      <c r="M16" s="194"/>
      <c r="P16" s="278"/>
    </row>
    <row r="17" spans="1:23" ht="33.75" customHeight="1" x14ac:dyDescent="0.2">
      <c r="A17" s="33" t="s">
        <v>6932</v>
      </c>
      <c r="B17" s="33" t="s">
        <v>292</v>
      </c>
      <c r="C17" s="1011" t="s">
        <v>6120</v>
      </c>
      <c r="D17" s="1011"/>
      <c r="E17" s="176" t="s">
        <v>5951</v>
      </c>
      <c r="F17" s="33" t="s">
        <v>5905</v>
      </c>
      <c r="G17" s="317">
        <v>7.5</v>
      </c>
      <c r="H17" s="26" t="s">
        <v>2830</v>
      </c>
      <c r="I17" s="1064"/>
      <c r="J17" s="34" t="s">
        <v>13904</v>
      </c>
      <c r="K17" s="34" t="s">
        <v>13905</v>
      </c>
      <c r="L17" s="194"/>
    </row>
    <row r="18" spans="1:23" ht="35.25" customHeight="1" x14ac:dyDescent="0.2">
      <c r="A18" s="33" t="s">
        <v>2201</v>
      </c>
      <c r="B18" s="33" t="s">
        <v>292</v>
      </c>
      <c r="C18" s="1011" t="s">
        <v>6121</v>
      </c>
      <c r="D18" s="1011"/>
      <c r="E18" s="20" t="s">
        <v>5441</v>
      </c>
      <c r="F18" s="33" t="s">
        <v>82</v>
      </c>
      <c r="G18" s="317">
        <v>211.8</v>
      </c>
      <c r="H18" s="381" t="s">
        <v>2876</v>
      </c>
      <c r="I18" s="660">
        <v>2932154.96</v>
      </c>
      <c r="J18" s="34" t="s">
        <v>2834</v>
      </c>
      <c r="K18" s="215" t="s">
        <v>13912</v>
      </c>
      <c r="L18" s="1061"/>
      <c r="M18" s="1061"/>
      <c r="N18" s="1061"/>
      <c r="P18" s="104"/>
    </row>
    <row r="19" spans="1:23" ht="24.75" customHeight="1" x14ac:dyDescent="0.2">
      <c r="A19" s="33" t="s">
        <v>2202</v>
      </c>
      <c r="B19" s="31" t="s">
        <v>292</v>
      </c>
      <c r="C19" s="1019" t="s">
        <v>6122</v>
      </c>
      <c r="D19" s="1019"/>
      <c r="E19" s="48" t="s">
        <v>5442</v>
      </c>
      <c r="F19" s="31" t="s">
        <v>173</v>
      </c>
      <c r="G19" s="319">
        <v>40.6</v>
      </c>
      <c r="H19" s="320" t="s">
        <v>513</v>
      </c>
      <c r="I19" s="42">
        <v>2892007.42</v>
      </c>
      <c r="J19" s="32" t="s">
        <v>2833</v>
      </c>
      <c r="K19" s="8" t="s">
        <v>12592</v>
      </c>
    </row>
    <row r="20" spans="1:23" ht="68.25" customHeight="1" x14ac:dyDescent="0.2">
      <c r="A20" s="31" t="s">
        <v>8236</v>
      </c>
      <c r="B20" s="31" t="s">
        <v>292</v>
      </c>
      <c r="C20" s="1055" t="s">
        <v>6122</v>
      </c>
      <c r="D20" s="1056"/>
      <c r="E20" s="142" t="s">
        <v>5442</v>
      </c>
      <c r="F20" s="31" t="s">
        <v>8237</v>
      </c>
      <c r="G20" s="319">
        <v>22.4</v>
      </c>
      <c r="H20" s="49" t="s">
        <v>513</v>
      </c>
      <c r="I20" s="8"/>
      <c r="J20" s="707" t="s">
        <v>13817</v>
      </c>
      <c r="K20" s="199" t="s">
        <v>13818</v>
      </c>
    </row>
    <row r="21" spans="1:23" ht="25.5" customHeight="1" x14ac:dyDescent="0.2">
      <c r="A21" s="31" t="s">
        <v>6933</v>
      </c>
      <c r="B21" s="31" t="s">
        <v>292</v>
      </c>
      <c r="C21" s="1055" t="s">
        <v>6122</v>
      </c>
      <c r="D21" s="1056"/>
      <c r="E21" s="142" t="s">
        <v>5442</v>
      </c>
      <c r="F21" s="31" t="s">
        <v>288</v>
      </c>
      <c r="G21" s="319">
        <v>123.3</v>
      </c>
      <c r="H21" s="49" t="s">
        <v>513</v>
      </c>
      <c r="I21" s="8"/>
      <c r="J21" s="32" t="s">
        <v>3293</v>
      </c>
      <c r="K21" s="199"/>
    </row>
    <row r="22" spans="1:23" ht="45" customHeight="1" x14ac:dyDescent="0.2">
      <c r="A22" s="33" t="s">
        <v>6933</v>
      </c>
      <c r="B22" s="31" t="s">
        <v>292</v>
      </c>
      <c r="C22" s="1019" t="s">
        <v>6122</v>
      </c>
      <c r="D22" s="1019"/>
      <c r="E22" s="48" t="s">
        <v>5442</v>
      </c>
      <c r="F22" s="31" t="s">
        <v>288</v>
      </c>
      <c r="G22" s="319">
        <v>123.3</v>
      </c>
      <c r="H22" s="320" t="s">
        <v>513</v>
      </c>
      <c r="I22" s="42"/>
      <c r="J22" s="32" t="s">
        <v>2835</v>
      </c>
      <c r="K22" s="32"/>
    </row>
    <row r="23" spans="1:23" ht="28.5" customHeight="1" x14ac:dyDescent="0.2">
      <c r="A23" s="33" t="s">
        <v>2203</v>
      </c>
      <c r="B23" s="66" t="s">
        <v>292</v>
      </c>
      <c r="C23" s="1011" t="s">
        <v>6654</v>
      </c>
      <c r="D23" s="1057"/>
      <c r="E23" s="48" t="s">
        <v>7095</v>
      </c>
      <c r="F23" s="33" t="s">
        <v>5460</v>
      </c>
      <c r="G23" s="317">
        <f>51.5</f>
        <v>51.5</v>
      </c>
      <c r="H23" s="381" t="s">
        <v>65</v>
      </c>
      <c r="I23" s="660">
        <v>974497.42</v>
      </c>
      <c r="J23" s="655"/>
      <c r="K23" s="642"/>
    </row>
    <row r="24" spans="1:23" s="5" customFormat="1" ht="38.25" customHeight="1" x14ac:dyDescent="0.2">
      <c r="A24" s="33" t="s">
        <v>2204</v>
      </c>
      <c r="B24" s="33" t="s">
        <v>292</v>
      </c>
      <c r="C24" s="1067" t="s">
        <v>13824</v>
      </c>
      <c r="D24" s="1068"/>
      <c r="E24" s="20" t="s">
        <v>4006</v>
      </c>
      <c r="F24" s="33" t="s">
        <v>75</v>
      </c>
      <c r="G24" s="317">
        <f>416.3-175-50</f>
        <v>191.3</v>
      </c>
      <c r="H24" s="381" t="s">
        <v>166</v>
      </c>
      <c r="I24" s="660"/>
      <c r="J24" s="34" t="s">
        <v>12591</v>
      </c>
      <c r="K24" s="34" t="s">
        <v>12591</v>
      </c>
    </row>
    <row r="25" spans="1:23" s="5" customFormat="1" ht="47.25" customHeight="1" x14ac:dyDescent="0.2">
      <c r="A25" s="33" t="s">
        <v>6934</v>
      </c>
      <c r="B25" s="33" t="s">
        <v>292</v>
      </c>
      <c r="C25" s="1069"/>
      <c r="D25" s="1070"/>
      <c r="E25" s="20" t="s">
        <v>4006</v>
      </c>
      <c r="F25" s="33" t="s">
        <v>75</v>
      </c>
      <c r="G25" s="317">
        <f>175</f>
        <v>175</v>
      </c>
      <c r="H25" s="381" t="s">
        <v>166</v>
      </c>
      <c r="I25" s="660"/>
      <c r="J25" s="34" t="s">
        <v>3829</v>
      </c>
      <c r="K25" s="34" t="s">
        <v>12593</v>
      </c>
    </row>
    <row r="26" spans="1:23" s="5" customFormat="1" ht="77.25" customHeight="1" x14ac:dyDescent="0.2">
      <c r="A26" s="33" t="s">
        <v>13417</v>
      </c>
      <c r="B26" s="33" t="s">
        <v>292</v>
      </c>
      <c r="C26" s="1071"/>
      <c r="D26" s="1072"/>
      <c r="E26" s="20" t="s">
        <v>4006</v>
      </c>
      <c r="F26" s="146" t="s">
        <v>75</v>
      </c>
      <c r="G26" s="317">
        <v>50</v>
      </c>
      <c r="H26" s="381" t="s">
        <v>166</v>
      </c>
      <c r="I26" s="379"/>
      <c r="J26" s="215" t="s">
        <v>13418</v>
      </c>
      <c r="K26" s="34" t="s">
        <v>13855</v>
      </c>
      <c r="L26" s="596"/>
    </row>
    <row r="27" spans="1:23" s="5" customFormat="1" ht="24.75" customHeight="1" x14ac:dyDescent="0.2">
      <c r="A27" s="33" t="s">
        <v>2205</v>
      </c>
      <c r="B27" s="33" t="s">
        <v>292</v>
      </c>
      <c r="C27" s="1011" t="s">
        <v>285</v>
      </c>
      <c r="D27" s="1011"/>
      <c r="E27" s="20" t="s">
        <v>4007</v>
      </c>
      <c r="F27" s="33" t="s">
        <v>2877</v>
      </c>
      <c r="G27" s="317">
        <f>16.6-13.7</f>
        <v>2.9000000000000021</v>
      </c>
      <c r="H27" s="381" t="s">
        <v>166</v>
      </c>
      <c r="I27" s="660"/>
      <c r="J27" s="34" t="s">
        <v>12591</v>
      </c>
      <c r="K27" s="34" t="s">
        <v>12591</v>
      </c>
    </row>
    <row r="28" spans="1:23" s="5" customFormat="1" ht="48.75" customHeight="1" x14ac:dyDescent="0.2">
      <c r="A28" s="33" t="s">
        <v>6994</v>
      </c>
      <c r="B28" s="33" t="s">
        <v>292</v>
      </c>
      <c r="C28" s="1011" t="s">
        <v>6123</v>
      </c>
      <c r="D28" s="1011"/>
      <c r="E28" s="20"/>
      <c r="F28" s="33"/>
      <c r="G28" s="317">
        <v>13.7</v>
      </c>
      <c r="H28" s="381"/>
      <c r="I28" s="27"/>
      <c r="J28" s="34" t="s">
        <v>3829</v>
      </c>
      <c r="K28" s="34" t="s">
        <v>12593</v>
      </c>
    </row>
    <row r="29" spans="1:23" s="60" customFormat="1" ht="56.25" x14ac:dyDescent="0.2">
      <c r="A29" s="33" t="s">
        <v>5462</v>
      </c>
      <c r="B29" s="33" t="s">
        <v>5788</v>
      </c>
      <c r="C29" s="1011" t="s">
        <v>6124</v>
      </c>
      <c r="D29" s="1011"/>
      <c r="E29" s="111" t="s">
        <v>7091</v>
      </c>
      <c r="F29" s="33" t="s">
        <v>4016</v>
      </c>
      <c r="G29" s="317">
        <v>584.6</v>
      </c>
      <c r="H29" s="26" t="s">
        <v>166</v>
      </c>
      <c r="I29" s="660">
        <v>11604626.720000001</v>
      </c>
      <c r="J29" s="34" t="s">
        <v>3949</v>
      </c>
      <c r="K29" s="34" t="s">
        <v>12594</v>
      </c>
      <c r="L29" s="5"/>
      <c r="M29" s="5"/>
      <c r="N29" s="5"/>
      <c r="O29" s="5"/>
      <c r="P29" s="76"/>
    </row>
    <row r="30" spans="1:23" s="60" customFormat="1" ht="60" customHeight="1" x14ac:dyDescent="0.2">
      <c r="A30" s="33" t="s">
        <v>2206</v>
      </c>
      <c r="B30" s="33" t="s">
        <v>7088</v>
      </c>
      <c r="C30" s="1011" t="s">
        <v>6124</v>
      </c>
      <c r="D30" s="1011"/>
      <c r="E30" s="111" t="s">
        <v>7092</v>
      </c>
      <c r="F30" s="33" t="s">
        <v>4016</v>
      </c>
      <c r="G30" s="317">
        <v>465</v>
      </c>
      <c r="H30" s="26" t="s">
        <v>166</v>
      </c>
      <c r="I30" s="660">
        <v>9230501.9199999999</v>
      </c>
      <c r="J30" s="34" t="s">
        <v>6813</v>
      </c>
      <c r="K30" s="34" t="s">
        <v>12595</v>
      </c>
      <c r="L30" s="5"/>
      <c r="M30" s="5"/>
      <c r="N30" s="5"/>
      <c r="O30" s="5"/>
      <c r="P30" s="76"/>
    </row>
    <row r="31" spans="1:23" s="60" customFormat="1" ht="59.25" customHeight="1" x14ac:dyDescent="0.2">
      <c r="A31" s="33" t="s">
        <v>2207</v>
      </c>
      <c r="B31" s="33" t="s">
        <v>292</v>
      </c>
      <c r="C31" s="1011" t="s">
        <v>6124</v>
      </c>
      <c r="D31" s="1011"/>
      <c r="E31" s="111" t="s">
        <v>4005</v>
      </c>
      <c r="F31" s="33" t="s">
        <v>82</v>
      </c>
      <c r="G31" s="317">
        <f>132.9</f>
        <v>132.9</v>
      </c>
      <c r="H31" s="26" t="s">
        <v>166</v>
      </c>
      <c r="I31" s="50">
        <v>2638137</v>
      </c>
      <c r="J31" s="34" t="s">
        <v>6813</v>
      </c>
      <c r="K31" s="34" t="s">
        <v>6813</v>
      </c>
      <c r="L31" s="1066"/>
      <c r="M31" s="1066"/>
      <c r="N31" s="73"/>
      <c r="O31" s="73"/>
      <c r="P31" s="76"/>
      <c r="Q31" s="73"/>
      <c r="R31" s="73"/>
      <c r="S31" s="73"/>
      <c r="T31" s="73"/>
      <c r="U31" s="73"/>
      <c r="V31" s="73"/>
      <c r="W31" s="73"/>
    </row>
    <row r="32" spans="1:23" ht="23.25" customHeight="1" x14ac:dyDescent="0.2">
      <c r="A32" s="33" t="s">
        <v>2847</v>
      </c>
      <c r="B32" s="31" t="s">
        <v>292</v>
      </c>
      <c r="C32" s="1019" t="s">
        <v>6124</v>
      </c>
      <c r="D32" s="1019"/>
      <c r="E32" s="111" t="s">
        <v>7093</v>
      </c>
      <c r="F32" s="31" t="s">
        <v>82</v>
      </c>
      <c r="G32" s="319">
        <v>44.6</v>
      </c>
      <c r="H32" s="320" t="s">
        <v>166</v>
      </c>
      <c r="I32" s="27">
        <v>141270.95000000001</v>
      </c>
      <c r="J32" s="34" t="s">
        <v>287</v>
      </c>
      <c r="K32" s="32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</row>
    <row r="33" spans="1:299" ht="33.75" customHeight="1" x14ac:dyDescent="0.2">
      <c r="A33" s="33" t="s">
        <v>2848</v>
      </c>
      <c r="B33" s="31" t="s">
        <v>13915</v>
      </c>
      <c r="C33" s="1019" t="s">
        <v>6124</v>
      </c>
      <c r="D33" s="1019"/>
      <c r="E33" s="48" t="s">
        <v>6979</v>
      </c>
      <c r="F33" s="31" t="s">
        <v>75</v>
      </c>
      <c r="G33" s="319">
        <v>29.9</v>
      </c>
      <c r="H33" s="320" t="s">
        <v>166</v>
      </c>
      <c r="I33" s="27"/>
      <c r="J33" s="32" t="s">
        <v>5839</v>
      </c>
      <c r="K33" s="32" t="s">
        <v>13914</v>
      </c>
      <c r="L33" s="256"/>
      <c r="M33" s="256"/>
      <c r="N33" s="256"/>
      <c r="O33" s="257"/>
      <c r="Q33" s="13"/>
      <c r="R33" s="13"/>
      <c r="S33" s="13"/>
      <c r="T33" s="13"/>
      <c r="U33" s="13"/>
      <c r="V33" s="13"/>
      <c r="W33" s="13"/>
    </row>
    <row r="34" spans="1:299" s="36" customFormat="1" ht="22.5" x14ac:dyDescent="0.2">
      <c r="A34" s="33" t="s">
        <v>2208</v>
      </c>
      <c r="B34" s="31" t="s">
        <v>292</v>
      </c>
      <c r="C34" s="1019" t="s">
        <v>6125</v>
      </c>
      <c r="D34" s="1019"/>
      <c r="E34" s="48"/>
      <c r="F34" s="31" t="s">
        <v>2849</v>
      </c>
      <c r="G34" s="319">
        <f>40-15</f>
        <v>25</v>
      </c>
      <c r="H34" s="28" t="s">
        <v>169</v>
      </c>
      <c r="I34" s="27"/>
      <c r="J34" s="34" t="s">
        <v>287</v>
      </c>
      <c r="K34" s="32"/>
      <c r="L34" s="63"/>
      <c r="M34" s="63"/>
      <c r="N34" s="63"/>
      <c r="O34" s="63"/>
      <c r="Q34" s="39"/>
      <c r="R34" s="39"/>
      <c r="S34" s="39"/>
      <c r="T34" s="39"/>
      <c r="U34" s="39"/>
      <c r="V34" s="39"/>
      <c r="W34" s="39"/>
    </row>
    <row r="35" spans="1:299" s="36" customFormat="1" ht="33.75" x14ac:dyDescent="0.2">
      <c r="A35" s="33" t="s">
        <v>6935</v>
      </c>
      <c r="B35" s="31" t="s">
        <v>292</v>
      </c>
      <c r="C35" s="1019" t="s">
        <v>6125</v>
      </c>
      <c r="D35" s="1019"/>
      <c r="E35" s="48"/>
      <c r="F35" s="31" t="s">
        <v>75</v>
      </c>
      <c r="G35" s="319">
        <v>15</v>
      </c>
      <c r="H35" s="28" t="s">
        <v>169</v>
      </c>
      <c r="I35" s="27"/>
      <c r="J35" s="32" t="s">
        <v>6105</v>
      </c>
      <c r="K35" s="34" t="s">
        <v>12596</v>
      </c>
      <c r="L35" s="63"/>
      <c r="M35" s="63"/>
      <c r="N35" s="63"/>
      <c r="O35" s="63"/>
      <c r="Q35" s="39"/>
      <c r="R35" s="39"/>
      <c r="S35" s="39"/>
      <c r="T35" s="39"/>
      <c r="U35" s="39"/>
      <c r="V35" s="39"/>
      <c r="W35" s="39"/>
    </row>
    <row r="36" spans="1:299" s="38" customFormat="1" ht="22.5" x14ac:dyDescent="0.2">
      <c r="A36" s="33" t="s">
        <v>2209</v>
      </c>
      <c r="B36" s="31" t="s">
        <v>292</v>
      </c>
      <c r="C36" s="1019" t="s">
        <v>6126</v>
      </c>
      <c r="D36" s="1019"/>
      <c r="E36" s="48"/>
      <c r="F36" s="31" t="s">
        <v>3283</v>
      </c>
      <c r="G36" s="319">
        <v>108.2</v>
      </c>
      <c r="H36" s="28" t="s">
        <v>169</v>
      </c>
      <c r="I36" s="27"/>
      <c r="J36" s="32" t="s">
        <v>287</v>
      </c>
      <c r="K36" s="32"/>
      <c r="L36" s="13"/>
      <c r="M36" s="13"/>
      <c r="N36" s="13"/>
      <c r="O36" s="13"/>
      <c r="Q36" s="54"/>
      <c r="R36" s="54"/>
      <c r="S36" s="54"/>
      <c r="T36" s="54"/>
      <c r="U36" s="54"/>
      <c r="V36" s="54"/>
      <c r="W36" s="54"/>
    </row>
    <row r="37" spans="1:299" ht="35.25" customHeight="1" x14ac:dyDescent="0.2">
      <c r="A37" s="33" t="s">
        <v>2210</v>
      </c>
      <c r="B37" s="31" t="s">
        <v>292</v>
      </c>
      <c r="C37" s="1019" t="s">
        <v>6127</v>
      </c>
      <c r="D37" s="1019"/>
      <c r="E37" s="48" t="s">
        <v>7094</v>
      </c>
      <c r="F37" s="31" t="s">
        <v>2850</v>
      </c>
      <c r="G37" s="322">
        <f>26.1/2</f>
        <v>13.05</v>
      </c>
      <c r="H37" s="28" t="s">
        <v>76</v>
      </c>
      <c r="I37" s="27"/>
      <c r="J37" s="32" t="s">
        <v>5800</v>
      </c>
      <c r="K37" s="32" t="s">
        <v>6106</v>
      </c>
    </row>
    <row r="38" spans="1:299" ht="36.75" customHeight="1" x14ac:dyDescent="0.2">
      <c r="A38" s="33" t="s">
        <v>6936</v>
      </c>
      <c r="B38" s="31" t="s">
        <v>292</v>
      </c>
      <c r="C38" s="1019" t="s">
        <v>6127</v>
      </c>
      <c r="D38" s="1019"/>
      <c r="E38" s="48" t="s">
        <v>7094</v>
      </c>
      <c r="F38" s="31" t="s">
        <v>2850</v>
      </c>
      <c r="G38" s="322">
        <f>26.1/2</f>
        <v>13.05</v>
      </c>
      <c r="H38" s="28" t="s">
        <v>76</v>
      </c>
      <c r="I38" s="27"/>
      <c r="J38" s="32" t="s">
        <v>5801</v>
      </c>
      <c r="K38" s="32" t="s">
        <v>6107</v>
      </c>
    </row>
    <row r="39" spans="1:299" s="38" customFormat="1" ht="24" customHeight="1" x14ac:dyDescent="0.2">
      <c r="A39" s="33" t="s">
        <v>2211</v>
      </c>
      <c r="B39" s="31" t="s">
        <v>292</v>
      </c>
      <c r="C39" s="1019" t="s">
        <v>6128</v>
      </c>
      <c r="D39" s="1019"/>
      <c r="E39" s="48" t="s">
        <v>3886</v>
      </c>
      <c r="F39" s="31" t="s">
        <v>82</v>
      </c>
      <c r="G39" s="319">
        <v>39.700000000000003</v>
      </c>
      <c r="H39" s="28" t="s">
        <v>67</v>
      </c>
      <c r="I39" s="27"/>
      <c r="J39" s="32" t="s">
        <v>3293</v>
      </c>
      <c r="K39" s="32" t="s">
        <v>12597</v>
      </c>
      <c r="L39" s="4"/>
      <c r="M39" s="4"/>
      <c r="N39" s="4"/>
      <c r="O39"/>
      <c r="P39" s="4"/>
    </row>
    <row r="40" spans="1:299" s="38" customFormat="1" ht="78.75" customHeight="1" x14ac:dyDescent="0.2">
      <c r="A40" s="31" t="s">
        <v>2212</v>
      </c>
      <c r="B40" s="31" t="s">
        <v>292</v>
      </c>
      <c r="C40" s="1055" t="s">
        <v>5521</v>
      </c>
      <c r="D40" s="1056"/>
      <c r="E40" s="48" t="s">
        <v>3889</v>
      </c>
      <c r="F40" s="31" t="s">
        <v>6262</v>
      </c>
      <c r="G40" s="319">
        <v>75.7</v>
      </c>
      <c r="H40" s="28" t="s">
        <v>83</v>
      </c>
      <c r="I40" s="27">
        <v>239780.51</v>
      </c>
      <c r="J40" s="32" t="s">
        <v>13419</v>
      </c>
      <c r="K40" s="32" t="s">
        <v>13903</v>
      </c>
      <c r="L40" s="4"/>
      <c r="M40" s="4"/>
      <c r="N40" s="4"/>
      <c r="O40"/>
      <c r="P40" s="4"/>
    </row>
    <row r="41" spans="1:299" s="38" customFormat="1" ht="29.25" customHeight="1" x14ac:dyDescent="0.2">
      <c r="A41" s="33" t="s">
        <v>6308</v>
      </c>
      <c r="B41" s="31" t="s">
        <v>292</v>
      </c>
      <c r="C41" s="1019" t="s">
        <v>5521</v>
      </c>
      <c r="D41" s="1019"/>
      <c r="E41" s="654" t="s">
        <v>9000</v>
      </c>
      <c r="F41" s="31" t="s">
        <v>8658</v>
      </c>
      <c r="G41" s="319">
        <v>107.6</v>
      </c>
      <c r="H41" s="28" t="s">
        <v>83</v>
      </c>
      <c r="I41" s="27"/>
      <c r="J41" s="32" t="s">
        <v>6407</v>
      </c>
      <c r="K41" s="32" t="s">
        <v>12598</v>
      </c>
      <c r="L41" s="4"/>
      <c r="M41" s="4"/>
      <c r="N41" s="4"/>
      <c r="O41"/>
      <c r="P41" s="4"/>
    </row>
    <row r="42" spans="1:299" s="60" customFormat="1" ht="26.25" customHeight="1" x14ac:dyDescent="0.2">
      <c r="A42" s="33" t="s">
        <v>6309</v>
      </c>
      <c r="B42" s="33" t="s">
        <v>292</v>
      </c>
      <c r="C42" s="1011" t="s">
        <v>6129</v>
      </c>
      <c r="D42" s="1011"/>
      <c r="E42" s="654" t="s">
        <v>3891</v>
      </c>
      <c r="F42" s="33" t="s">
        <v>476</v>
      </c>
      <c r="G42" s="317">
        <v>43</v>
      </c>
      <c r="H42" s="381" t="s">
        <v>67</v>
      </c>
      <c r="I42" s="660">
        <v>136202.93</v>
      </c>
      <c r="J42" s="34" t="s">
        <v>12491</v>
      </c>
      <c r="K42" s="34" t="s">
        <v>12599</v>
      </c>
      <c r="L42" s="1065"/>
      <c r="M42" s="1065"/>
      <c r="N42" s="1065"/>
      <c r="O42" s="1065"/>
      <c r="P42" s="76"/>
    </row>
    <row r="43" spans="1:299" s="5" customFormat="1" ht="28.5" customHeight="1" x14ac:dyDescent="0.2">
      <c r="A43" s="33" t="s">
        <v>2213</v>
      </c>
      <c r="B43" s="31" t="s">
        <v>292</v>
      </c>
      <c r="C43" s="1011" t="s">
        <v>6130</v>
      </c>
      <c r="D43" s="1011"/>
      <c r="E43" s="20" t="s">
        <v>5720</v>
      </c>
      <c r="F43" s="33" t="s">
        <v>2851</v>
      </c>
      <c r="G43" s="317">
        <v>5.5</v>
      </c>
      <c r="H43" s="320" t="s">
        <v>166</v>
      </c>
      <c r="I43" s="27"/>
      <c r="J43" s="20" t="s">
        <v>3966</v>
      </c>
      <c r="K43" s="34"/>
    </row>
    <row r="44" spans="1:299" s="5" customFormat="1" ht="24" customHeight="1" x14ac:dyDescent="0.2">
      <c r="A44" s="33" t="s">
        <v>5433</v>
      </c>
      <c r="B44" s="33" t="s">
        <v>292</v>
      </c>
      <c r="C44" s="1031" t="s">
        <v>6131</v>
      </c>
      <c r="D44" s="1031"/>
      <c r="E44" s="12" t="s">
        <v>5953</v>
      </c>
      <c r="F44" s="33" t="s">
        <v>81</v>
      </c>
      <c r="G44" s="323">
        <v>63.9</v>
      </c>
      <c r="H44" s="312" t="s">
        <v>2841</v>
      </c>
      <c r="I44" s="660"/>
      <c r="J44" s="410" t="s">
        <v>9336</v>
      </c>
      <c r="K44" s="199" t="s">
        <v>12600</v>
      </c>
    </row>
    <row r="45" spans="1:299" s="5" customFormat="1" ht="68.25" customHeight="1" x14ac:dyDescent="0.2">
      <c r="A45" s="33" t="s">
        <v>6937</v>
      </c>
      <c r="B45" s="33" t="s">
        <v>292</v>
      </c>
      <c r="C45" s="1031" t="s">
        <v>6131</v>
      </c>
      <c r="D45" s="1031"/>
      <c r="E45" s="12" t="s">
        <v>5953</v>
      </c>
      <c r="F45" s="66" t="s">
        <v>81</v>
      </c>
      <c r="G45" s="323">
        <f>49.4+0.5</f>
        <v>49.9</v>
      </c>
      <c r="H45" s="312" t="s">
        <v>2841</v>
      </c>
      <c r="I45" s="660"/>
      <c r="J45" s="34" t="s">
        <v>9369</v>
      </c>
      <c r="K45" s="34" t="s">
        <v>9369</v>
      </c>
    </row>
    <row r="46" spans="1:299" s="37" customFormat="1" ht="80.25" customHeight="1" x14ac:dyDescent="0.2">
      <c r="A46" s="33" t="s">
        <v>2214</v>
      </c>
      <c r="B46" s="31" t="s">
        <v>292</v>
      </c>
      <c r="C46" s="1031" t="s">
        <v>6131</v>
      </c>
      <c r="D46" s="1031"/>
      <c r="E46" s="12" t="s">
        <v>5952</v>
      </c>
      <c r="F46" s="66" t="s">
        <v>81</v>
      </c>
      <c r="G46" s="323">
        <v>58.2</v>
      </c>
      <c r="H46" s="312" t="s">
        <v>2841</v>
      </c>
      <c r="I46" s="27"/>
      <c r="J46" s="78" t="s">
        <v>13854</v>
      </c>
      <c r="K46" s="32" t="s">
        <v>13892</v>
      </c>
      <c r="L46" s="62"/>
      <c r="M46" s="62"/>
      <c r="N46" s="62"/>
      <c r="O46" s="62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</row>
    <row r="47" spans="1:299" ht="34.5" customHeight="1" x14ac:dyDescent="0.2">
      <c r="A47" s="33" t="s">
        <v>2852</v>
      </c>
      <c r="B47" s="31" t="s">
        <v>292</v>
      </c>
      <c r="C47" s="1011" t="s">
        <v>6132</v>
      </c>
      <c r="D47" s="1011"/>
      <c r="E47" s="20" t="s">
        <v>7049</v>
      </c>
      <c r="F47" s="31" t="s">
        <v>2853</v>
      </c>
      <c r="G47" s="322">
        <f>61-15.25*3</f>
        <v>15.25</v>
      </c>
      <c r="H47" s="320" t="s">
        <v>70</v>
      </c>
      <c r="I47" s="42">
        <v>796305.59</v>
      </c>
      <c r="J47" s="32" t="s">
        <v>5838</v>
      </c>
      <c r="K47" s="8" t="s">
        <v>12601</v>
      </c>
    </row>
    <row r="48" spans="1:299" ht="34.5" customHeight="1" x14ac:dyDescent="0.2">
      <c r="A48" s="33" t="s">
        <v>6938</v>
      </c>
      <c r="B48" s="31" t="s">
        <v>292</v>
      </c>
      <c r="C48" s="1011" t="s">
        <v>6132</v>
      </c>
      <c r="D48" s="1011"/>
      <c r="E48" s="20" t="s">
        <v>7049</v>
      </c>
      <c r="F48" s="31" t="s">
        <v>2853</v>
      </c>
      <c r="G48" s="322">
        <f>61-15.25*3</f>
        <v>15.25</v>
      </c>
      <c r="H48" s="320" t="s">
        <v>70</v>
      </c>
      <c r="I48" s="42"/>
      <c r="J48" s="32" t="s">
        <v>5835</v>
      </c>
      <c r="K48" s="8" t="s">
        <v>13876</v>
      </c>
    </row>
    <row r="49" spans="1:16" ht="33.75" customHeight="1" x14ac:dyDescent="0.2">
      <c r="A49" s="33" t="s">
        <v>6939</v>
      </c>
      <c r="B49" s="31" t="s">
        <v>292</v>
      </c>
      <c r="C49" s="1011" t="s">
        <v>6132</v>
      </c>
      <c r="D49" s="1011"/>
      <c r="E49" s="20" t="s">
        <v>7049</v>
      </c>
      <c r="F49" s="31" t="s">
        <v>2853</v>
      </c>
      <c r="G49" s="322">
        <f>61-15.25*3</f>
        <v>15.25</v>
      </c>
      <c r="H49" s="320" t="s">
        <v>70</v>
      </c>
      <c r="I49" s="42"/>
      <c r="J49" s="32" t="s">
        <v>5836</v>
      </c>
      <c r="K49" s="8" t="s">
        <v>13877</v>
      </c>
    </row>
    <row r="50" spans="1:16" ht="33" customHeight="1" x14ac:dyDescent="0.2">
      <c r="A50" s="652" t="s">
        <v>6940</v>
      </c>
      <c r="B50" s="31" t="s">
        <v>292</v>
      </c>
      <c r="C50" s="1011" t="s">
        <v>6132</v>
      </c>
      <c r="D50" s="1011"/>
      <c r="E50" s="20" t="s">
        <v>7049</v>
      </c>
      <c r="F50" s="31" t="s">
        <v>2853</v>
      </c>
      <c r="G50" s="322">
        <f>61-15.25*3</f>
        <v>15.25</v>
      </c>
      <c r="H50" s="320" t="s">
        <v>70</v>
      </c>
      <c r="I50" s="42"/>
      <c r="J50" s="32" t="s">
        <v>5837</v>
      </c>
      <c r="K50" s="8" t="s">
        <v>13875</v>
      </c>
    </row>
    <row r="51" spans="1:16" s="60" customFormat="1" ht="59.25" customHeight="1" x14ac:dyDescent="0.2">
      <c r="A51" s="33" t="s">
        <v>6941</v>
      </c>
      <c r="B51" s="33" t="s">
        <v>292</v>
      </c>
      <c r="C51" s="1011" t="s">
        <v>6132</v>
      </c>
      <c r="D51" s="1011"/>
      <c r="E51" s="20" t="s">
        <v>7045</v>
      </c>
      <c r="F51" s="33" t="s">
        <v>164</v>
      </c>
      <c r="G51" s="317">
        <v>34.299999999999997</v>
      </c>
      <c r="H51" s="26" t="s">
        <v>70</v>
      </c>
      <c r="I51" s="660">
        <v>148723.09</v>
      </c>
      <c r="J51" s="34" t="s">
        <v>3948</v>
      </c>
      <c r="K51" s="34" t="s">
        <v>3948</v>
      </c>
      <c r="L51" s="5"/>
      <c r="M51" s="5"/>
      <c r="N51" s="5"/>
      <c r="O51" s="5"/>
      <c r="P51" s="76"/>
    </row>
    <row r="52" spans="1:16" s="60" customFormat="1" ht="44.25" customHeight="1" x14ac:dyDescent="0.2">
      <c r="A52" s="33" t="s">
        <v>2215</v>
      </c>
      <c r="B52" s="33" t="s">
        <v>292</v>
      </c>
      <c r="C52" s="1011" t="s">
        <v>6132</v>
      </c>
      <c r="D52" s="1011"/>
      <c r="E52" s="20" t="s">
        <v>7017</v>
      </c>
      <c r="F52" s="33" t="s">
        <v>164</v>
      </c>
      <c r="G52" s="317">
        <v>104.3</v>
      </c>
      <c r="H52" s="26" t="s">
        <v>70</v>
      </c>
      <c r="I52" s="660">
        <v>452239.58</v>
      </c>
      <c r="J52" s="34" t="s">
        <v>10424</v>
      </c>
      <c r="K52" s="34" t="s">
        <v>12602</v>
      </c>
      <c r="L52" s="5"/>
      <c r="M52" s="5"/>
      <c r="N52" s="5"/>
      <c r="O52" s="5"/>
      <c r="P52" s="76"/>
    </row>
    <row r="53" spans="1:16" s="60" customFormat="1" ht="59.25" customHeight="1" x14ac:dyDescent="0.2">
      <c r="A53" s="33" t="s">
        <v>2878</v>
      </c>
      <c r="B53" s="33" t="s">
        <v>292</v>
      </c>
      <c r="C53" s="1011" t="s">
        <v>6132</v>
      </c>
      <c r="D53" s="1011"/>
      <c r="E53" s="20" t="s">
        <v>7048</v>
      </c>
      <c r="F53" s="33" t="s">
        <v>164</v>
      </c>
      <c r="G53" s="317">
        <f>279.9-79.6</f>
        <v>200.29999999999998</v>
      </c>
      <c r="H53" s="26" t="s">
        <v>70</v>
      </c>
      <c r="I53" s="660">
        <f>1213632.41/279.9*G53</f>
        <v>868490.78857806348</v>
      </c>
      <c r="J53" s="34" t="s">
        <v>3948</v>
      </c>
      <c r="K53" s="642" t="s">
        <v>12603</v>
      </c>
      <c r="L53" s="5"/>
      <c r="M53" s="5"/>
      <c r="N53" s="5"/>
      <c r="O53" s="5"/>
      <c r="P53" s="76"/>
    </row>
    <row r="54" spans="1:16" s="60" customFormat="1" ht="28.5" customHeight="1" x14ac:dyDescent="0.2">
      <c r="A54" s="33" t="s">
        <v>9403</v>
      </c>
      <c r="B54" s="33" t="s">
        <v>292</v>
      </c>
      <c r="C54" s="1011" t="s">
        <v>6132</v>
      </c>
      <c r="D54" s="1011"/>
      <c r="E54" s="20" t="s">
        <v>7048</v>
      </c>
      <c r="F54" s="33" t="s">
        <v>164</v>
      </c>
      <c r="G54" s="317">
        <v>79.599999999999994</v>
      </c>
      <c r="H54" s="26" t="s">
        <v>70</v>
      </c>
      <c r="I54" s="660">
        <f>1213632.41/279.9*G54</f>
        <v>345141.62142193638</v>
      </c>
      <c r="J54" s="34" t="s">
        <v>9425</v>
      </c>
      <c r="K54" s="642" t="s">
        <v>12604</v>
      </c>
      <c r="L54" s="5"/>
      <c r="M54" s="5"/>
      <c r="N54" s="5"/>
      <c r="O54" s="5"/>
      <c r="P54" s="76"/>
    </row>
    <row r="55" spans="1:16" s="60" customFormat="1" ht="56.25" x14ac:dyDescent="0.2">
      <c r="A55" s="33" t="s">
        <v>2879</v>
      </c>
      <c r="B55" s="33" t="s">
        <v>292</v>
      </c>
      <c r="C55" s="1011" t="s">
        <v>6132</v>
      </c>
      <c r="D55" s="1011"/>
      <c r="E55" s="20" t="s">
        <v>7047</v>
      </c>
      <c r="F55" s="33" t="s">
        <v>72</v>
      </c>
      <c r="G55" s="317">
        <v>104.3</v>
      </c>
      <c r="H55" s="26" t="s">
        <v>70</v>
      </c>
      <c r="I55" s="660">
        <v>597493.91</v>
      </c>
      <c r="J55" s="34" t="s">
        <v>3948</v>
      </c>
      <c r="K55" s="642" t="s">
        <v>12603</v>
      </c>
      <c r="L55" s="5"/>
      <c r="M55" s="5"/>
      <c r="N55" s="5"/>
      <c r="O55" s="5"/>
      <c r="P55" s="76"/>
    </row>
    <row r="56" spans="1:16" ht="54.75" customHeight="1" x14ac:dyDescent="0.2">
      <c r="A56" s="33" t="s">
        <v>2880</v>
      </c>
      <c r="B56" s="33" t="s">
        <v>3247</v>
      </c>
      <c r="C56" s="1014" t="s">
        <v>6133</v>
      </c>
      <c r="D56" s="1015"/>
      <c r="E56" s="33" t="s">
        <v>7046</v>
      </c>
      <c r="F56" s="33" t="s">
        <v>2855</v>
      </c>
      <c r="G56" s="317">
        <v>406.9</v>
      </c>
      <c r="H56" s="381" t="s">
        <v>85</v>
      </c>
      <c r="I56" s="660">
        <v>5311749.91</v>
      </c>
      <c r="J56" s="34" t="s">
        <v>5452</v>
      </c>
      <c r="K56" s="34" t="s">
        <v>13420</v>
      </c>
      <c r="M56" s="5"/>
      <c r="N56" s="5"/>
      <c r="O56" s="5"/>
      <c r="P56" s="76"/>
    </row>
    <row r="57" spans="1:16" s="5" customFormat="1" ht="57.75" customHeight="1" x14ac:dyDescent="0.2">
      <c r="A57" s="33" t="s">
        <v>2881</v>
      </c>
      <c r="B57" s="33" t="s">
        <v>6895</v>
      </c>
      <c r="C57" s="1020" t="s">
        <v>6133</v>
      </c>
      <c r="D57" s="1020"/>
      <c r="E57" s="31" t="s">
        <v>7044</v>
      </c>
      <c r="F57" s="211" t="s">
        <v>2854</v>
      </c>
      <c r="G57" s="317">
        <f>273.1-1</f>
        <v>272.10000000000002</v>
      </c>
      <c r="H57" s="324" t="s">
        <v>85</v>
      </c>
      <c r="I57" s="27"/>
      <c r="J57" s="84" t="s">
        <v>7168</v>
      </c>
      <c r="K57" s="34" t="s">
        <v>12605</v>
      </c>
    </row>
    <row r="58" spans="1:16" ht="56.25" x14ac:dyDescent="0.2">
      <c r="A58" s="33" t="s">
        <v>2882</v>
      </c>
      <c r="B58" s="31" t="s">
        <v>292</v>
      </c>
      <c r="C58" s="1019" t="s">
        <v>6134</v>
      </c>
      <c r="D58" s="1019"/>
      <c r="E58" s="31" t="s">
        <v>7075</v>
      </c>
      <c r="F58" s="31" t="s">
        <v>2884</v>
      </c>
      <c r="G58" s="319">
        <v>55.4</v>
      </c>
      <c r="H58" s="28" t="s">
        <v>517</v>
      </c>
      <c r="I58" s="27"/>
      <c r="J58" s="32" t="s">
        <v>9337</v>
      </c>
      <c r="K58" s="32" t="s">
        <v>12606</v>
      </c>
    </row>
    <row r="59" spans="1:16" ht="26.25" customHeight="1" x14ac:dyDescent="0.2">
      <c r="A59" s="33" t="s">
        <v>2216</v>
      </c>
      <c r="B59" s="31" t="s">
        <v>292</v>
      </c>
      <c r="C59" s="1039" t="s">
        <v>6135</v>
      </c>
      <c r="D59" s="1039"/>
      <c r="E59" s="48" t="s">
        <v>5429</v>
      </c>
      <c r="F59" s="31" t="s">
        <v>2885</v>
      </c>
      <c r="G59" s="319">
        <v>83.6</v>
      </c>
      <c r="H59" s="28" t="s">
        <v>517</v>
      </c>
      <c r="I59" s="27"/>
      <c r="J59" s="32" t="s">
        <v>287</v>
      </c>
      <c r="K59" s="32"/>
    </row>
    <row r="60" spans="1:16" s="60" customFormat="1" ht="33.75" x14ac:dyDescent="0.2">
      <c r="A60" s="33" t="s">
        <v>2217</v>
      </c>
      <c r="B60" s="33" t="s">
        <v>292</v>
      </c>
      <c r="C60" s="1011" t="s">
        <v>6136</v>
      </c>
      <c r="D60" s="1011"/>
      <c r="E60" s="30" t="s">
        <v>9125</v>
      </c>
      <c r="F60" s="33" t="s">
        <v>516</v>
      </c>
      <c r="G60" s="317">
        <v>40.299999999999997</v>
      </c>
      <c r="H60" s="381" t="s">
        <v>517</v>
      </c>
      <c r="I60" s="174">
        <v>751005.73</v>
      </c>
      <c r="J60" s="34" t="s">
        <v>515</v>
      </c>
      <c r="K60" s="34" t="s">
        <v>515</v>
      </c>
      <c r="L60" s="5"/>
      <c r="M60" s="5"/>
      <c r="N60" s="5"/>
      <c r="O60" s="5"/>
      <c r="P60" s="76"/>
    </row>
    <row r="61" spans="1:16" s="5" customFormat="1" ht="38.25" customHeight="1" x14ac:dyDescent="0.2">
      <c r="A61" s="33" t="s">
        <v>2218</v>
      </c>
      <c r="B61" s="33" t="s">
        <v>2431</v>
      </c>
      <c r="C61" s="1011" t="s">
        <v>6137</v>
      </c>
      <c r="D61" s="1011"/>
      <c r="E61" s="1025" t="s">
        <v>3857</v>
      </c>
      <c r="F61" s="33" t="s">
        <v>5461</v>
      </c>
      <c r="G61" s="317">
        <f>127.4-34.2</f>
        <v>93.2</v>
      </c>
      <c r="H61" s="381" t="s">
        <v>517</v>
      </c>
      <c r="I61" s="660"/>
      <c r="J61" s="34" t="s">
        <v>287</v>
      </c>
      <c r="K61" s="34" t="s">
        <v>287</v>
      </c>
    </row>
    <row r="62" spans="1:16" s="5" customFormat="1" ht="41.25" customHeight="1" x14ac:dyDescent="0.2">
      <c r="A62" s="33" t="s">
        <v>6995</v>
      </c>
      <c r="B62" s="33" t="s">
        <v>2431</v>
      </c>
      <c r="C62" s="1019" t="s">
        <v>6137</v>
      </c>
      <c r="D62" s="1019"/>
      <c r="E62" s="1025"/>
      <c r="F62" s="31" t="s">
        <v>3943</v>
      </c>
      <c r="G62" s="319">
        <v>34.200000000000003</v>
      </c>
      <c r="H62" s="28" t="s">
        <v>517</v>
      </c>
      <c r="I62" s="27"/>
      <c r="J62" s="32" t="s">
        <v>3051</v>
      </c>
      <c r="K62" s="32" t="s">
        <v>12607</v>
      </c>
      <c r="L62" s="64"/>
      <c r="M62" s="64"/>
      <c r="N62" s="64"/>
      <c r="O62" s="64"/>
    </row>
    <row r="63" spans="1:16" s="60" customFormat="1" ht="22.5" x14ac:dyDescent="0.2">
      <c r="A63" s="33" t="s">
        <v>2219</v>
      </c>
      <c r="B63" s="33" t="s">
        <v>292</v>
      </c>
      <c r="C63" s="1011" t="s">
        <v>6116</v>
      </c>
      <c r="D63" s="1011"/>
      <c r="E63" s="30" t="s">
        <v>5798</v>
      </c>
      <c r="F63" s="33" t="s">
        <v>168</v>
      </c>
      <c r="G63" s="317">
        <v>96.6</v>
      </c>
      <c r="H63" s="381" t="s">
        <v>169</v>
      </c>
      <c r="I63" s="660">
        <v>2012477</v>
      </c>
      <c r="J63" s="34" t="s">
        <v>5765</v>
      </c>
      <c r="K63" s="34" t="s">
        <v>12608</v>
      </c>
      <c r="P63" s="76"/>
    </row>
    <row r="64" spans="1:16" s="5" customFormat="1" ht="33" customHeight="1" x14ac:dyDescent="0.2">
      <c r="A64" s="33" t="s">
        <v>2220</v>
      </c>
      <c r="B64" s="33" t="s">
        <v>292</v>
      </c>
      <c r="C64" s="1011" t="s">
        <v>6116</v>
      </c>
      <c r="D64" s="1011"/>
      <c r="E64" s="20" t="s">
        <v>6198</v>
      </c>
      <c r="F64" s="33" t="s">
        <v>3049</v>
      </c>
      <c r="G64" s="317">
        <v>10.3</v>
      </c>
      <c r="H64" s="381" t="s">
        <v>169</v>
      </c>
      <c r="I64" s="660"/>
      <c r="J64" s="108" t="s">
        <v>3299</v>
      </c>
      <c r="K64" s="34" t="s">
        <v>12609</v>
      </c>
    </row>
    <row r="65" spans="1:16" s="5" customFormat="1" ht="27.75" customHeight="1" x14ac:dyDescent="0.2">
      <c r="A65" s="33" t="s">
        <v>2221</v>
      </c>
      <c r="B65" s="33" t="s">
        <v>292</v>
      </c>
      <c r="C65" s="1011" t="s">
        <v>6116</v>
      </c>
      <c r="D65" s="1011"/>
      <c r="E65" s="48" t="s">
        <v>7043</v>
      </c>
      <c r="F65" s="33" t="s">
        <v>4008</v>
      </c>
      <c r="G65" s="321">
        <v>27.2</v>
      </c>
      <c r="H65" s="381" t="s">
        <v>169</v>
      </c>
      <c r="I65" s="660">
        <v>86156.27</v>
      </c>
      <c r="J65" s="108" t="s">
        <v>4009</v>
      </c>
      <c r="K65" s="642" t="s">
        <v>12610</v>
      </c>
    </row>
    <row r="66" spans="1:16" s="5" customFormat="1" ht="45" customHeight="1" x14ac:dyDescent="0.2">
      <c r="A66" s="33" t="s">
        <v>2222</v>
      </c>
      <c r="B66" s="33" t="s">
        <v>292</v>
      </c>
      <c r="C66" s="1011" t="s">
        <v>6138</v>
      </c>
      <c r="D66" s="1011"/>
      <c r="E66" s="48" t="s">
        <v>3857</v>
      </c>
      <c r="F66" s="33" t="s">
        <v>2886</v>
      </c>
      <c r="G66" s="317">
        <v>17.100000000000001</v>
      </c>
      <c r="H66" s="381" t="s">
        <v>169</v>
      </c>
      <c r="I66" s="660">
        <v>145699.01</v>
      </c>
      <c r="J66" s="49" t="s">
        <v>11493</v>
      </c>
      <c r="K66" s="49" t="s">
        <v>11494</v>
      </c>
      <c r="P66" s="67"/>
    </row>
    <row r="67" spans="1:16" s="5" customFormat="1" ht="48" customHeight="1" x14ac:dyDescent="0.2">
      <c r="A67" s="33" t="s">
        <v>2223</v>
      </c>
      <c r="B67" s="33" t="s">
        <v>292</v>
      </c>
      <c r="C67" s="1011" t="s">
        <v>6844</v>
      </c>
      <c r="D67" s="1011"/>
      <c r="E67" s="20" t="s">
        <v>6980</v>
      </c>
      <c r="F67" s="33" t="s">
        <v>2887</v>
      </c>
      <c r="G67" s="317">
        <f>126.9-36.1</f>
        <v>90.800000000000011</v>
      </c>
      <c r="H67" s="381" t="s">
        <v>65</v>
      </c>
      <c r="I67" s="50">
        <v>2283233.02</v>
      </c>
      <c r="J67" s="34" t="s">
        <v>12198</v>
      </c>
      <c r="K67" s="34" t="s">
        <v>12611</v>
      </c>
      <c r="P67" s="67"/>
    </row>
    <row r="68" spans="1:16" s="5" customFormat="1" ht="33" customHeight="1" x14ac:dyDescent="0.2">
      <c r="A68" s="33" t="s">
        <v>11475</v>
      </c>
      <c r="B68" s="33" t="s">
        <v>292</v>
      </c>
      <c r="C68" s="1011" t="s">
        <v>6844</v>
      </c>
      <c r="D68" s="1011"/>
      <c r="E68" s="20"/>
      <c r="F68" s="33" t="s">
        <v>2887</v>
      </c>
      <c r="G68" s="317">
        <v>36.1</v>
      </c>
      <c r="H68" s="381" t="s">
        <v>65</v>
      </c>
      <c r="I68" s="50"/>
      <c r="J68" s="34" t="s">
        <v>12199</v>
      </c>
      <c r="K68" s="34" t="s">
        <v>13886</v>
      </c>
      <c r="P68" s="67"/>
    </row>
    <row r="69" spans="1:16" s="60" customFormat="1" ht="51.75" customHeight="1" x14ac:dyDescent="0.2">
      <c r="A69" s="33" t="s">
        <v>2224</v>
      </c>
      <c r="B69" s="33" t="s">
        <v>292</v>
      </c>
      <c r="C69" s="1011" t="s">
        <v>6845</v>
      </c>
      <c r="D69" s="1011"/>
      <c r="E69" s="30" t="s">
        <v>6273</v>
      </c>
      <c r="F69" s="33" t="s">
        <v>2831</v>
      </c>
      <c r="G69" s="317">
        <v>81.7</v>
      </c>
      <c r="H69" s="381" t="s">
        <v>78</v>
      </c>
      <c r="I69" s="660"/>
      <c r="J69" s="790" t="s">
        <v>8914</v>
      </c>
      <c r="K69" s="826" t="s">
        <v>14851</v>
      </c>
      <c r="L69" s="5"/>
      <c r="M69" s="5"/>
      <c r="N69" s="5"/>
      <c r="O69" s="5"/>
      <c r="P69" s="76"/>
    </row>
    <row r="70" spans="1:16" s="62" customFormat="1" ht="58.5" customHeight="1" x14ac:dyDescent="0.2">
      <c r="A70" s="33" t="s">
        <v>2225</v>
      </c>
      <c r="B70" s="33" t="s">
        <v>292</v>
      </c>
      <c r="C70" s="1011" t="s">
        <v>6139</v>
      </c>
      <c r="D70" s="1011"/>
      <c r="E70" s="30" t="s">
        <v>7038</v>
      </c>
      <c r="F70" s="33" t="s">
        <v>164</v>
      </c>
      <c r="G70" s="317">
        <f>681.9</f>
        <v>681.9</v>
      </c>
      <c r="H70" s="381" t="s">
        <v>513</v>
      </c>
      <c r="I70" s="660">
        <v>2956684.31</v>
      </c>
      <c r="J70" s="34" t="s">
        <v>3906</v>
      </c>
      <c r="K70" s="34" t="s">
        <v>12612</v>
      </c>
      <c r="P70" s="187"/>
    </row>
    <row r="71" spans="1:16" s="117" customFormat="1" ht="58.5" customHeight="1" x14ac:dyDescent="0.2">
      <c r="A71" s="33" t="s">
        <v>6996</v>
      </c>
      <c r="B71" s="33" t="s">
        <v>7039</v>
      </c>
      <c r="C71" s="1011" t="s">
        <v>6139</v>
      </c>
      <c r="D71" s="1011"/>
      <c r="E71" s="30" t="s">
        <v>6898</v>
      </c>
      <c r="F71" s="33" t="s">
        <v>164</v>
      </c>
      <c r="G71" s="317">
        <f>193.7</f>
        <v>193.7</v>
      </c>
      <c r="H71" s="381" t="s">
        <v>513</v>
      </c>
      <c r="I71" s="660">
        <v>839873.51</v>
      </c>
      <c r="J71" s="84" t="s">
        <v>7168</v>
      </c>
      <c r="K71" s="34" t="s">
        <v>12605</v>
      </c>
      <c r="P71" s="188"/>
    </row>
    <row r="72" spans="1:16" s="117" customFormat="1" ht="45" x14ac:dyDescent="0.2">
      <c r="A72" s="33" t="s">
        <v>6997</v>
      </c>
      <c r="B72" s="31" t="s">
        <v>292</v>
      </c>
      <c r="C72" s="1011" t="s">
        <v>6139</v>
      </c>
      <c r="D72" s="1011"/>
      <c r="E72" s="30" t="s">
        <v>7037</v>
      </c>
      <c r="F72" s="31" t="s">
        <v>82</v>
      </c>
      <c r="G72" s="319">
        <f>28.7+11.9</f>
        <v>40.6</v>
      </c>
      <c r="H72" s="28" t="s">
        <v>513</v>
      </c>
      <c r="I72" s="27">
        <v>176039.57</v>
      </c>
      <c r="J72" s="32" t="s">
        <v>5834</v>
      </c>
      <c r="K72" s="32" t="s">
        <v>12613</v>
      </c>
      <c r="L72" s="4"/>
      <c r="M72" s="4"/>
      <c r="N72" s="4"/>
      <c r="O72" s="4"/>
      <c r="P72" s="188"/>
    </row>
    <row r="73" spans="1:16" s="60" customFormat="1" ht="46.5" customHeight="1" x14ac:dyDescent="0.2">
      <c r="A73" s="33" t="s">
        <v>6998</v>
      </c>
      <c r="B73" s="33" t="s">
        <v>292</v>
      </c>
      <c r="C73" s="1011" t="s">
        <v>6139</v>
      </c>
      <c r="D73" s="1011"/>
      <c r="E73" s="84" t="s">
        <v>3892</v>
      </c>
      <c r="F73" s="652" t="s">
        <v>5424</v>
      </c>
      <c r="G73" s="317">
        <f>71.8</f>
        <v>71.8</v>
      </c>
      <c r="H73" s="381">
        <v>1983</v>
      </c>
      <c r="I73" s="660">
        <v>1338020.93</v>
      </c>
      <c r="J73" s="34" t="s">
        <v>5833</v>
      </c>
      <c r="K73" s="34" t="s">
        <v>12614</v>
      </c>
      <c r="P73" s="76"/>
    </row>
    <row r="74" spans="1:16" s="60" customFormat="1" ht="34.5" customHeight="1" x14ac:dyDescent="0.2">
      <c r="A74" s="33" t="s">
        <v>6999</v>
      </c>
      <c r="B74" s="33" t="s">
        <v>2431</v>
      </c>
      <c r="C74" s="1011" t="s">
        <v>6140</v>
      </c>
      <c r="D74" s="1011"/>
      <c r="E74" s="84" t="s">
        <v>3890</v>
      </c>
      <c r="F74" s="33" t="s">
        <v>82</v>
      </c>
      <c r="G74" s="317">
        <v>29.1</v>
      </c>
      <c r="H74" s="381" t="s">
        <v>167</v>
      </c>
      <c r="I74" s="174">
        <v>242260.07</v>
      </c>
      <c r="J74" s="649" t="s">
        <v>12200</v>
      </c>
      <c r="K74" s="704" t="s">
        <v>13841</v>
      </c>
      <c r="P74" s="76"/>
    </row>
    <row r="75" spans="1:16" ht="59.25" customHeight="1" x14ac:dyDescent="0.2">
      <c r="A75" s="33" t="s">
        <v>2226</v>
      </c>
      <c r="B75" s="33" t="s">
        <v>3348</v>
      </c>
      <c r="C75" s="1011" t="s">
        <v>6147</v>
      </c>
      <c r="D75" s="1011"/>
      <c r="E75" s="33" t="s">
        <v>3698</v>
      </c>
      <c r="F75" s="33" t="s">
        <v>66</v>
      </c>
      <c r="G75" s="317">
        <v>493.26</v>
      </c>
      <c r="H75" s="381" t="s">
        <v>165</v>
      </c>
      <c r="I75" s="660">
        <v>1897045.78</v>
      </c>
      <c r="J75" s="34" t="s">
        <v>9231</v>
      </c>
      <c r="K75" s="642" t="s">
        <v>12615</v>
      </c>
    </row>
    <row r="76" spans="1:16" s="60" customFormat="1" ht="63" customHeight="1" x14ac:dyDescent="0.2">
      <c r="A76" s="33" t="s">
        <v>5091</v>
      </c>
      <c r="B76" s="33" t="s">
        <v>292</v>
      </c>
      <c r="C76" s="1011" t="s">
        <v>6147</v>
      </c>
      <c r="D76" s="1011"/>
      <c r="E76" s="20" t="s">
        <v>9294</v>
      </c>
      <c r="F76" s="33" t="s">
        <v>66</v>
      </c>
      <c r="G76" s="317">
        <v>269.3</v>
      </c>
      <c r="H76" s="381" t="s">
        <v>79</v>
      </c>
      <c r="I76" s="660">
        <v>4875221.08</v>
      </c>
      <c r="J76" s="34" t="s">
        <v>3948</v>
      </c>
      <c r="K76" s="642" t="s">
        <v>12603</v>
      </c>
      <c r="L76" s="5"/>
      <c r="M76" s="5"/>
      <c r="N76" s="5"/>
      <c r="O76" s="5"/>
      <c r="P76" s="76"/>
    </row>
    <row r="77" spans="1:16" s="60" customFormat="1" ht="45.75" customHeight="1" x14ac:dyDescent="0.2">
      <c r="A77" s="33" t="s">
        <v>2227</v>
      </c>
      <c r="B77" s="33" t="s">
        <v>292</v>
      </c>
      <c r="C77" s="1014" t="s">
        <v>6141</v>
      </c>
      <c r="D77" s="1015"/>
      <c r="E77" s="20" t="s">
        <v>3697</v>
      </c>
      <c r="F77" s="33" t="s">
        <v>3779</v>
      </c>
      <c r="G77" s="52">
        <f>575.9-29.42-145.68</f>
        <v>400.8</v>
      </c>
      <c r="H77" s="20" t="s">
        <v>165</v>
      </c>
      <c r="I77" s="1021">
        <v>3331834.9</v>
      </c>
      <c r="J77" s="34" t="s">
        <v>11499</v>
      </c>
      <c r="K77" s="34" t="s">
        <v>13867</v>
      </c>
      <c r="L77" s="705" t="s">
        <v>13811</v>
      </c>
      <c r="M77" s="5"/>
      <c r="N77" s="5"/>
      <c r="O77" s="5"/>
      <c r="P77" s="76"/>
    </row>
    <row r="78" spans="1:16" s="60" customFormat="1" ht="58.5" customHeight="1" x14ac:dyDescent="0.2">
      <c r="A78" s="33" t="s">
        <v>13421</v>
      </c>
      <c r="B78" s="33" t="s">
        <v>292</v>
      </c>
      <c r="C78" s="1014" t="s">
        <v>6141</v>
      </c>
      <c r="D78" s="1015"/>
      <c r="E78" s="20" t="s">
        <v>3697</v>
      </c>
      <c r="F78" s="33" t="s">
        <v>3779</v>
      </c>
      <c r="G78" s="52">
        <v>29.42</v>
      </c>
      <c r="H78" s="20" t="s">
        <v>165</v>
      </c>
      <c r="I78" s="1022"/>
      <c r="J78" s="34" t="s">
        <v>3948</v>
      </c>
      <c r="K78" s="642" t="s">
        <v>13422</v>
      </c>
      <c r="L78" s="5"/>
      <c r="M78" s="5"/>
      <c r="N78" s="5"/>
      <c r="O78" s="5"/>
      <c r="P78" s="76"/>
    </row>
    <row r="79" spans="1:16" s="60" customFormat="1" ht="34.5" customHeight="1" x14ac:dyDescent="0.2">
      <c r="A79" s="33" t="s">
        <v>13480</v>
      </c>
      <c r="B79" s="33" t="s">
        <v>292</v>
      </c>
      <c r="C79" s="1014" t="s">
        <v>6141</v>
      </c>
      <c r="D79" s="1015"/>
      <c r="E79" s="20" t="s">
        <v>3697</v>
      </c>
      <c r="F79" s="33" t="s">
        <v>3779</v>
      </c>
      <c r="G79" s="52">
        <v>145.68</v>
      </c>
      <c r="H79" s="20" t="s">
        <v>165</v>
      </c>
      <c r="I79" s="1023"/>
      <c r="J79" s="34" t="s">
        <v>11725</v>
      </c>
      <c r="K79" s="642"/>
      <c r="L79" s="5"/>
      <c r="M79" s="5"/>
      <c r="N79" s="5"/>
      <c r="O79" s="5"/>
      <c r="P79" s="76"/>
    </row>
    <row r="80" spans="1:16" s="60" customFormat="1" ht="62.25" customHeight="1" x14ac:dyDescent="0.2">
      <c r="A80" s="33" t="s">
        <v>5092</v>
      </c>
      <c r="B80" s="33" t="s">
        <v>3347</v>
      </c>
      <c r="C80" s="1011" t="s">
        <v>6141</v>
      </c>
      <c r="D80" s="1011"/>
      <c r="E80" s="33" t="s">
        <v>3699</v>
      </c>
      <c r="F80" s="33" t="s">
        <v>3346</v>
      </c>
      <c r="G80" s="317">
        <v>327.9</v>
      </c>
      <c r="H80" s="381" t="s">
        <v>165</v>
      </c>
      <c r="I80" s="660">
        <v>6073651.1900000004</v>
      </c>
      <c r="J80" s="34" t="s">
        <v>3949</v>
      </c>
      <c r="K80" s="34" t="s">
        <v>12594</v>
      </c>
      <c r="L80" s="5"/>
      <c r="M80" s="5"/>
      <c r="N80" s="5"/>
      <c r="O80" s="5"/>
      <c r="P80" s="76"/>
    </row>
    <row r="81" spans="1:16" s="60" customFormat="1" ht="36" customHeight="1" x14ac:dyDescent="0.2">
      <c r="A81" s="33" t="s">
        <v>2228</v>
      </c>
      <c r="B81" s="33" t="s">
        <v>292</v>
      </c>
      <c r="C81" s="1011" t="s">
        <v>6147</v>
      </c>
      <c r="D81" s="1011"/>
      <c r="E81" s="20" t="s">
        <v>9126</v>
      </c>
      <c r="F81" s="33" t="s">
        <v>3349</v>
      </c>
      <c r="G81" s="317">
        <f>148-20</f>
        <v>128</v>
      </c>
      <c r="H81" s="381" t="s">
        <v>165</v>
      </c>
      <c r="I81" s="174">
        <v>2370928.19</v>
      </c>
      <c r="J81" s="34" t="s">
        <v>3928</v>
      </c>
      <c r="K81" s="34" t="s">
        <v>12616</v>
      </c>
      <c r="L81" s="5"/>
      <c r="M81" s="5"/>
      <c r="N81" s="5"/>
      <c r="O81" s="5"/>
      <c r="P81" s="76"/>
    </row>
    <row r="82" spans="1:16" s="60" customFormat="1" ht="48" customHeight="1" x14ac:dyDescent="0.2">
      <c r="A82" s="33" t="s">
        <v>7000</v>
      </c>
      <c r="B82" s="33" t="s">
        <v>292</v>
      </c>
      <c r="C82" s="1011" t="s">
        <v>6141</v>
      </c>
      <c r="D82" s="1011"/>
      <c r="E82" s="20" t="s">
        <v>9126</v>
      </c>
      <c r="F82" s="33" t="s">
        <v>3349</v>
      </c>
      <c r="G82" s="317">
        <v>20</v>
      </c>
      <c r="H82" s="381" t="s">
        <v>165</v>
      </c>
      <c r="I82" s="174">
        <v>370457.53</v>
      </c>
      <c r="J82" s="34" t="s">
        <v>5832</v>
      </c>
      <c r="K82" s="34" t="s">
        <v>3928</v>
      </c>
      <c r="L82" s="5"/>
      <c r="M82" s="5"/>
      <c r="N82" s="5"/>
      <c r="O82" s="5"/>
      <c r="P82" s="76"/>
    </row>
    <row r="83" spans="1:16" s="60" customFormat="1" ht="60" customHeight="1" x14ac:dyDescent="0.2">
      <c r="A83" s="211" t="s">
        <v>2229</v>
      </c>
      <c r="B83" s="211" t="s">
        <v>292</v>
      </c>
      <c r="C83" s="1020" t="s">
        <v>6145</v>
      </c>
      <c r="D83" s="1020"/>
      <c r="E83" s="211" t="s">
        <v>10778</v>
      </c>
      <c r="F83" s="211" t="s">
        <v>5465</v>
      </c>
      <c r="G83" s="325">
        <v>413.5</v>
      </c>
      <c r="H83" s="324" t="s">
        <v>19</v>
      </c>
      <c r="I83" s="212">
        <v>85003.199999999997</v>
      </c>
      <c r="J83" s="34" t="s">
        <v>6825</v>
      </c>
      <c r="K83" s="34" t="s">
        <v>12617</v>
      </c>
      <c r="L83" s="5"/>
      <c r="M83" s="5"/>
      <c r="N83" s="5"/>
      <c r="O83" s="5"/>
    </row>
    <row r="84" spans="1:16" ht="45" x14ac:dyDescent="0.2">
      <c r="A84" s="33" t="s">
        <v>2230</v>
      </c>
      <c r="B84" s="31" t="s">
        <v>292</v>
      </c>
      <c r="C84" s="1019" t="s">
        <v>6145</v>
      </c>
      <c r="D84" s="1019"/>
      <c r="E84" s="48"/>
      <c r="F84" s="31" t="s">
        <v>3048</v>
      </c>
      <c r="G84" s="319">
        <v>19.600000000000001</v>
      </c>
      <c r="H84" s="28" t="s">
        <v>19</v>
      </c>
      <c r="I84" s="27"/>
      <c r="J84" s="32" t="s">
        <v>13806</v>
      </c>
      <c r="K84" s="32" t="s">
        <v>13913</v>
      </c>
    </row>
    <row r="85" spans="1:16" s="60" customFormat="1" ht="58.5" customHeight="1" x14ac:dyDescent="0.2">
      <c r="A85" s="33" t="s">
        <v>2231</v>
      </c>
      <c r="B85" s="33" t="s">
        <v>292</v>
      </c>
      <c r="C85" s="1011" t="s">
        <v>6146</v>
      </c>
      <c r="D85" s="1011"/>
      <c r="E85" s="20" t="s">
        <v>10777</v>
      </c>
      <c r="F85" s="33" t="s">
        <v>3045</v>
      </c>
      <c r="G85" s="317">
        <f>117.9</f>
        <v>117.9</v>
      </c>
      <c r="H85" s="381" t="s">
        <v>171</v>
      </c>
      <c r="I85" s="660">
        <v>708077.93</v>
      </c>
      <c r="J85" s="34" t="s">
        <v>9231</v>
      </c>
      <c r="K85" s="642" t="s">
        <v>12618</v>
      </c>
      <c r="L85" s="5"/>
      <c r="M85" s="5"/>
      <c r="N85" s="5"/>
      <c r="O85" s="5"/>
      <c r="P85" s="76"/>
    </row>
    <row r="86" spans="1:16" s="5" customFormat="1" ht="36.75" customHeight="1" x14ac:dyDescent="0.2">
      <c r="A86" s="33" t="s">
        <v>2232</v>
      </c>
      <c r="B86" s="646" t="s">
        <v>5571</v>
      </c>
      <c r="C86" s="1009" t="s">
        <v>6142</v>
      </c>
      <c r="D86" s="1009"/>
      <c r="E86" s="20" t="s">
        <v>5955</v>
      </c>
      <c r="F86" s="642" t="s">
        <v>164</v>
      </c>
      <c r="G86" s="327">
        <v>593.9</v>
      </c>
      <c r="H86" s="26" t="s">
        <v>39</v>
      </c>
      <c r="I86" s="660">
        <v>122088.02</v>
      </c>
      <c r="J86" s="646" t="s">
        <v>5936</v>
      </c>
      <c r="K86" s="646" t="s">
        <v>12619</v>
      </c>
    </row>
    <row r="87" spans="1:16" s="5" customFormat="1" ht="41.25" customHeight="1" x14ac:dyDescent="0.2">
      <c r="A87" s="33" t="s">
        <v>2233</v>
      </c>
      <c r="B87" s="33" t="s">
        <v>8700</v>
      </c>
      <c r="C87" s="1014" t="s">
        <v>6144</v>
      </c>
      <c r="D87" s="1015"/>
      <c r="E87" s="33" t="s">
        <v>7164</v>
      </c>
      <c r="F87" s="33" t="s">
        <v>5466</v>
      </c>
      <c r="G87" s="317">
        <v>296.5</v>
      </c>
      <c r="H87" s="381" t="s">
        <v>167</v>
      </c>
      <c r="I87" s="50">
        <v>1780704.88</v>
      </c>
      <c r="J87" s="646" t="s">
        <v>5936</v>
      </c>
      <c r="K87" s="34" t="s">
        <v>12616</v>
      </c>
    </row>
    <row r="88" spans="1:16" s="194" customFormat="1" ht="68.25" customHeight="1" x14ac:dyDescent="0.2">
      <c r="A88" s="33" t="s">
        <v>2234</v>
      </c>
      <c r="B88" s="33" t="s">
        <v>292</v>
      </c>
      <c r="C88" s="1014" t="s">
        <v>13423</v>
      </c>
      <c r="D88" s="1015"/>
      <c r="E88" s="989" t="s">
        <v>12590</v>
      </c>
      <c r="F88" s="33" t="s">
        <v>11185</v>
      </c>
      <c r="G88" s="603">
        <f>162.6</f>
        <v>162.6</v>
      </c>
      <c r="H88" s="285" t="s">
        <v>80</v>
      </c>
      <c r="I88" s="1021">
        <v>10731311.460000001</v>
      </c>
      <c r="J88" s="34" t="s">
        <v>12588</v>
      </c>
      <c r="K88" s="34" t="s">
        <v>13426</v>
      </c>
    </row>
    <row r="89" spans="1:16" s="5" customFormat="1" ht="66.75" customHeight="1" x14ac:dyDescent="0.2">
      <c r="A89" s="33" t="s">
        <v>6911</v>
      </c>
      <c r="B89" s="33" t="s">
        <v>292</v>
      </c>
      <c r="C89" s="1014" t="s">
        <v>13423</v>
      </c>
      <c r="D89" s="1015"/>
      <c r="E89" s="1024"/>
      <c r="F89" s="146" t="s">
        <v>11185</v>
      </c>
      <c r="G89" s="317">
        <f>170.7-8.1</f>
        <v>162.6</v>
      </c>
      <c r="H89" s="381" t="s">
        <v>80</v>
      </c>
      <c r="I89" s="1022"/>
      <c r="J89" s="34" t="s">
        <v>12588</v>
      </c>
      <c r="K89" s="686" t="s">
        <v>13427</v>
      </c>
    </row>
    <row r="90" spans="1:16" s="5" customFormat="1" ht="35.25" customHeight="1" x14ac:dyDescent="0.2">
      <c r="A90" s="33" t="s">
        <v>7001</v>
      </c>
      <c r="B90" s="33" t="s">
        <v>292</v>
      </c>
      <c r="C90" s="1014" t="s">
        <v>13423</v>
      </c>
      <c r="D90" s="1015"/>
      <c r="E90" s="1024"/>
      <c r="F90" s="146" t="s">
        <v>11184</v>
      </c>
      <c r="G90" s="317">
        <v>8.1</v>
      </c>
      <c r="H90" s="381" t="s">
        <v>80</v>
      </c>
      <c r="I90" s="1022"/>
      <c r="J90" s="34" t="s">
        <v>13428</v>
      </c>
      <c r="K90" s="34" t="s">
        <v>13429</v>
      </c>
    </row>
    <row r="91" spans="1:16" s="5" customFormat="1" ht="36" customHeight="1" x14ac:dyDescent="0.2">
      <c r="A91" s="33" t="s">
        <v>12201</v>
      </c>
      <c r="B91" s="33" t="s">
        <v>292</v>
      </c>
      <c r="C91" s="1014" t="s">
        <v>13423</v>
      </c>
      <c r="D91" s="1015"/>
      <c r="E91" s="1024"/>
      <c r="F91" s="33" t="s">
        <v>11184</v>
      </c>
      <c r="G91" s="604">
        <f>217.7</f>
        <v>217.7</v>
      </c>
      <c r="H91" s="381" t="s">
        <v>80</v>
      </c>
      <c r="I91" s="1022"/>
      <c r="J91" s="1012" t="s">
        <v>12588</v>
      </c>
      <c r="K91" s="34" t="s">
        <v>13430</v>
      </c>
    </row>
    <row r="92" spans="1:16" s="5" customFormat="1" ht="38.25" customHeight="1" x14ac:dyDescent="0.2">
      <c r="A92" s="33" t="s">
        <v>13424</v>
      </c>
      <c r="B92" s="33" t="s">
        <v>13425</v>
      </c>
      <c r="C92" s="1014" t="s">
        <v>13423</v>
      </c>
      <c r="D92" s="1015"/>
      <c r="E92" s="990"/>
      <c r="F92" s="33" t="s">
        <v>12589</v>
      </c>
      <c r="G92" s="604">
        <v>82.8</v>
      </c>
      <c r="H92" s="595" t="s">
        <v>80</v>
      </c>
      <c r="I92" s="1023"/>
      <c r="J92" s="1013"/>
      <c r="K92" s="34" t="s">
        <v>13431</v>
      </c>
    </row>
    <row r="93" spans="1:16" s="60" customFormat="1" ht="78.75" customHeight="1" x14ac:dyDescent="0.2">
      <c r="A93" s="33" t="s">
        <v>2235</v>
      </c>
      <c r="B93" s="33" t="s">
        <v>292</v>
      </c>
      <c r="C93" s="1014" t="s">
        <v>6148</v>
      </c>
      <c r="D93" s="1015"/>
      <c r="E93" s="20" t="s">
        <v>6904</v>
      </c>
      <c r="F93" s="33" t="s">
        <v>4023</v>
      </c>
      <c r="G93" s="317">
        <f>132.9-90.5</f>
        <v>42.400000000000006</v>
      </c>
      <c r="H93" s="381" t="s">
        <v>502</v>
      </c>
      <c r="I93" s="660">
        <f>1260067.43/132.9*42.4</f>
        <v>402007.96863807371</v>
      </c>
      <c r="J93" s="34" t="s">
        <v>13433</v>
      </c>
      <c r="K93" s="34" t="s">
        <v>13829</v>
      </c>
      <c r="L93" s="5"/>
      <c r="M93" s="5"/>
      <c r="N93" s="5"/>
      <c r="O93" s="5"/>
      <c r="P93" s="76"/>
    </row>
    <row r="94" spans="1:16" s="60" customFormat="1" ht="78.75" customHeight="1" x14ac:dyDescent="0.2">
      <c r="A94" s="33" t="s">
        <v>13432</v>
      </c>
      <c r="B94" s="33" t="s">
        <v>292</v>
      </c>
      <c r="C94" s="1014" t="s">
        <v>6148</v>
      </c>
      <c r="D94" s="1015"/>
      <c r="E94" s="20" t="s">
        <v>6904</v>
      </c>
      <c r="F94" s="33" t="s">
        <v>4023</v>
      </c>
      <c r="G94" s="317">
        <v>90.5</v>
      </c>
      <c r="H94" s="381" t="s">
        <v>502</v>
      </c>
      <c r="I94" s="660">
        <f>1260067.43/132.9*90.5</f>
        <v>858059.46136192617</v>
      </c>
      <c r="J94" s="34" t="s">
        <v>13434</v>
      </c>
      <c r="K94" s="34" t="s">
        <v>13826</v>
      </c>
      <c r="L94" s="5"/>
      <c r="M94" s="5"/>
      <c r="N94" s="5"/>
      <c r="O94" s="5"/>
      <c r="P94" s="76"/>
    </row>
    <row r="95" spans="1:16" ht="39" customHeight="1" x14ac:dyDescent="0.2">
      <c r="A95" s="33" t="s">
        <v>2236</v>
      </c>
      <c r="B95" s="31" t="s">
        <v>292</v>
      </c>
      <c r="C95" s="1011" t="s">
        <v>6148</v>
      </c>
      <c r="D95" s="1011"/>
      <c r="E95" s="48" t="s">
        <v>6651</v>
      </c>
      <c r="F95" s="31" t="s">
        <v>176</v>
      </c>
      <c r="G95" s="319">
        <v>155.19999999999999</v>
      </c>
      <c r="H95" s="381" t="s">
        <v>502</v>
      </c>
      <c r="I95" s="27">
        <v>1471500.86</v>
      </c>
      <c r="J95" s="34" t="s">
        <v>12202</v>
      </c>
      <c r="K95" s="34" t="s">
        <v>12620</v>
      </c>
    </row>
    <row r="96" spans="1:16" ht="22.5" x14ac:dyDescent="0.2">
      <c r="A96" s="33" t="s">
        <v>2237</v>
      </c>
      <c r="B96" s="31" t="s">
        <v>292</v>
      </c>
      <c r="C96" s="1011" t="s">
        <v>6148</v>
      </c>
      <c r="D96" s="1011"/>
      <c r="E96" s="48" t="s">
        <v>6652</v>
      </c>
      <c r="F96" s="651" t="s">
        <v>177</v>
      </c>
      <c r="G96" s="319">
        <f>151.9-21.8</f>
        <v>130.1</v>
      </c>
      <c r="H96" s="381" t="s">
        <v>502</v>
      </c>
      <c r="I96" s="1016">
        <v>1440212.51</v>
      </c>
      <c r="J96" s="34" t="s">
        <v>3293</v>
      </c>
      <c r="K96" s="32"/>
    </row>
    <row r="97" spans="1:16" ht="81" customHeight="1" x14ac:dyDescent="0.2">
      <c r="A97" s="33" t="s">
        <v>13435</v>
      </c>
      <c r="B97" s="687" t="s">
        <v>292</v>
      </c>
      <c r="C97" s="1014" t="s">
        <v>6148</v>
      </c>
      <c r="D97" s="1015"/>
      <c r="E97" s="48" t="s">
        <v>6652</v>
      </c>
      <c r="F97" s="651" t="s">
        <v>177</v>
      </c>
      <c r="G97" s="319">
        <v>21.8</v>
      </c>
      <c r="H97" s="381" t="s">
        <v>502</v>
      </c>
      <c r="I97" s="1017"/>
      <c r="J97" s="34" t="s">
        <v>13436</v>
      </c>
      <c r="K97" s="34" t="s">
        <v>13825</v>
      </c>
    </row>
    <row r="98" spans="1:16" ht="79.5" customHeight="1" x14ac:dyDescent="0.2">
      <c r="A98" s="33" t="s">
        <v>2238</v>
      </c>
      <c r="B98" s="31" t="s">
        <v>292</v>
      </c>
      <c r="C98" s="1033" t="s">
        <v>6148</v>
      </c>
      <c r="D98" s="1034"/>
      <c r="E98" s="48" t="s">
        <v>6906</v>
      </c>
      <c r="F98" s="31" t="s">
        <v>175</v>
      </c>
      <c r="G98" s="319">
        <f>27.2-13.6</f>
        <v>13.6</v>
      </c>
      <c r="H98" s="381" t="s">
        <v>502</v>
      </c>
      <c r="I98" s="27"/>
      <c r="J98" s="32" t="s">
        <v>5830</v>
      </c>
      <c r="K98" s="32" t="s">
        <v>13893</v>
      </c>
    </row>
    <row r="99" spans="1:16" ht="78.75" x14ac:dyDescent="0.2">
      <c r="A99" s="33" t="s">
        <v>6912</v>
      </c>
      <c r="B99" s="31" t="s">
        <v>292</v>
      </c>
      <c r="C99" s="1032" t="s">
        <v>6148</v>
      </c>
      <c r="D99" s="1032"/>
      <c r="E99" s="48"/>
      <c r="F99" s="31" t="s">
        <v>175</v>
      </c>
      <c r="G99" s="319">
        <v>13.6</v>
      </c>
      <c r="H99" s="381" t="s">
        <v>502</v>
      </c>
      <c r="I99" s="27"/>
      <c r="J99" s="32" t="s">
        <v>5830</v>
      </c>
      <c r="K99" s="32" t="s">
        <v>13859</v>
      </c>
    </row>
    <row r="100" spans="1:16" ht="26.25" customHeight="1" x14ac:dyDescent="0.2">
      <c r="A100" s="33" t="s">
        <v>2239</v>
      </c>
      <c r="B100" s="33" t="s">
        <v>292</v>
      </c>
      <c r="C100" s="1035" t="s">
        <v>6148</v>
      </c>
      <c r="D100" s="1035"/>
      <c r="E100" s="20" t="s">
        <v>6905</v>
      </c>
      <c r="F100" s="33" t="s">
        <v>4455</v>
      </c>
      <c r="G100" s="317">
        <v>51.5</v>
      </c>
      <c r="H100" s="381" t="s">
        <v>502</v>
      </c>
      <c r="I100" s="660"/>
      <c r="J100" s="34" t="s">
        <v>3293</v>
      </c>
      <c r="K100" s="34"/>
    </row>
    <row r="101" spans="1:16" ht="45.75" customHeight="1" x14ac:dyDescent="0.2">
      <c r="A101" s="33" t="s">
        <v>2240</v>
      </c>
      <c r="B101" s="31" t="s">
        <v>292</v>
      </c>
      <c r="C101" s="1032" t="s">
        <v>6148</v>
      </c>
      <c r="D101" s="1032"/>
      <c r="E101" s="48" t="s">
        <v>6826</v>
      </c>
      <c r="F101" s="31" t="s">
        <v>20</v>
      </c>
      <c r="G101" s="319">
        <v>25.6</v>
      </c>
      <c r="H101" s="381" t="s">
        <v>502</v>
      </c>
      <c r="I101" s="27"/>
      <c r="J101" s="32" t="s">
        <v>5831</v>
      </c>
      <c r="K101" s="32" t="s">
        <v>13897</v>
      </c>
    </row>
    <row r="102" spans="1:16" s="60" customFormat="1" ht="25.5" customHeight="1" x14ac:dyDescent="0.2">
      <c r="A102" s="33" t="s">
        <v>2241</v>
      </c>
      <c r="B102" s="33" t="s">
        <v>292</v>
      </c>
      <c r="C102" s="1011" t="s">
        <v>6149</v>
      </c>
      <c r="D102" s="1011"/>
      <c r="E102" s="33" t="s">
        <v>3888</v>
      </c>
      <c r="F102" s="33" t="s">
        <v>5436</v>
      </c>
      <c r="G102" s="317">
        <v>48</v>
      </c>
      <c r="H102" s="381" t="s">
        <v>165</v>
      </c>
      <c r="I102" s="660"/>
      <c r="J102" s="32" t="s">
        <v>11002</v>
      </c>
      <c r="K102" s="32" t="s">
        <v>12621</v>
      </c>
      <c r="L102" s="5"/>
      <c r="M102" s="5"/>
      <c r="N102" s="5"/>
      <c r="O102" s="5"/>
    </row>
    <row r="103" spans="1:16" s="5" customFormat="1" ht="22.5" customHeight="1" x14ac:dyDescent="0.2">
      <c r="A103" s="33" t="s">
        <v>2242</v>
      </c>
      <c r="B103" s="33" t="s">
        <v>292</v>
      </c>
      <c r="C103" s="1011" t="s">
        <v>6149</v>
      </c>
      <c r="D103" s="1011"/>
      <c r="E103" s="20" t="s">
        <v>3887</v>
      </c>
      <c r="F103" s="33" t="s">
        <v>5437</v>
      </c>
      <c r="G103" s="317">
        <f>256.5-27.4-13-9</f>
        <v>207.1</v>
      </c>
      <c r="H103" s="381" t="s">
        <v>165</v>
      </c>
      <c r="I103" s="660"/>
      <c r="J103" s="34" t="s">
        <v>3293</v>
      </c>
      <c r="K103" s="34"/>
    </row>
    <row r="104" spans="1:16" ht="24.75" customHeight="1" x14ac:dyDescent="0.2">
      <c r="A104" s="33" t="s">
        <v>7002</v>
      </c>
      <c r="B104" s="33" t="s">
        <v>292</v>
      </c>
      <c r="C104" s="1011" t="s">
        <v>6149</v>
      </c>
      <c r="D104" s="1011"/>
      <c r="E104" s="20" t="s">
        <v>3887</v>
      </c>
      <c r="F104" s="33" t="s">
        <v>9253</v>
      </c>
      <c r="G104" s="317">
        <f>256.5-27.4-13-207.1</f>
        <v>9</v>
      </c>
      <c r="H104" s="381" t="s">
        <v>165</v>
      </c>
      <c r="I104" s="660"/>
      <c r="J104" s="34" t="s">
        <v>3293</v>
      </c>
      <c r="K104" s="34"/>
    </row>
    <row r="105" spans="1:16" s="5" customFormat="1" ht="49.5" customHeight="1" x14ac:dyDescent="0.2">
      <c r="A105" s="33" t="s">
        <v>7003</v>
      </c>
      <c r="B105" s="33" t="s">
        <v>292</v>
      </c>
      <c r="C105" s="1011" t="s">
        <v>6149</v>
      </c>
      <c r="D105" s="1011"/>
      <c r="E105" s="20" t="s">
        <v>3887</v>
      </c>
      <c r="F105" s="33" t="s">
        <v>5438</v>
      </c>
      <c r="G105" s="317">
        <v>27.4</v>
      </c>
      <c r="H105" s="381" t="s">
        <v>165</v>
      </c>
      <c r="I105" s="660"/>
      <c r="J105" s="34" t="s">
        <v>5448</v>
      </c>
      <c r="K105" s="34" t="s">
        <v>5448</v>
      </c>
    </row>
    <row r="106" spans="1:16" s="60" customFormat="1" ht="60" customHeight="1" x14ac:dyDescent="0.2">
      <c r="A106" s="33" t="s">
        <v>7004</v>
      </c>
      <c r="B106" s="33" t="s">
        <v>292</v>
      </c>
      <c r="C106" s="1011" t="s">
        <v>6149</v>
      </c>
      <c r="D106" s="1011"/>
      <c r="E106" s="20" t="s">
        <v>3887</v>
      </c>
      <c r="F106" s="33" t="s">
        <v>5439</v>
      </c>
      <c r="G106" s="317">
        <f>256.5-27.4-207.1-9</f>
        <v>13</v>
      </c>
      <c r="H106" s="381" t="s">
        <v>165</v>
      </c>
      <c r="I106" s="660"/>
      <c r="J106" s="34" t="s">
        <v>5829</v>
      </c>
      <c r="K106" s="34" t="s">
        <v>12622</v>
      </c>
      <c r="P106" s="76"/>
    </row>
    <row r="107" spans="1:16" s="60" customFormat="1" ht="36" customHeight="1" x14ac:dyDescent="0.2">
      <c r="A107" s="33" t="s">
        <v>12624</v>
      </c>
      <c r="B107" s="33" t="s">
        <v>292</v>
      </c>
      <c r="C107" s="1014" t="s">
        <v>6149</v>
      </c>
      <c r="D107" s="1015"/>
      <c r="E107" s="20" t="s">
        <v>3887</v>
      </c>
      <c r="F107" s="33" t="s">
        <v>5438</v>
      </c>
      <c r="G107" s="317">
        <v>20.9</v>
      </c>
      <c r="H107" s="381" t="s">
        <v>165</v>
      </c>
      <c r="I107" s="660"/>
      <c r="J107" s="34" t="s">
        <v>12625</v>
      </c>
      <c r="K107" s="34" t="s">
        <v>12626</v>
      </c>
      <c r="P107" s="76"/>
    </row>
    <row r="108" spans="1:16" ht="45" customHeight="1" x14ac:dyDescent="0.2">
      <c r="A108" s="33" t="s">
        <v>2243</v>
      </c>
      <c r="B108" s="31" t="s">
        <v>292</v>
      </c>
      <c r="C108" s="1019" t="s">
        <v>11372</v>
      </c>
      <c r="D108" s="1019"/>
      <c r="E108" s="48" t="s">
        <v>11359</v>
      </c>
      <c r="F108" s="31" t="s">
        <v>173</v>
      </c>
      <c r="G108" s="319">
        <f>57+7.1</f>
        <v>64.099999999999994</v>
      </c>
      <c r="H108" s="28" t="s">
        <v>79</v>
      </c>
      <c r="I108" s="42">
        <v>279827.90999999997</v>
      </c>
      <c r="J108" s="32" t="s">
        <v>12203</v>
      </c>
      <c r="K108" s="32" t="s">
        <v>12623</v>
      </c>
      <c r="L108" s="60"/>
      <c r="M108" s="60"/>
      <c r="N108" s="60"/>
      <c r="O108" s="60"/>
      <c r="P108" s="76"/>
    </row>
    <row r="109" spans="1:16" ht="34.5" customHeight="1" x14ac:dyDescent="0.2">
      <c r="A109" s="33" t="s">
        <v>2244</v>
      </c>
      <c r="B109" s="31" t="s">
        <v>292</v>
      </c>
      <c r="C109" s="1019" t="s">
        <v>6150</v>
      </c>
      <c r="D109" s="1019"/>
      <c r="E109" s="48" t="s">
        <v>10445</v>
      </c>
      <c r="F109" s="31" t="s">
        <v>173</v>
      </c>
      <c r="G109" s="319">
        <v>73.099999999999994</v>
      </c>
      <c r="H109" s="28" t="s">
        <v>79</v>
      </c>
      <c r="I109" s="42">
        <v>587158.4</v>
      </c>
      <c r="J109" s="32" t="s">
        <v>5828</v>
      </c>
      <c r="K109" s="32" t="s">
        <v>13885</v>
      </c>
    </row>
    <row r="110" spans="1:16" s="5" customFormat="1" ht="24" customHeight="1" x14ac:dyDescent="0.2">
      <c r="A110" s="33" t="s">
        <v>2245</v>
      </c>
      <c r="B110" s="33" t="s">
        <v>292</v>
      </c>
      <c r="C110" s="1019" t="s">
        <v>6150</v>
      </c>
      <c r="D110" s="1019"/>
      <c r="E110" s="20" t="s">
        <v>10446</v>
      </c>
      <c r="F110" s="33" t="s">
        <v>21</v>
      </c>
      <c r="G110" s="317">
        <v>164.4</v>
      </c>
      <c r="H110" s="381" t="s">
        <v>79</v>
      </c>
      <c r="I110" s="660"/>
      <c r="J110" s="34" t="s">
        <v>12204</v>
      </c>
      <c r="K110" s="34" t="s">
        <v>12627</v>
      </c>
      <c r="P110" s="67"/>
    </row>
    <row r="111" spans="1:16" s="60" customFormat="1" ht="35.25" customHeight="1" x14ac:dyDescent="0.2">
      <c r="A111" s="66" t="s">
        <v>5842</v>
      </c>
      <c r="B111" s="33" t="s">
        <v>8943</v>
      </c>
      <c r="C111" s="1031" t="s">
        <v>6155</v>
      </c>
      <c r="D111" s="1031"/>
      <c r="E111" s="20" t="s">
        <v>8696</v>
      </c>
      <c r="F111" s="66" t="s">
        <v>164</v>
      </c>
      <c r="G111" s="323">
        <v>360.8</v>
      </c>
      <c r="H111" s="312" t="s">
        <v>3047</v>
      </c>
      <c r="I111" s="57"/>
      <c r="J111" s="78" t="s">
        <v>8590</v>
      </c>
      <c r="K111" s="78" t="s">
        <v>8590</v>
      </c>
      <c r="L111" s="5"/>
      <c r="M111" s="5"/>
      <c r="N111" s="5"/>
      <c r="O111" s="5"/>
      <c r="P111" s="76"/>
    </row>
    <row r="112" spans="1:16" s="60" customFormat="1" ht="44.25" customHeight="1" x14ac:dyDescent="0.2">
      <c r="A112" s="33" t="s">
        <v>2246</v>
      </c>
      <c r="B112" s="33" t="s">
        <v>292</v>
      </c>
      <c r="C112" s="1011" t="s">
        <v>6152</v>
      </c>
      <c r="D112" s="1011"/>
      <c r="E112" s="20" t="s">
        <v>5056</v>
      </c>
      <c r="F112" s="33" t="s">
        <v>3990</v>
      </c>
      <c r="G112" s="317">
        <f>121.9-51</f>
        <v>70.900000000000006</v>
      </c>
      <c r="H112" s="381" t="s">
        <v>533</v>
      </c>
      <c r="I112" s="50">
        <v>1687581.16</v>
      </c>
      <c r="J112" s="34" t="s">
        <v>5827</v>
      </c>
      <c r="K112" s="34" t="s">
        <v>12205</v>
      </c>
      <c r="P112" s="76"/>
    </row>
    <row r="113" spans="1:16" s="60" customFormat="1" ht="33" customHeight="1" x14ac:dyDescent="0.2">
      <c r="A113" s="33" t="s">
        <v>10950</v>
      </c>
      <c r="B113" s="33" t="s">
        <v>11013</v>
      </c>
      <c r="C113" s="1011" t="s">
        <v>6152</v>
      </c>
      <c r="D113" s="1011"/>
      <c r="E113" s="20" t="s">
        <v>11012</v>
      </c>
      <c r="F113" s="33" t="s">
        <v>3990</v>
      </c>
      <c r="G113" s="317">
        <v>51</v>
      </c>
      <c r="H113" s="381" t="s">
        <v>533</v>
      </c>
      <c r="I113" s="50">
        <v>1068483.6599999999</v>
      </c>
      <c r="J113" s="34" t="s">
        <v>3962</v>
      </c>
      <c r="K113" s="34" t="s">
        <v>10951</v>
      </c>
      <c r="L113" s="5"/>
      <c r="M113" s="5"/>
      <c r="N113" s="5"/>
      <c r="O113" s="5"/>
      <c r="P113" s="76"/>
    </row>
    <row r="114" spans="1:16" s="60" customFormat="1" ht="33" customHeight="1" x14ac:dyDescent="0.2">
      <c r="A114" s="33" t="s">
        <v>2247</v>
      </c>
      <c r="B114" s="33" t="s">
        <v>292</v>
      </c>
      <c r="C114" s="1011" t="s">
        <v>6154</v>
      </c>
      <c r="D114" s="1011"/>
      <c r="E114" s="20"/>
      <c r="F114" s="33" t="s">
        <v>3990</v>
      </c>
      <c r="G114" s="317">
        <v>26.8</v>
      </c>
      <c r="H114" s="381" t="s">
        <v>533</v>
      </c>
      <c r="I114" s="660"/>
      <c r="J114" s="34" t="s">
        <v>5826</v>
      </c>
      <c r="K114" s="34" t="s">
        <v>13883</v>
      </c>
      <c r="L114" s="5"/>
      <c r="M114" s="5"/>
      <c r="N114" s="5"/>
      <c r="O114" s="5"/>
      <c r="P114" s="76"/>
    </row>
    <row r="115" spans="1:16" s="60" customFormat="1" ht="36" customHeight="1" x14ac:dyDescent="0.2">
      <c r="A115" s="33" t="s">
        <v>2248</v>
      </c>
      <c r="B115" s="33" t="s">
        <v>292</v>
      </c>
      <c r="C115" s="1011" t="s">
        <v>6152</v>
      </c>
      <c r="D115" s="1011"/>
      <c r="E115" s="20"/>
      <c r="F115" s="33" t="s">
        <v>3990</v>
      </c>
      <c r="G115" s="317">
        <f>61.8+8.9</f>
        <v>70.7</v>
      </c>
      <c r="H115" s="381" t="s">
        <v>533</v>
      </c>
      <c r="I115" s="660"/>
      <c r="J115" s="34" t="s">
        <v>3299</v>
      </c>
      <c r="K115" s="34" t="s">
        <v>12628</v>
      </c>
      <c r="P115" s="76"/>
    </row>
    <row r="116" spans="1:16" s="60" customFormat="1" ht="34.5" customHeight="1" x14ac:dyDescent="0.2">
      <c r="A116" s="33" t="s">
        <v>2249</v>
      </c>
      <c r="B116" s="33" t="s">
        <v>292</v>
      </c>
      <c r="C116" s="1011" t="s">
        <v>6152</v>
      </c>
      <c r="D116" s="1011"/>
      <c r="E116" s="12"/>
      <c r="F116" s="33" t="s">
        <v>4427</v>
      </c>
      <c r="G116" s="318">
        <v>15.7</v>
      </c>
      <c r="H116" s="312" t="s">
        <v>533</v>
      </c>
      <c r="I116" s="12"/>
      <c r="J116" s="34" t="s">
        <v>5573</v>
      </c>
      <c r="K116" s="34" t="s">
        <v>5573</v>
      </c>
    </row>
    <row r="117" spans="1:16" s="5" customFormat="1" ht="27" customHeight="1" x14ac:dyDescent="0.2">
      <c r="A117" s="33" t="s">
        <v>2250</v>
      </c>
      <c r="B117" s="33" t="s">
        <v>3993</v>
      </c>
      <c r="C117" s="1011" t="s">
        <v>6152</v>
      </c>
      <c r="D117" s="1011"/>
      <c r="E117" s="20"/>
      <c r="F117" s="33" t="s">
        <v>3992</v>
      </c>
      <c r="G117" s="317">
        <f>45.1-10.7</f>
        <v>34.400000000000006</v>
      </c>
      <c r="H117" s="381" t="s">
        <v>533</v>
      </c>
      <c r="I117" s="660"/>
      <c r="J117" s="646" t="s">
        <v>11162</v>
      </c>
      <c r="K117" s="646" t="s">
        <v>11162</v>
      </c>
    </row>
    <row r="118" spans="1:16" s="5" customFormat="1" ht="27" customHeight="1" x14ac:dyDescent="0.2">
      <c r="A118" s="33" t="s">
        <v>7005</v>
      </c>
      <c r="B118" s="33" t="s">
        <v>292</v>
      </c>
      <c r="C118" s="1011" t="s">
        <v>6152</v>
      </c>
      <c r="D118" s="1011"/>
      <c r="E118" s="20"/>
      <c r="F118" s="33" t="s">
        <v>3992</v>
      </c>
      <c r="G118" s="317">
        <v>10.7</v>
      </c>
      <c r="H118" s="381" t="s">
        <v>533</v>
      </c>
      <c r="I118" s="660"/>
      <c r="J118" s="34" t="s">
        <v>3293</v>
      </c>
      <c r="K118" s="34"/>
    </row>
    <row r="119" spans="1:16" s="5" customFormat="1" ht="24.75" customHeight="1" x14ac:dyDescent="0.2">
      <c r="A119" s="33" t="s">
        <v>2251</v>
      </c>
      <c r="B119" s="33" t="s">
        <v>292</v>
      </c>
      <c r="C119" s="1011" t="s">
        <v>6152</v>
      </c>
      <c r="D119" s="1011"/>
      <c r="E119" s="20"/>
      <c r="F119" s="33" t="s">
        <v>3992</v>
      </c>
      <c r="G119" s="317">
        <v>50.9</v>
      </c>
      <c r="H119" s="381" t="s">
        <v>533</v>
      </c>
      <c r="I119" s="660"/>
      <c r="J119" s="34" t="s">
        <v>4373</v>
      </c>
      <c r="K119" s="34" t="s">
        <v>3991</v>
      </c>
    </row>
    <row r="120" spans="1:16" s="5" customFormat="1" ht="24.75" customHeight="1" x14ac:dyDescent="0.2">
      <c r="A120" s="33" t="s">
        <v>2252</v>
      </c>
      <c r="B120" s="33" t="s">
        <v>292</v>
      </c>
      <c r="C120" s="1011" t="s">
        <v>6152</v>
      </c>
      <c r="D120" s="1011"/>
      <c r="E120" s="20"/>
      <c r="F120" s="33" t="s">
        <v>3989</v>
      </c>
      <c r="G120" s="317">
        <v>19</v>
      </c>
      <c r="H120" s="381" t="s">
        <v>533</v>
      </c>
      <c r="I120" s="660"/>
      <c r="J120" s="34" t="s">
        <v>3293</v>
      </c>
      <c r="K120" s="34"/>
    </row>
    <row r="121" spans="1:16" s="5" customFormat="1" ht="34.5" customHeight="1" x14ac:dyDescent="0.2">
      <c r="A121" s="33" t="s">
        <v>4077</v>
      </c>
      <c r="B121" s="33" t="s">
        <v>3987</v>
      </c>
      <c r="C121" s="1011" t="s">
        <v>6152</v>
      </c>
      <c r="D121" s="1011"/>
      <c r="E121" s="20" t="s">
        <v>5489</v>
      </c>
      <c r="F121" s="33" t="s">
        <v>3988</v>
      </c>
      <c r="G121" s="317">
        <v>17.399999999999999</v>
      </c>
      <c r="H121" s="381" t="s">
        <v>533</v>
      </c>
      <c r="I121" s="660"/>
      <c r="J121" s="49" t="s">
        <v>5825</v>
      </c>
      <c r="K121" s="49" t="s">
        <v>5825</v>
      </c>
    </row>
    <row r="122" spans="1:16" s="5" customFormat="1" ht="27.75" customHeight="1" x14ac:dyDescent="0.2">
      <c r="A122" s="33" t="s">
        <v>2253</v>
      </c>
      <c r="B122" s="33" t="s">
        <v>292</v>
      </c>
      <c r="C122" s="1011" t="s">
        <v>6153</v>
      </c>
      <c r="D122" s="1011"/>
      <c r="E122" s="20"/>
      <c r="F122" s="33" t="s">
        <v>290</v>
      </c>
      <c r="G122" s="317">
        <f>50-32</f>
        <v>18</v>
      </c>
      <c r="H122" s="381" t="s">
        <v>552</v>
      </c>
      <c r="I122" s="660"/>
      <c r="J122" s="34"/>
      <c r="K122" s="34"/>
    </row>
    <row r="123" spans="1:16" s="60" customFormat="1" ht="33.75" x14ac:dyDescent="0.2">
      <c r="A123" s="33" t="s">
        <v>7006</v>
      </c>
      <c r="B123" s="33" t="s">
        <v>292</v>
      </c>
      <c r="C123" s="1011" t="s">
        <v>6153</v>
      </c>
      <c r="D123" s="1011"/>
      <c r="E123" s="30"/>
      <c r="F123" s="33" t="s">
        <v>4019</v>
      </c>
      <c r="G123" s="317">
        <v>32</v>
      </c>
      <c r="H123" s="381" t="s">
        <v>552</v>
      </c>
      <c r="I123" s="660"/>
      <c r="J123" s="34" t="s">
        <v>12206</v>
      </c>
      <c r="K123" s="34"/>
      <c r="L123" s="5"/>
      <c r="M123" s="5"/>
      <c r="N123" s="5"/>
      <c r="O123" s="5"/>
    </row>
    <row r="124" spans="1:16" s="5" customFormat="1" ht="26.25" customHeight="1" x14ac:dyDescent="0.2">
      <c r="A124" s="33" t="s">
        <v>2254</v>
      </c>
      <c r="B124" s="33" t="s">
        <v>292</v>
      </c>
      <c r="C124" s="1011" t="s">
        <v>6151</v>
      </c>
      <c r="D124" s="1011"/>
      <c r="E124" s="20" t="s">
        <v>10443</v>
      </c>
      <c r="F124" s="33" t="s">
        <v>179</v>
      </c>
      <c r="G124" s="474">
        <v>31.7</v>
      </c>
      <c r="H124" s="381" t="s">
        <v>3610</v>
      </c>
      <c r="I124" s="660">
        <v>602595.13</v>
      </c>
      <c r="J124" s="34" t="s">
        <v>12492</v>
      </c>
      <c r="K124" s="34" t="s">
        <v>12629</v>
      </c>
    </row>
    <row r="125" spans="1:16" s="69" customFormat="1" ht="44.25" customHeight="1" x14ac:dyDescent="0.2">
      <c r="A125" s="33" t="s">
        <v>2255</v>
      </c>
      <c r="B125" s="145" t="s">
        <v>3835</v>
      </c>
      <c r="C125" s="1018" t="s">
        <v>291</v>
      </c>
      <c r="D125" s="1018"/>
      <c r="E125" s="110" t="s">
        <v>4663</v>
      </c>
      <c r="F125" s="145" t="s">
        <v>4748</v>
      </c>
      <c r="G125" s="328">
        <f>1023.7-2</f>
        <v>1021.7</v>
      </c>
      <c r="H125" s="329">
        <v>1993</v>
      </c>
      <c r="I125" s="1041">
        <f>397880.73/1935.5*1023.7</f>
        <v>210442.0063554637</v>
      </c>
      <c r="J125" s="108" t="s">
        <v>3299</v>
      </c>
      <c r="K125" s="108" t="s">
        <v>3299</v>
      </c>
    </row>
    <row r="126" spans="1:16" s="69" customFormat="1" ht="25.5" customHeight="1" x14ac:dyDescent="0.2">
      <c r="A126" s="33" t="s">
        <v>7007</v>
      </c>
      <c r="B126" s="33" t="s">
        <v>292</v>
      </c>
      <c r="C126" s="1018" t="s">
        <v>291</v>
      </c>
      <c r="D126" s="1018"/>
      <c r="E126" s="110"/>
      <c r="F126" s="145" t="s">
        <v>5464</v>
      </c>
      <c r="G126" s="328">
        <v>2</v>
      </c>
      <c r="H126" s="329">
        <v>1993</v>
      </c>
      <c r="I126" s="1041"/>
      <c r="J126" s="108" t="s">
        <v>4384</v>
      </c>
      <c r="K126" s="395" t="s">
        <v>12630</v>
      </c>
    </row>
    <row r="127" spans="1:16" s="5" customFormat="1" ht="34.5" customHeight="1" x14ac:dyDescent="0.2">
      <c r="A127" s="33" t="s">
        <v>2256</v>
      </c>
      <c r="B127" s="33" t="s">
        <v>11227</v>
      </c>
      <c r="C127" s="1011" t="s">
        <v>5730</v>
      </c>
      <c r="D127" s="1011"/>
      <c r="E127" s="20" t="s">
        <v>10774</v>
      </c>
      <c r="F127" s="33" t="s">
        <v>5432</v>
      </c>
      <c r="G127" s="317">
        <v>210.3</v>
      </c>
      <c r="H127" s="381" t="s">
        <v>79</v>
      </c>
      <c r="I127" s="660">
        <v>735517.94</v>
      </c>
      <c r="J127" s="34" t="s">
        <v>11161</v>
      </c>
      <c r="K127" s="34" t="s">
        <v>12631</v>
      </c>
      <c r="P127" s="67"/>
    </row>
    <row r="128" spans="1:16" s="60" customFormat="1" ht="51.75" customHeight="1" x14ac:dyDescent="0.2">
      <c r="A128" s="33" t="s">
        <v>2257</v>
      </c>
      <c r="B128" s="33" t="s">
        <v>292</v>
      </c>
      <c r="C128" s="1011" t="s">
        <v>6085</v>
      </c>
      <c r="D128" s="1011"/>
      <c r="E128" s="642" t="s">
        <v>5816</v>
      </c>
      <c r="F128" s="33" t="s">
        <v>5040</v>
      </c>
      <c r="G128" s="317">
        <v>244.3</v>
      </c>
      <c r="H128" s="381" t="s">
        <v>67</v>
      </c>
      <c r="I128" s="660"/>
      <c r="J128" s="34" t="s">
        <v>3951</v>
      </c>
      <c r="K128" s="34" t="s">
        <v>12632</v>
      </c>
      <c r="P128" s="76"/>
    </row>
    <row r="129" spans="1:16" s="60" customFormat="1" ht="73.5" customHeight="1" x14ac:dyDescent="0.2">
      <c r="A129" s="33" t="s">
        <v>2258</v>
      </c>
      <c r="B129" s="33" t="s">
        <v>292</v>
      </c>
      <c r="C129" s="1011" t="s">
        <v>6085</v>
      </c>
      <c r="D129" s="1011"/>
      <c r="E129" s="642" t="s">
        <v>5817</v>
      </c>
      <c r="F129" s="33" t="s">
        <v>5039</v>
      </c>
      <c r="G129" s="318">
        <f>60.1+23.25</f>
        <v>83.35</v>
      </c>
      <c r="H129" s="381" t="s">
        <v>67</v>
      </c>
      <c r="I129" s="660">
        <v>1587567.31</v>
      </c>
      <c r="J129" s="34" t="s">
        <v>5463</v>
      </c>
      <c r="K129" s="12" t="s">
        <v>12633</v>
      </c>
      <c r="P129" s="76"/>
    </row>
    <row r="130" spans="1:16" s="60" customFormat="1" ht="54" customHeight="1" x14ac:dyDescent="0.2">
      <c r="A130" s="33" t="s">
        <v>2259</v>
      </c>
      <c r="B130" s="33" t="s">
        <v>292</v>
      </c>
      <c r="C130" s="1011" t="s">
        <v>6085</v>
      </c>
      <c r="D130" s="1011"/>
      <c r="E130" s="20" t="s">
        <v>5818</v>
      </c>
      <c r="F130" s="33" t="s">
        <v>5039</v>
      </c>
      <c r="G130" s="317">
        <f>67.5-37.5</f>
        <v>30</v>
      </c>
      <c r="H130" s="381" t="s">
        <v>67</v>
      </c>
      <c r="I130" s="660">
        <v>571409.94999999995</v>
      </c>
      <c r="J130" s="34" t="s">
        <v>9232</v>
      </c>
      <c r="K130" s="642" t="s">
        <v>12615</v>
      </c>
      <c r="L130" s="5"/>
      <c r="M130" s="5"/>
      <c r="N130" s="5"/>
      <c r="O130" s="5"/>
      <c r="P130" s="76"/>
    </row>
    <row r="131" spans="1:16" s="5" customFormat="1" ht="57.75" customHeight="1" x14ac:dyDescent="0.2">
      <c r="A131" s="33" t="s">
        <v>12636</v>
      </c>
      <c r="B131" s="33" t="s">
        <v>292</v>
      </c>
      <c r="C131" s="1020" t="s">
        <v>6086</v>
      </c>
      <c r="D131" s="1020"/>
      <c r="E131" s="30" t="s">
        <v>12634</v>
      </c>
      <c r="F131" s="33" t="s">
        <v>5799</v>
      </c>
      <c r="G131" s="317">
        <f>18.8+29.3</f>
        <v>48.1</v>
      </c>
      <c r="H131" s="381" t="s">
        <v>502</v>
      </c>
      <c r="I131" s="660">
        <f>29412.64+75255.94</f>
        <v>104668.58</v>
      </c>
      <c r="J131" s="34" t="s">
        <v>503</v>
      </c>
      <c r="K131" s="34" t="s">
        <v>12635</v>
      </c>
    </row>
    <row r="132" spans="1:16" s="60" customFormat="1" ht="45.75" customHeight="1" x14ac:dyDescent="0.2">
      <c r="A132" s="33" t="s">
        <v>2260</v>
      </c>
      <c r="B132" s="33" t="s">
        <v>292</v>
      </c>
      <c r="C132" s="1020" t="s">
        <v>6086</v>
      </c>
      <c r="D132" s="1020"/>
      <c r="E132" s="30" t="s">
        <v>6631</v>
      </c>
      <c r="F132" s="33" t="s">
        <v>3918</v>
      </c>
      <c r="G132" s="317">
        <v>22.3</v>
      </c>
      <c r="H132" s="381" t="s">
        <v>502</v>
      </c>
      <c r="I132" s="660"/>
      <c r="J132" s="34" t="s">
        <v>3951</v>
      </c>
      <c r="K132" s="34" t="s">
        <v>12637</v>
      </c>
    </row>
    <row r="133" spans="1:16" ht="33.75" x14ac:dyDescent="0.2">
      <c r="A133" s="33" t="s">
        <v>2261</v>
      </c>
      <c r="B133" s="33" t="s">
        <v>292</v>
      </c>
      <c r="C133" s="1011" t="s">
        <v>6087</v>
      </c>
      <c r="D133" s="1011"/>
      <c r="E133" s="20" t="s">
        <v>6287</v>
      </c>
      <c r="F133" s="33" t="s">
        <v>6310</v>
      </c>
      <c r="G133" s="317">
        <v>42</v>
      </c>
      <c r="H133" s="381" t="s">
        <v>532</v>
      </c>
      <c r="I133" s="660">
        <v>36327.480000000003</v>
      </c>
      <c r="J133" s="34" t="s">
        <v>3919</v>
      </c>
      <c r="K133" s="34" t="s">
        <v>12638</v>
      </c>
    </row>
    <row r="134" spans="1:16" ht="57" customHeight="1" x14ac:dyDescent="0.2">
      <c r="A134" s="33" t="s">
        <v>2262</v>
      </c>
      <c r="B134" s="33" t="s">
        <v>292</v>
      </c>
      <c r="C134" s="1014" t="s">
        <v>6088</v>
      </c>
      <c r="D134" s="1015"/>
      <c r="E134" s="20" t="s">
        <v>10438</v>
      </c>
      <c r="F134" s="33" t="s">
        <v>6311</v>
      </c>
      <c r="G134" s="317">
        <v>32.5</v>
      </c>
      <c r="H134" s="381" t="s">
        <v>65</v>
      </c>
      <c r="I134" s="660">
        <v>178719.13</v>
      </c>
      <c r="J134" s="34" t="s">
        <v>3920</v>
      </c>
      <c r="K134" s="34" t="s">
        <v>13420</v>
      </c>
    </row>
    <row r="135" spans="1:16" s="5" customFormat="1" ht="24.75" customHeight="1" x14ac:dyDescent="0.2">
      <c r="A135" s="33" t="s">
        <v>2263</v>
      </c>
      <c r="B135" s="33" t="s">
        <v>292</v>
      </c>
      <c r="C135" s="1011" t="s">
        <v>6089</v>
      </c>
      <c r="D135" s="1011"/>
      <c r="E135" s="987" t="s">
        <v>5888</v>
      </c>
      <c r="F135" s="648" t="s">
        <v>6310</v>
      </c>
      <c r="G135" s="317">
        <f>208.8-73.15</f>
        <v>135.65</v>
      </c>
      <c r="H135" s="381" t="s">
        <v>3994</v>
      </c>
      <c r="I135" s="660"/>
      <c r="J135" s="12" t="s">
        <v>12207</v>
      </c>
      <c r="K135" s="12"/>
      <c r="P135" s="67"/>
    </row>
    <row r="136" spans="1:16" s="5" customFormat="1" ht="45" x14ac:dyDescent="0.2">
      <c r="A136" s="33" t="s">
        <v>7008</v>
      </c>
      <c r="B136" s="33" t="s">
        <v>292</v>
      </c>
      <c r="C136" s="1011" t="s">
        <v>6089</v>
      </c>
      <c r="D136" s="1011"/>
      <c r="E136" s="987"/>
      <c r="F136" s="648" t="s">
        <v>6310</v>
      </c>
      <c r="G136" s="318">
        <v>73.150000000000006</v>
      </c>
      <c r="H136" s="381" t="s">
        <v>3994</v>
      </c>
      <c r="I136" s="660"/>
      <c r="J136" s="34" t="s">
        <v>3917</v>
      </c>
      <c r="K136" s="34" t="s">
        <v>12639</v>
      </c>
      <c r="P136" s="67"/>
    </row>
    <row r="137" spans="1:16" s="5" customFormat="1" ht="36" customHeight="1" x14ac:dyDescent="0.2">
      <c r="A137" s="33" t="s">
        <v>2264</v>
      </c>
      <c r="B137" s="33" t="s">
        <v>2431</v>
      </c>
      <c r="C137" s="1011" t="s">
        <v>6927</v>
      </c>
      <c r="D137" s="1011"/>
      <c r="E137" s="984" t="s">
        <v>2839</v>
      </c>
      <c r="F137" s="33" t="s">
        <v>6312</v>
      </c>
      <c r="G137" s="317">
        <f>72.6-31</f>
        <v>41.599999999999994</v>
      </c>
      <c r="H137" s="381" t="s">
        <v>502</v>
      </c>
      <c r="I137" s="660"/>
      <c r="J137" s="34" t="s">
        <v>3293</v>
      </c>
      <c r="K137" s="34"/>
    </row>
    <row r="138" spans="1:16" s="5" customFormat="1" ht="39.75" customHeight="1" x14ac:dyDescent="0.2">
      <c r="A138" s="33" t="s">
        <v>10713</v>
      </c>
      <c r="B138" s="33" t="s">
        <v>2431</v>
      </c>
      <c r="C138" s="1011" t="s">
        <v>6927</v>
      </c>
      <c r="D138" s="1011"/>
      <c r="E138" s="986"/>
      <c r="F138" s="33" t="s">
        <v>6312</v>
      </c>
      <c r="G138" s="317">
        <v>31</v>
      </c>
      <c r="H138" s="381" t="s">
        <v>502</v>
      </c>
      <c r="I138" s="660"/>
      <c r="J138" s="34" t="s">
        <v>12640</v>
      </c>
      <c r="K138" s="34" t="s">
        <v>3293</v>
      </c>
    </row>
    <row r="139" spans="1:16" ht="56.25" x14ac:dyDescent="0.2">
      <c r="A139" s="33" t="s">
        <v>2265</v>
      </c>
      <c r="B139" s="33" t="s">
        <v>292</v>
      </c>
      <c r="C139" s="1011" t="s">
        <v>6090</v>
      </c>
      <c r="D139" s="1011"/>
      <c r="E139" s="20" t="s">
        <v>10444</v>
      </c>
      <c r="F139" s="33" t="s">
        <v>6315</v>
      </c>
      <c r="G139" s="317">
        <v>31.3</v>
      </c>
      <c r="H139" s="381" t="s">
        <v>4507</v>
      </c>
      <c r="I139" s="660"/>
      <c r="J139" s="34" t="s">
        <v>5452</v>
      </c>
      <c r="K139" s="34" t="s">
        <v>13420</v>
      </c>
    </row>
    <row r="140" spans="1:16" s="5" customFormat="1" ht="33.75" x14ac:dyDescent="0.2">
      <c r="A140" s="33" t="s">
        <v>2266</v>
      </c>
      <c r="B140" s="33" t="s">
        <v>292</v>
      </c>
      <c r="C140" s="1019" t="s">
        <v>6090</v>
      </c>
      <c r="D140" s="1019"/>
      <c r="E140" s="20" t="s">
        <v>6584</v>
      </c>
      <c r="F140" s="109" t="s">
        <v>6313</v>
      </c>
      <c r="G140" s="317">
        <v>91</v>
      </c>
      <c r="H140" s="381" t="s">
        <v>4507</v>
      </c>
      <c r="I140" s="660"/>
      <c r="J140" s="646" t="s">
        <v>11162</v>
      </c>
      <c r="K140" s="646" t="s">
        <v>12641</v>
      </c>
      <c r="P140" s="67"/>
    </row>
    <row r="141" spans="1:16" s="5" customFormat="1" ht="36" customHeight="1" x14ac:dyDescent="0.2">
      <c r="A141" s="33" t="s">
        <v>2267</v>
      </c>
      <c r="B141" s="33" t="s">
        <v>292</v>
      </c>
      <c r="C141" s="1019" t="s">
        <v>6090</v>
      </c>
      <c r="D141" s="1019"/>
      <c r="E141" s="12"/>
      <c r="F141" s="109" t="s">
        <v>6313</v>
      </c>
      <c r="G141" s="317">
        <f>92.8</f>
        <v>92.8</v>
      </c>
      <c r="H141" s="381" t="s">
        <v>4507</v>
      </c>
      <c r="I141" s="660"/>
      <c r="J141" s="20" t="s">
        <v>3293</v>
      </c>
      <c r="K141" s="34"/>
      <c r="P141" s="67"/>
    </row>
    <row r="142" spans="1:16" s="5" customFormat="1" ht="36" customHeight="1" x14ac:dyDescent="0.2">
      <c r="A142" s="33" t="s">
        <v>2268</v>
      </c>
      <c r="B142" s="33" t="s">
        <v>292</v>
      </c>
      <c r="C142" s="1011" t="s">
        <v>6091</v>
      </c>
      <c r="D142" s="1011"/>
      <c r="E142" s="20"/>
      <c r="F142" s="33" t="s">
        <v>6314</v>
      </c>
      <c r="G142" s="317">
        <v>55.6</v>
      </c>
      <c r="H142" s="381" t="s">
        <v>69</v>
      </c>
      <c r="I142" s="660"/>
      <c r="J142" s="20" t="s">
        <v>3293</v>
      </c>
      <c r="K142" s="34"/>
    </row>
    <row r="143" spans="1:16" ht="48.75" customHeight="1" x14ac:dyDescent="0.2">
      <c r="A143" s="33" t="s">
        <v>7009</v>
      </c>
      <c r="B143" s="33" t="s">
        <v>292</v>
      </c>
      <c r="C143" s="1019" t="s">
        <v>6092</v>
      </c>
      <c r="D143" s="1019"/>
      <c r="E143" s="380" t="s">
        <v>6250</v>
      </c>
      <c r="F143" s="31" t="s">
        <v>4444</v>
      </c>
      <c r="G143" s="319">
        <f>203</f>
        <v>203</v>
      </c>
      <c r="H143" s="28" t="s">
        <v>166</v>
      </c>
      <c r="I143" s="27"/>
      <c r="J143" s="32" t="s">
        <v>3279</v>
      </c>
      <c r="K143" s="32" t="s">
        <v>12642</v>
      </c>
    </row>
    <row r="144" spans="1:16" ht="35.25" customHeight="1" x14ac:dyDescent="0.2">
      <c r="A144" s="33" t="s">
        <v>2269</v>
      </c>
      <c r="B144" s="33" t="s">
        <v>292</v>
      </c>
      <c r="C144" s="1011" t="s">
        <v>6092</v>
      </c>
      <c r="D144" s="1011"/>
      <c r="E144" s="20" t="s">
        <v>6288</v>
      </c>
      <c r="F144" s="33" t="s">
        <v>6301</v>
      </c>
      <c r="G144" s="317">
        <v>208.9</v>
      </c>
      <c r="H144" s="381">
        <v>1989</v>
      </c>
      <c r="I144" s="660"/>
      <c r="J144" s="34" t="s">
        <v>3919</v>
      </c>
      <c r="K144" s="34" t="s">
        <v>12638</v>
      </c>
    </row>
    <row r="145" spans="1:16" s="272" customFormat="1" ht="35.25" customHeight="1" x14ac:dyDescent="0.2">
      <c r="A145" s="33" t="s">
        <v>2270</v>
      </c>
      <c r="B145" s="33" t="s">
        <v>292</v>
      </c>
      <c r="C145" s="1019" t="s">
        <v>6092</v>
      </c>
      <c r="D145" s="1019"/>
      <c r="E145" s="176"/>
      <c r="F145" s="33" t="s">
        <v>4446</v>
      </c>
      <c r="G145" s="317">
        <f>(7+5.1)-3.9</f>
        <v>8.1999999999999993</v>
      </c>
      <c r="H145" s="381">
        <v>1989</v>
      </c>
      <c r="I145" s="174">
        <v>225478.92</v>
      </c>
      <c r="J145" s="34" t="s">
        <v>3926</v>
      </c>
      <c r="K145" s="34" t="s">
        <v>12643</v>
      </c>
      <c r="P145" s="279"/>
    </row>
    <row r="146" spans="1:16" ht="36" customHeight="1" x14ac:dyDescent="0.2">
      <c r="A146" s="33" t="s">
        <v>2271</v>
      </c>
      <c r="B146" s="33" t="s">
        <v>292</v>
      </c>
      <c r="C146" s="1019" t="s">
        <v>6092</v>
      </c>
      <c r="D146" s="1019"/>
      <c r="E146" s="176"/>
      <c r="F146" s="33" t="s">
        <v>4446</v>
      </c>
      <c r="G146" s="317">
        <f>9.9+3.6</f>
        <v>13.5</v>
      </c>
      <c r="H146" s="381">
        <v>1989</v>
      </c>
      <c r="I146" s="660">
        <v>186020.11</v>
      </c>
      <c r="J146" s="34" t="s">
        <v>3924</v>
      </c>
      <c r="K146" s="34" t="s">
        <v>12644</v>
      </c>
    </row>
    <row r="147" spans="1:16" s="5" customFormat="1" ht="78" customHeight="1" x14ac:dyDescent="0.2">
      <c r="A147" s="33" t="s">
        <v>4989</v>
      </c>
      <c r="B147" s="33" t="s">
        <v>292</v>
      </c>
      <c r="C147" s="1019" t="s">
        <v>6092</v>
      </c>
      <c r="D147" s="1019"/>
      <c r="E147" s="688"/>
      <c r="F147" s="31" t="s">
        <v>4445</v>
      </c>
      <c r="G147" s="321">
        <v>12.7</v>
      </c>
      <c r="H147" s="381">
        <v>1989</v>
      </c>
      <c r="I147" s="660"/>
      <c r="J147" s="34" t="s">
        <v>13437</v>
      </c>
      <c r="K147" s="34" t="s">
        <v>13830</v>
      </c>
      <c r="P147" s="67"/>
    </row>
    <row r="148" spans="1:16" s="60" customFormat="1" ht="79.5" customHeight="1" x14ac:dyDescent="0.2">
      <c r="A148" s="33" t="s">
        <v>7010</v>
      </c>
      <c r="B148" s="33" t="s">
        <v>292</v>
      </c>
      <c r="C148" s="1011" t="s">
        <v>6092</v>
      </c>
      <c r="D148" s="1011"/>
      <c r="E148" s="176"/>
      <c r="F148" s="33" t="s">
        <v>6378</v>
      </c>
      <c r="G148" s="317">
        <v>72.5</v>
      </c>
      <c r="H148" s="381">
        <v>1989</v>
      </c>
      <c r="I148" s="660">
        <v>1362268.48</v>
      </c>
      <c r="J148" s="34" t="s">
        <v>3923</v>
      </c>
      <c r="K148" s="12" t="s">
        <v>12633</v>
      </c>
      <c r="P148" s="76"/>
    </row>
    <row r="149" spans="1:16" s="60" customFormat="1" ht="48" customHeight="1" x14ac:dyDescent="0.2">
      <c r="A149" s="20" t="s">
        <v>6910</v>
      </c>
      <c r="B149" s="20" t="s">
        <v>292</v>
      </c>
      <c r="C149" s="1011" t="s">
        <v>6093</v>
      </c>
      <c r="D149" s="1011"/>
      <c r="E149" s="20"/>
      <c r="F149" s="33" t="s">
        <v>553</v>
      </c>
      <c r="G149" s="317">
        <v>10.3</v>
      </c>
      <c r="H149" s="381">
        <v>1933</v>
      </c>
      <c r="I149" s="660">
        <v>88510.68</v>
      </c>
      <c r="J149" s="34" t="s">
        <v>3293</v>
      </c>
      <c r="K149" s="34"/>
    </row>
    <row r="150" spans="1:16" s="5" customFormat="1" ht="36" customHeight="1" x14ac:dyDescent="0.2">
      <c r="A150" s="33" t="s">
        <v>2272</v>
      </c>
      <c r="B150" s="33" t="s">
        <v>292</v>
      </c>
      <c r="C150" s="1011" t="s">
        <v>6093</v>
      </c>
      <c r="D150" s="1011"/>
      <c r="E150" s="20"/>
      <c r="F150" s="33" t="s">
        <v>553</v>
      </c>
      <c r="G150" s="317">
        <v>27.5</v>
      </c>
      <c r="H150" s="381" t="s">
        <v>3945</v>
      </c>
      <c r="I150" s="660"/>
      <c r="J150" s="34" t="s">
        <v>3293</v>
      </c>
      <c r="K150" s="34"/>
    </row>
    <row r="151" spans="1:16" s="5" customFormat="1" ht="35.25" customHeight="1" x14ac:dyDescent="0.2">
      <c r="A151" s="33" t="s">
        <v>5887</v>
      </c>
      <c r="B151" s="33" t="s">
        <v>292</v>
      </c>
      <c r="C151" s="1011" t="s">
        <v>6093</v>
      </c>
      <c r="D151" s="1011"/>
      <c r="E151" s="20"/>
      <c r="F151" s="33" t="s">
        <v>4024</v>
      </c>
      <c r="G151" s="317">
        <v>14.2</v>
      </c>
      <c r="H151" s="381">
        <v>1933</v>
      </c>
      <c r="I151" s="660"/>
      <c r="J151" s="34" t="s">
        <v>3293</v>
      </c>
      <c r="K151" s="34"/>
    </row>
    <row r="152" spans="1:16" s="5" customFormat="1" ht="48" customHeight="1" x14ac:dyDescent="0.2">
      <c r="A152" s="66" t="s">
        <v>2273</v>
      </c>
      <c r="B152" s="66" t="s">
        <v>292</v>
      </c>
      <c r="C152" s="1031" t="s">
        <v>6094</v>
      </c>
      <c r="D152" s="1031"/>
      <c r="E152" s="12" t="s">
        <v>10418</v>
      </c>
      <c r="F152" s="66" t="s">
        <v>6297</v>
      </c>
      <c r="G152" s="475">
        <v>44.1</v>
      </c>
      <c r="H152" s="312" t="s">
        <v>19</v>
      </c>
      <c r="I152" s="65">
        <f>15136508.43 /1130.9*G152</f>
        <v>590255.56792200904</v>
      </c>
      <c r="J152" s="78" t="s">
        <v>11155</v>
      </c>
      <c r="K152" s="410" t="s">
        <v>13846</v>
      </c>
      <c r="P152" s="67"/>
    </row>
    <row r="153" spans="1:16" s="235" customFormat="1" ht="45" customHeight="1" x14ac:dyDescent="0.2">
      <c r="A153" s="66" t="s">
        <v>2274</v>
      </c>
      <c r="B153" s="66" t="s">
        <v>292</v>
      </c>
      <c r="C153" s="1031" t="s">
        <v>6095</v>
      </c>
      <c r="D153" s="1031"/>
      <c r="E153" s="12" t="s">
        <v>10784</v>
      </c>
      <c r="F153" s="66" t="s">
        <v>3974</v>
      </c>
      <c r="G153" s="476">
        <v>56.2</v>
      </c>
      <c r="H153" s="312" t="s">
        <v>19</v>
      </c>
      <c r="I153" s="65">
        <v>419762.86</v>
      </c>
      <c r="J153" s="78" t="s">
        <v>5536</v>
      </c>
      <c r="K153" s="410" t="s">
        <v>13849</v>
      </c>
      <c r="P153" s="278"/>
    </row>
    <row r="154" spans="1:16" ht="33.75" x14ac:dyDescent="0.2">
      <c r="A154" s="33" t="s">
        <v>5843</v>
      </c>
      <c r="B154" s="33" t="s">
        <v>3304</v>
      </c>
      <c r="C154" s="1011" t="s">
        <v>6096</v>
      </c>
      <c r="D154" s="1011"/>
      <c r="E154" s="20" t="s">
        <v>6931</v>
      </c>
      <c r="F154" s="33" t="s">
        <v>6316</v>
      </c>
      <c r="G154" s="330">
        <v>171.5</v>
      </c>
      <c r="H154" s="381" t="s">
        <v>69</v>
      </c>
      <c r="I154" s="22">
        <v>67428.649999999994</v>
      </c>
      <c r="J154" s="34" t="s">
        <v>2843</v>
      </c>
      <c r="K154" s="34" t="s">
        <v>12645</v>
      </c>
    </row>
    <row r="155" spans="1:16" s="5" customFormat="1" ht="34.5" customHeight="1" x14ac:dyDescent="0.2">
      <c r="A155" s="33" t="s">
        <v>5844</v>
      </c>
      <c r="B155" s="31" t="s">
        <v>292</v>
      </c>
      <c r="C155" s="1032" t="s">
        <v>6096</v>
      </c>
      <c r="D155" s="1032"/>
      <c r="E155" s="20"/>
      <c r="F155" s="33" t="s">
        <v>6317</v>
      </c>
      <c r="G155" s="317">
        <v>76.400000000000006</v>
      </c>
      <c r="H155" s="381" t="s">
        <v>69</v>
      </c>
      <c r="I155" s="660"/>
      <c r="J155" s="34" t="s">
        <v>3293</v>
      </c>
      <c r="K155" s="34" t="s">
        <v>289</v>
      </c>
    </row>
    <row r="156" spans="1:16" s="5" customFormat="1" ht="36" customHeight="1" x14ac:dyDescent="0.2">
      <c r="A156" s="33" t="s">
        <v>5845</v>
      </c>
      <c r="B156" s="31" t="s">
        <v>292</v>
      </c>
      <c r="C156" s="1031" t="s">
        <v>6097</v>
      </c>
      <c r="D156" s="1031"/>
      <c r="E156" s="78"/>
      <c r="F156" s="66" t="s">
        <v>4027</v>
      </c>
      <c r="G156" s="323">
        <v>62</v>
      </c>
      <c r="H156" s="312"/>
      <c r="I156" s="65"/>
      <c r="J156" s="78" t="s">
        <v>5538</v>
      </c>
      <c r="K156" s="78" t="s">
        <v>4453</v>
      </c>
    </row>
    <row r="157" spans="1:16" s="60" customFormat="1" ht="35.25" customHeight="1" x14ac:dyDescent="0.2">
      <c r="A157" s="66" t="s">
        <v>5846</v>
      </c>
      <c r="B157" s="66" t="s">
        <v>292</v>
      </c>
      <c r="C157" s="1031" t="s">
        <v>6097</v>
      </c>
      <c r="D157" s="1031"/>
      <c r="E157" s="12"/>
      <c r="F157" s="66" t="s">
        <v>4027</v>
      </c>
      <c r="G157" s="323">
        <v>24</v>
      </c>
      <c r="H157" s="312" t="s">
        <v>41</v>
      </c>
      <c r="I157" s="65"/>
      <c r="J157" s="78" t="s">
        <v>3293</v>
      </c>
      <c r="K157" s="78"/>
    </row>
    <row r="158" spans="1:16" s="60" customFormat="1" ht="24" customHeight="1" x14ac:dyDescent="0.2">
      <c r="A158" s="66" t="s">
        <v>5847</v>
      </c>
      <c r="B158" s="66" t="s">
        <v>292</v>
      </c>
      <c r="C158" s="1031" t="s">
        <v>6097</v>
      </c>
      <c r="D158" s="1031"/>
      <c r="E158" s="12"/>
      <c r="F158" s="66" t="s">
        <v>4454</v>
      </c>
      <c r="G158" s="323">
        <v>15</v>
      </c>
      <c r="H158" s="312" t="s">
        <v>41</v>
      </c>
      <c r="I158" s="65"/>
      <c r="J158" s="78" t="s">
        <v>5537</v>
      </c>
      <c r="K158" s="78" t="s">
        <v>12646</v>
      </c>
      <c r="L158" s="5"/>
      <c r="M158" s="5"/>
      <c r="N158" s="5"/>
      <c r="O158" s="5"/>
    </row>
    <row r="159" spans="1:16" s="235" customFormat="1" ht="27.75" customHeight="1" x14ac:dyDescent="0.2">
      <c r="A159" s="66" t="s">
        <v>5848</v>
      </c>
      <c r="B159" s="66" t="s">
        <v>292</v>
      </c>
      <c r="C159" s="1031" t="s">
        <v>6097</v>
      </c>
      <c r="D159" s="1031"/>
      <c r="E159" s="12" t="s">
        <v>10772</v>
      </c>
      <c r="F159" s="66" t="s">
        <v>3346</v>
      </c>
      <c r="G159" s="323">
        <v>12.3</v>
      </c>
      <c r="H159" s="312" t="s">
        <v>41</v>
      </c>
      <c r="I159" s="65">
        <v>91869.81</v>
      </c>
      <c r="J159" s="78" t="s">
        <v>5824</v>
      </c>
      <c r="K159" s="12" t="s">
        <v>12647</v>
      </c>
    </row>
    <row r="160" spans="1:16" s="5" customFormat="1" ht="48.75" customHeight="1" x14ac:dyDescent="0.2">
      <c r="A160" s="33" t="s">
        <v>5849</v>
      </c>
      <c r="B160" s="33" t="s">
        <v>292</v>
      </c>
      <c r="C160" s="1031" t="s">
        <v>6098</v>
      </c>
      <c r="D160" s="1031"/>
      <c r="E160" s="20" t="s">
        <v>9156</v>
      </c>
      <c r="F160" s="33" t="s">
        <v>3068</v>
      </c>
      <c r="G160" s="318">
        <f>355.2-54.51-19.4</f>
        <v>281.29000000000002</v>
      </c>
      <c r="H160" s="381" t="s">
        <v>169</v>
      </c>
      <c r="I160" s="1026">
        <v>553404.81000000006</v>
      </c>
      <c r="J160" s="34" t="s">
        <v>321</v>
      </c>
      <c r="K160" s="34" t="s">
        <v>321</v>
      </c>
    </row>
    <row r="161" spans="1:17" s="5" customFormat="1" ht="24.75" customHeight="1" x14ac:dyDescent="0.2">
      <c r="A161" s="31" t="s">
        <v>7011</v>
      </c>
      <c r="B161" s="31" t="s">
        <v>292</v>
      </c>
      <c r="C161" s="1029" t="s">
        <v>6098</v>
      </c>
      <c r="D161" s="1030"/>
      <c r="E161" s="48" t="s">
        <v>9156</v>
      </c>
      <c r="F161" s="31" t="s">
        <v>3069</v>
      </c>
      <c r="G161" s="322">
        <v>35.6</v>
      </c>
      <c r="H161" s="381" t="s">
        <v>169</v>
      </c>
      <c r="I161" s="1027"/>
      <c r="J161" s="826" t="s">
        <v>14800</v>
      </c>
      <c r="K161" s="826" t="s">
        <v>14801</v>
      </c>
    </row>
    <row r="162" spans="1:17" s="5" customFormat="1" ht="46.5" customHeight="1" x14ac:dyDescent="0.2">
      <c r="A162" s="31" t="s">
        <v>7012</v>
      </c>
      <c r="B162" s="31" t="s">
        <v>292</v>
      </c>
      <c r="C162" s="1029" t="s">
        <v>6098</v>
      </c>
      <c r="D162" s="1030"/>
      <c r="E162" s="48" t="s">
        <v>9156</v>
      </c>
      <c r="F162" s="31" t="s">
        <v>3070</v>
      </c>
      <c r="G162" s="322">
        <v>18.600000000000001</v>
      </c>
      <c r="H162" s="381" t="s">
        <v>169</v>
      </c>
      <c r="I162" s="1027"/>
      <c r="J162" s="32" t="s">
        <v>13438</v>
      </c>
      <c r="K162" s="32" t="s">
        <v>13439</v>
      </c>
    </row>
    <row r="163" spans="1:17" s="5" customFormat="1" ht="47.25" customHeight="1" x14ac:dyDescent="0.2">
      <c r="A163" s="31" t="s">
        <v>12648</v>
      </c>
      <c r="B163" s="31" t="s">
        <v>292</v>
      </c>
      <c r="C163" s="1029" t="s">
        <v>6098</v>
      </c>
      <c r="D163" s="1030"/>
      <c r="E163" s="48" t="s">
        <v>9156</v>
      </c>
      <c r="F163" s="31" t="s">
        <v>3069</v>
      </c>
      <c r="G163" s="322">
        <v>19.399999999999999</v>
      </c>
      <c r="H163" s="381" t="s">
        <v>169</v>
      </c>
      <c r="I163" s="1028"/>
      <c r="J163" s="32" t="s">
        <v>13440</v>
      </c>
      <c r="K163" s="32" t="s">
        <v>13441</v>
      </c>
    </row>
    <row r="164" spans="1:17" s="60" customFormat="1" ht="59.25" customHeight="1" x14ac:dyDescent="0.2">
      <c r="A164" s="33" t="s">
        <v>5850</v>
      </c>
      <c r="B164" s="33" t="s">
        <v>292</v>
      </c>
      <c r="C164" s="1031" t="s">
        <v>6098</v>
      </c>
      <c r="D164" s="1031"/>
      <c r="E164" s="48" t="s">
        <v>9157</v>
      </c>
      <c r="F164" s="33" t="s">
        <v>3070</v>
      </c>
      <c r="G164" s="318">
        <v>148.4</v>
      </c>
      <c r="H164" s="381" t="s">
        <v>169</v>
      </c>
      <c r="I164" s="660">
        <v>1986256.83</v>
      </c>
      <c r="J164" s="34" t="s">
        <v>3949</v>
      </c>
      <c r="K164" s="34" t="s">
        <v>12594</v>
      </c>
      <c r="L164" s="5"/>
      <c r="M164" s="5"/>
      <c r="N164" s="5"/>
      <c r="O164" s="5"/>
      <c r="P164" s="5"/>
      <c r="Q164" s="5"/>
    </row>
    <row r="165" spans="1:17" s="5" customFormat="1" ht="35.25" customHeight="1" x14ac:dyDescent="0.2">
      <c r="A165" s="33" t="s">
        <v>5851</v>
      </c>
      <c r="B165" s="33" t="s">
        <v>292</v>
      </c>
      <c r="C165" s="1011" t="s">
        <v>6099</v>
      </c>
      <c r="D165" s="1011"/>
      <c r="E165" s="20" t="s">
        <v>6113</v>
      </c>
      <c r="F165" s="33" t="s">
        <v>4430</v>
      </c>
      <c r="G165" s="318">
        <v>46.3</v>
      </c>
      <c r="H165" s="381" t="s">
        <v>517</v>
      </c>
      <c r="I165" s="660"/>
      <c r="J165" s="34" t="s">
        <v>12208</v>
      </c>
      <c r="K165" s="78" t="s">
        <v>12649</v>
      </c>
    </row>
    <row r="166" spans="1:17" s="5" customFormat="1" ht="35.25" customHeight="1" x14ac:dyDescent="0.2">
      <c r="A166" s="33" t="s">
        <v>5852</v>
      </c>
      <c r="B166" s="33" t="s">
        <v>292</v>
      </c>
      <c r="C166" s="1011" t="s">
        <v>6100</v>
      </c>
      <c r="D166" s="1011"/>
      <c r="E166" s="20" t="s">
        <v>5925</v>
      </c>
      <c r="F166" s="33" t="s">
        <v>4030</v>
      </c>
      <c r="G166" s="318">
        <f>60-27.8</f>
        <v>32.200000000000003</v>
      </c>
      <c r="H166" s="381" t="s">
        <v>39</v>
      </c>
      <c r="I166" s="660"/>
      <c r="J166" s="34" t="s">
        <v>3293</v>
      </c>
      <c r="K166" s="34"/>
    </row>
    <row r="167" spans="1:17" s="60" customFormat="1" ht="30" customHeight="1" x14ac:dyDescent="0.2">
      <c r="A167" s="33" t="s">
        <v>7013</v>
      </c>
      <c r="B167" s="33" t="s">
        <v>292</v>
      </c>
      <c r="C167" s="1011" t="s">
        <v>6100</v>
      </c>
      <c r="D167" s="1011"/>
      <c r="E167" s="20"/>
      <c r="F167" s="33" t="s">
        <v>4030</v>
      </c>
      <c r="G167" s="317">
        <v>27.8</v>
      </c>
      <c r="H167" s="381" t="s">
        <v>39</v>
      </c>
      <c r="I167" s="660"/>
      <c r="J167" s="34" t="s">
        <v>5919</v>
      </c>
      <c r="K167" s="34" t="s">
        <v>12650</v>
      </c>
      <c r="L167" s="5"/>
      <c r="M167" s="5"/>
      <c r="N167" s="5"/>
      <c r="O167" s="5"/>
    </row>
    <row r="168" spans="1:17" ht="33.75" x14ac:dyDescent="0.2">
      <c r="A168" s="19" t="s">
        <v>5853</v>
      </c>
      <c r="B168" s="19" t="s">
        <v>292</v>
      </c>
      <c r="C168" s="1011" t="s">
        <v>6298</v>
      </c>
      <c r="D168" s="1011"/>
      <c r="E168" s="20" t="s">
        <v>10439</v>
      </c>
      <c r="F168" s="33" t="s">
        <v>6318</v>
      </c>
      <c r="G168" s="318">
        <f>101.8-57.75</f>
        <v>44.05</v>
      </c>
      <c r="H168" s="381" t="s">
        <v>3994</v>
      </c>
      <c r="I168" s="660"/>
      <c r="J168" s="34" t="s">
        <v>3293</v>
      </c>
      <c r="K168" s="34"/>
      <c r="P168" s="4"/>
    </row>
    <row r="169" spans="1:17" ht="57" customHeight="1" x14ac:dyDescent="0.2">
      <c r="A169" s="19" t="s">
        <v>11212</v>
      </c>
      <c r="B169" s="19" t="s">
        <v>292</v>
      </c>
      <c r="C169" s="1011" t="s">
        <v>6298</v>
      </c>
      <c r="D169" s="1011"/>
      <c r="E169" s="20"/>
      <c r="F169" s="33" t="s">
        <v>6318</v>
      </c>
      <c r="G169" s="318">
        <v>57.75</v>
      </c>
      <c r="H169" s="381" t="s">
        <v>3994</v>
      </c>
      <c r="I169" s="660"/>
      <c r="J169" s="34" t="s">
        <v>11152</v>
      </c>
      <c r="K169" s="34" t="s">
        <v>12651</v>
      </c>
      <c r="P169" s="4"/>
    </row>
    <row r="170" spans="1:17" s="5" customFormat="1" ht="60" customHeight="1" x14ac:dyDescent="0.2">
      <c r="A170" s="19" t="s">
        <v>2275</v>
      </c>
      <c r="B170" s="33" t="s">
        <v>292</v>
      </c>
      <c r="C170" s="1014" t="s">
        <v>5740</v>
      </c>
      <c r="D170" s="1015"/>
      <c r="E170" s="20" t="s">
        <v>10440</v>
      </c>
      <c r="F170" s="33" t="s">
        <v>5453</v>
      </c>
      <c r="G170" s="317">
        <v>31</v>
      </c>
      <c r="H170" s="381" t="s">
        <v>3701</v>
      </c>
      <c r="I170" s="660">
        <v>296726.42</v>
      </c>
      <c r="J170" s="34" t="s">
        <v>5452</v>
      </c>
      <c r="K170" s="34" t="s">
        <v>13442</v>
      </c>
    </row>
    <row r="171" spans="1:17" s="60" customFormat="1" ht="35.25" customHeight="1" x14ac:dyDescent="0.2">
      <c r="A171" s="33" t="s">
        <v>2276</v>
      </c>
      <c r="B171" s="33" t="s">
        <v>292</v>
      </c>
      <c r="C171" s="1035" t="s">
        <v>5740</v>
      </c>
      <c r="D171" s="1035"/>
      <c r="E171" s="20" t="s">
        <v>10442</v>
      </c>
      <c r="F171" s="33" t="s">
        <v>6627</v>
      </c>
      <c r="G171" s="317">
        <v>21.4</v>
      </c>
      <c r="H171" s="381" t="s">
        <v>3701</v>
      </c>
      <c r="I171" s="660">
        <v>204836.95</v>
      </c>
      <c r="J171" s="34" t="s">
        <v>5990</v>
      </c>
      <c r="K171" s="34" t="s">
        <v>13898</v>
      </c>
      <c r="L171" s="5"/>
      <c r="M171" s="5"/>
      <c r="N171" s="5"/>
      <c r="O171" s="5"/>
    </row>
    <row r="172" spans="1:17" s="60" customFormat="1" ht="34.5" customHeight="1" x14ac:dyDescent="0.2">
      <c r="A172" s="33" t="s">
        <v>2277</v>
      </c>
      <c r="B172" s="33" t="s">
        <v>292</v>
      </c>
      <c r="C172" s="1035" t="s">
        <v>5740</v>
      </c>
      <c r="D172" s="1035"/>
      <c r="E172" s="20" t="s">
        <v>10441</v>
      </c>
      <c r="F172" s="33" t="s">
        <v>3995</v>
      </c>
      <c r="G172" s="321">
        <v>14.1</v>
      </c>
      <c r="H172" s="381" t="s">
        <v>3701</v>
      </c>
      <c r="I172" s="660">
        <v>134962.66</v>
      </c>
      <c r="J172" s="34" t="s">
        <v>11183</v>
      </c>
      <c r="K172" s="34" t="s">
        <v>13848</v>
      </c>
    </row>
    <row r="173" spans="1:17" s="60" customFormat="1" ht="85.5" customHeight="1" x14ac:dyDescent="0.2">
      <c r="A173" s="33" t="s">
        <v>2278</v>
      </c>
      <c r="B173" s="33" t="s">
        <v>292</v>
      </c>
      <c r="C173" s="1011" t="s">
        <v>5991</v>
      </c>
      <c r="D173" s="1011"/>
      <c r="E173" s="111" t="s">
        <v>10773</v>
      </c>
      <c r="F173" s="33" t="s">
        <v>40</v>
      </c>
      <c r="G173" s="317">
        <v>73.900000000000006</v>
      </c>
      <c r="H173" s="381" t="s">
        <v>70</v>
      </c>
      <c r="I173" s="660">
        <v>707357.5</v>
      </c>
      <c r="J173" s="34" t="s">
        <v>2</v>
      </c>
      <c r="K173" s="12" t="s">
        <v>12633</v>
      </c>
      <c r="P173" s="76"/>
    </row>
    <row r="174" spans="1:17" s="60" customFormat="1" ht="27" customHeight="1" x14ac:dyDescent="0.2">
      <c r="A174" s="33" t="s">
        <v>4428</v>
      </c>
      <c r="B174" s="33" t="s">
        <v>6327</v>
      </c>
      <c r="C174" s="1011" t="s">
        <v>5992</v>
      </c>
      <c r="D174" s="1011"/>
      <c r="E174" s="20" t="s">
        <v>6629</v>
      </c>
      <c r="F174" s="33" t="s">
        <v>178</v>
      </c>
      <c r="G174" s="317">
        <v>160.4</v>
      </c>
      <c r="H174" s="381">
        <v>1970</v>
      </c>
      <c r="I174" s="660">
        <v>1006611.05</v>
      </c>
      <c r="J174" s="34" t="s">
        <v>5057</v>
      </c>
      <c r="K174" s="34" t="s">
        <v>5057</v>
      </c>
      <c r="L174" s="5"/>
      <c r="M174" s="5"/>
      <c r="N174" s="5"/>
      <c r="O174" s="5"/>
    </row>
    <row r="175" spans="1:17" s="5" customFormat="1" ht="36.75" customHeight="1" x14ac:dyDescent="0.2">
      <c r="A175" s="33" t="s">
        <v>2279</v>
      </c>
      <c r="B175" s="33" t="s">
        <v>6286</v>
      </c>
      <c r="C175" s="1011" t="s">
        <v>5992</v>
      </c>
      <c r="D175" s="1011"/>
      <c r="E175" s="20" t="s">
        <v>5950</v>
      </c>
      <c r="F175" s="33" t="s">
        <v>6319</v>
      </c>
      <c r="G175" s="317">
        <f>216.9-85.05-7.8</f>
        <v>124.05000000000003</v>
      </c>
      <c r="H175" s="381" t="s">
        <v>3047</v>
      </c>
      <c r="I175" s="660">
        <v>2076127.76</v>
      </c>
      <c r="J175" s="34" t="s">
        <v>3293</v>
      </c>
      <c r="K175" s="34" t="s">
        <v>3293</v>
      </c>
      <c r="P175" s="67"/>
    </row>
    <row r="176" spans="1:17" s="5" customFormat="1" ht="48" customHeight="1" x14ac:dyDescent="0.2">
      <c r="A176" s="33" t="s">
        <v>7014</v>
      </c>
      <c r="B176" s="33" t="s">
        <v>292</v>
      </c>
      <c r="C176" s="1011" t="s">
        <v>5992</v>
      </c>
      <c r="D176" s="1011"/>
      <c r="E176" s="314"/>
      <c r="F176" s="33" t="s">
        <v>6320</v>
      </c>
      <c r="G176" s="318">
        <v>85.05</v>
      </c>
      <c r="H176" s="381" t="s">
        <v>3047</v>
      </c>
      <c r="I176" s="660"/>
      <c r="J176" s="34" t="s">
        <v>3917</v>
      </c>
      <c r="K176" s="34" t="s">
        <v>12639</v>
      </c>
      <c r="P176" s="67"/>
    </row>
    <row r="177" spans="1:16" ht="33.75" customHeight="1" x14ac:dyDescent="0.2">
      <c r="A177" s="33" t="s">
        <v>7015</v>
      </c>
      <c r="B177" s="33" t="s">
        <v>292</v>
      </c>
      <c r="C177" s="1011" t="s">
        <v>5992</v>
      </c>
      <c r="D177" s="1011"/>
      <c r="E177" s="314"/>
      <c r="F177" s="33" t="s">
        <v>6320</v>
      </c>
      <c r="G177" s="317">
        <v>7.8</v>
      </c>
      <c r="H177" s="381" t="s">
        <v>3047</v>
      </c>
      <c r="I177" s="660"/>
      <c r="J177" s="34" t="s">
        <v>7430</v>
      </c>
      <c r="K177" s="34" t="s">
        <v>13853</v>
      </c>
    </row>
    <row r="178" spans="1:16" ht="48.75" customHeight="1" x14ac:dyDescent="0.2">
      <c r="A178" s="33" t="s">
        <v>2280</v>
      </c>
      <c r="B178" s="31" t="s">
        <v>292</v>
      </c>
      <c r="C178" s="1011" t="s">
        <v>5992</v>
      </c>
      <c r="D178" s="1011"/>
      <c r="E178" s="48"/>
      <c r="F178" s="31" t="s">
        <v>6321</v>
      </c>
      <c r="G178" s="319">
        <v>6.3</v>
      </c>
      <c r="H178" s="28" t="s">
        <v>3047</v>
      </c>
      <c r="I178" s="27"/>
      <c r="J178" s="32" t="s">
        <v>5450</v>
      </c>
      <c r="K178" s="32" t="s">
        <v>13858</v>
      </c>
    </row>
    <row r="179" spans="1:16" ht="33.75" customHeight="1" x14ac:dyDescent="0.2">
      <c r="A179" s="33" t="s">
        <v>7018</v>
      </c>
      <c r="B179" s="33" t="s">
        <v>292</v>
      </c>
      <c r="C179" s="1011" t="s">
        <v>5993</v>
      </c>
      <c r="D179" s="1011"/>
      <c r="E179" s="48" t="s">
        <v>5553</v>
      </c>
      <c r="F179" s="33" t="s">
        <v>6320</v>
      </c>
      <c r="G179" s="319">
        <f>411.1-50-163.7</f>
        <v>197.40000000000003</v>
      </c>
      <c r="H179" s="28" t="s">
        <v>165</v>
      </c>
      <c r="I179" s="27">
        <v>3934975.21</v>
      </c>
      <c r="J179" s="32" t="s">
        <v>3293</v>
      </c>
      <c r="K179" s="32"/>
    </row>
    <row r="180" spans="1:16" ht="45" customHeight="1" x14ac:dyDescent="0.2">
      <c r="A180" s="33" t="s">
        <v>9426</v>
      </c>
      <c r="B180" s="33" t="s">
        <v>292</v>
      </c>
      <c r="C180" s="1011" t="s">
        <v>5993</v>
      </c>
      <c r="D180" s="1011"/>
      <c r="E180" s="48" t="s">
        <v>5553</v>
      </c>
      <c r="F180" s="33" t="s">
        <v>6320</v>
      </c>
      <c r="G180" s="317">
        <v>163.69999999999999</v>
      </c>
      <c r="H180" s="381" t="s">
        <v>165</v>
      </c>
      <c r="I180" s="660"/>
      <c r="J180" s="34" t="s">
        <v>6226</v>
      </c>
      <c r="K180" s="646" t="s">
        <v>12652</v>
      </c>
    </row>
    <row r="181" spans="1:16" s="5" customFormat="1" ht="78" customHeight="1" x14ac:dyDescent="0.2">
      <c r="A181" s="33" t="s">
        <v>9427</v>
      </c>
      <c r="B181" s="33" t="s">
        <v>11064</v>
      </c>
      <c r="C181" s="1011" t="s">
        <v>5993</v>
      </c>
      <c r="D181" s="1011"/>
      <c r="E181" s="48" t="s">
        <v>11063</v>
      </c>
      <c r="F181" s="33" t="s">
        <v>6320</v>
      </c>
      <c r="G181" s="318">
        <v>50</v>
      </c>
      <c r="H181" s="381" t="s">
        <v>165</v>
      </c>
      <c r="I181" s="660"/>
      <c r="J181" s="34" t="s">
        <v>5540</v>
      </c>
      <c r="K181" s="34" t="s">
        <v>13840</v>
      </c>
    </row>
    <row r="182" spans="1:16" s="5" customFormat="1" ht="33" customHeight="1" x14ac:dyDescent="0.2">
      <c r="A182" s="33" t="s">
        <v>11458</v>
      </c>
      <c r="B182" s="33" t="s">
        <v>292</v>
      </c>
      <c r="C182" s="1011" t="s">
        <v>5993</v>
      </c>
      <c r="D182" s="1011"/>
      <c r="E182" s="48" t="s">
        <v>5553</v>
      </c>
      <c r="F182" s="33" t="s">
        <v>6320</v>
      </c>
      <c r="G182" s="318">
        <v>54.3</v>
      </c>
      <c r="H182" s="381" t="s">
        <v>165</v>
      </c>
      <c r="I182" s="660"/>
      <c r="J182" s="34" t="s">
        <v>11508</v>
      </c>
      <c r="K182" s="704" t="s">
        <v>13891</v>
      </c>
    </row>
    <row r="183" spans="1:16" s="5" customFormat="1" ht="46.5" customHeight="1" x14ac:dyDescent="0.2">
      <c r="A183" s="33" t="s">
        <v>7019</v>
      </c>
      <c r="B183" s="33" t="s">
        <v>292</v>
      </c>
      <c r="C183" s="1011" t="s">
        <v>6074</v>
      </c>
      <c r="D183" s="1011"/>
      <c r="E183" s="20"/>
      <c r="F183" s="33"/>
      <c r="G183" s="317">
        <v>173.4</v>
      </c>
      <c r="H183" s="381"/>
      <c r="I183" s="660"/>
      <c r="J183" s="34" t="s">
        <v>4041</v>
      </c>
      <c r="K183" s="34" t="s">
        <v>12653</v>
      </c>
      <c r="P183" s="67"/>
    </row>
    <row r="184" spans="1:16" s="60" customFormat="1" ht="33.75" customHeight="1" x14ac:dyDescent="0.2">
      <c r="A184" s="33" t="s">
        <v>7020</v>
      </c>
      <c r="B184" s="33" t="s">
        <v>292</v>
      </c>
      <c r="C184" s="1011" t="s">
        <v>6075</v>
      </c>
      <c r="D184" s="1011"/>
      <c r="E184" s="12" t="s">
        <v>6333</v>
      </c>
      <c r="F184" s="33" t="s">
        <v>164</v>
      </c>
      <c r="G184" s="317">
        <v>250.2</v>
      </c>
      <c r="H184" s="381" t="s">
        <v>165</v>
      </c>
      <c r="I184" s="660"/>
      <c r="J184" s="34" t="s">
        <v>6838</v>
      </c>
      <c r="K184" s="34" t="s">
        <v>6838</v>
      </c>
      <c r="L184" s="5"/>
      <c r="M184" s="5"/>
      <c r="N184" s="5"/>
      <c r="O184" s="5"/>
    </row>
    <row r="185" spans="1:16" s="5" customFormat="1" ht="41.25" customHeight="1" x14ac:dyDescent="0.2">
      <c r="A185" s="33" t="s">
        <v>2281</v>
      </c>
      <c r="B185" s="33" t="s">
        <v>292</v>
      </c>
      <c r="C185" s="1011" t="s">
        <v>6076</v>
      </c>
      <c r="D185" s="1011"/>
      <c r="E185" s="20" t="s">
        <v>10776</v>
      </c>
      <c r="F185" s="33" t="s">
        <v>4984</v>
      </c>
      <c r="G185" s="317">
        <f>348.1-328.1</f>
        <v>20</v>
      </c>
      <c r="H185" s="381" t="s">
        <v>73</v>
      </c>
      <c r="I185" s="1044">
        <v>3213321.54</v>
      </c>
      <c r="J185" s="34" t="s">
        <v>4426</v>
      </c>
      <c r="K185" s="34" t="s">
        <v>9339</v>
      </c>
    </row>
    <row r="186" spans="1:16" s="5" customFormat="1" ht="38.25" customHeight="1" x14ac:dyDescent="0.2">
      <c r="A186" s="33" t="s">
        <v>2282</v>
      </c>
      <c r="B186" s="33" t="s">
        <v>292</v>
      </c>
      <c r="C186" s="1011" t="s">
        <v>6076</v>
      </c>
      <c r="D186" s="1011"/>
      <c r="E186" s="20" t="s">
        <v>10776</v>
      </c>
      <c r="F186" s="33" t="s">
        <v>4984</v>
      </c>
      <c r="G186" s="317">
        <f>348.1-20</f>
        <v>328.1</v>
      </c>
      <c r="H186" s="381" t="s">
        <v>73</v>
      </c>
      <c r="I186" s="1044"/>
      <c r="J186" s="34" t="s">
        <v>4426</v>
      </c>
      <c r="K186" s="34" t="s">
        <v>9339</v>
      </c>
    </row>
    <row r="187" spans="1:16" s="5" customFormat="1" ht="36" customHeight="1" x14ac:dyDescent="0.2">
      <c r="A187" s="33" t="s">
        <v>2283</v>
      </c>
      <c r="B187" s="33" t="s">
        <v>292</v>
      </c>
      <c r="C187" s="1011" t="s">
        <v>6077</v>
      </c>
      <c r="D187" s="1011"/>
      <c r="E187" s="12" t="s">
        <v>5821</v>
      </c>
      <c r="F187" s="33" t="s">
        <v>4040</v>
      </c>
      <c r="G187" s="323">
        <f>156.3-10.2</f>
        <v>146.10000000000002</v>
      </c>
      <c r="H187" s="312" t="s">
        <v>166</v>
      </c>
      <c r="I187" s="65"/>
      <c r="J187" s="78" t="s">
        <v>4039</v>
      </c>
      <c r="K187" s="78" t="s">
        <v>12654</v>
      </c>
    </row>
    <row r="188" spans="1:16" s="5" customFormat="1" ht="33.75" customHeight="1" x14ac:dyDescent="0.2">
      <c r="A188" s="33" t="s">
        <v>9428</v>
      </c>
      <c r="B188" s="33" t="s">
        <v>292</v>
      </c>
      <c r="C188" s="1011" t="s">
        <v>6077</v>
      </c>
      <c r="D188" s="1011"/>
      <c r="E188" s="20" t="s">
        <v>5821</v>
      </c>
      <c r="F188" s="33" t="s">
        <v>4040</v>
      </c>
      <c r="G188" s="323">
        <v>10.199999999999999</v>
      </c>
      <c r="H188" s="312" t="s">
        <v>166</v>
      </c>
      <c r="I188" s="65"/>
      <c r="J188" s="78"/>
      <c r="K188" s="78" t="s">
        <v>5795</v>
      </c>
    </row>
    <row r="189" spans="1:16" s="5" customFormat="1" ht="34.5" customHeight="1" x14ac:dyDescent="0.2">
      <c r="A189" s="33" t="s">
        <v>2284</v>
      </c>
      <c r="B189" s="33" t="s">
        <v>292</v>
      </c>
      <c r="C189" s="1011" t="s">
        <v>6078</v>
      </c>
      <c r="D189" s="1011"/>
      <c r="E189" s="20" t="s">
        <v>10775</v>
      </c>
      <c r="F189" s="31" t="s">
        <v>6322</v>
      </c>
      <c r="G189" s="323">
        <v>32</v>
      </c>
      <c r="H189" s="381" t="s">
        <v>69</v>
      </c>
      <c r="I189" s="660">
        <v>270386.56</v>
      </c>
      <c r="J189" s="34" t="s">
        <v>4431</v>
      </c>
      <c r="K189" s="34" t="s">
        <v>13871</v>
      </c>
      <c r="P189" s="67"/>
    </row>
    <row r="190" spans="1:16" s="5" customFormat="1" ht="45" x14ac:dyDescent="0.2">
      <c r="A190" s="66" t="s">
        <v>2285</v>
      </c>
      <c r="B190" s="66" t="s">
        <v>292</v>
      </c>
      <c r="C190" s="1011" t="s">
        <v>6079</v>
      </c>
      <c r="D190" s="1011"/>
      <c r="E190" s="20" t="s">
        <v>5895</v>
      </c>
      <c r="F190" s="33" t="s">
        <v>182</v>
      </c>
      <c r="G190" s="317">
        <v>152.4</v>
      </c>
      <c r="H190" s="381" t="s">
        <v>73</v>
      </c>
      <c r="I190" s="660">
        <v>31328.87</v>
      </c>
      <c r="J190" s="646" t="s">
        <v>9289</v>
      </c>
      <c r="K190" s="646" t="s">
        <v>9289</v>
      </c>
    </row>
    <row r="191" spans="1:16" s="5" customFormat="1" ht="37.5" customHeight="1" x14ac:dyDescent="0.2">
      <c r="A191" s="33" t="s">
        <v>2286</v>
      </c>
      <c r="B191" s="33" t="s">
        <v>292</v>
      </c>
      <c r="C191" s="1039" t="s">
        <v>6080</v>
      </c>
      <c r="D191" s="1039"/>
      <c r="E191" s="12"/>
      <c r="F191" s="66" t="s">
        <v>4020</v>
      </c>
      <c r="G191" s="323">
        <f>28.1</f>
        <v>28.1</v>
      </c>
      <c r="H191" s="312" t="s">
        <v>76</v>
      </c>
      <c r="I191" s="65"/>
      <c r="J191" s="78" t="s">
        <v>3293</v>
      </c>
      <c r="K191" s="78"/>
    </row>
    <row r="192" spans="1:16" s="5" customFormat="1" ht="34.5" customHeight="1" x14ac:dyDescent="0.2">
      <c r="A192" s="33" t="s">
        <v>2287</v>
      </c>
      <c r="B192" s="66" t="s">
        <v>292</v>
      </c>
      <c r="C192" s="1039" t="s">
        <v>6080</v>
      </c>
      <c r="D192" s="1039"/>
      <c r="E192" s="12"/>
      <c r="F192" s="66" t="s">
        <v>4020</v>
      </c>
      <c r="G192" s="323">
        <v>15.9</v>
      </c>
      <c r="H192" s="312" t="s">
        <v>76</v>
      </c>
      <c r="I192" s="65"/>
      <c r="J192" s="78" t="s">
        <v>3293</v>
      </c>
      <c r="K192" s="34"/>
    </row>
    <row r="193" spans="1:16" s="5" customFormat="1" ht="36.75" customHeight="1" x14ac:dyDescent="0.2">
      <c r="A193" s="33" t="s">
        <v>2288</v>
      </c>
      <c r="B193" s="66" t="s">
        <v>292</v>
      </c>
      <c r="C193" s="1039" t="s">
        <v>6080</v>
      </c>
      <c r="D193" s="1039"/>
      <c r="E193" s="12"/>
      <c r="F193" s="66" t="s">
        <v>4020</v>
      </c>
      <c r="G193" s="323">
        <v>30</v>
      </c>
      <c r="H193" s="312" t="s">
        <v>76</v>
      </c>
      <c r="I193" s="65"/>
      <c r="J193" s="78" t="s">
        <v>3293</v>
      </c>
      <c r="K193" s="78"/>
    </row>
    <row r="194" spans="1:16" s="60" customFormat="1" ht="34.5" customHeight="1" x14ac:dyDescent="0.2">
      <c r="A194" s="33" t="s">
        <v>2289</v>
      </c>
      <c r="B194" s="33" t="s">
        <v>292</v>
      </c>
      <c r="C194" s="1011" t="s">
        <v>6081</v>
      </c>
      <c r="D194" s="1011"/>
      <c r="E194" s="20"/>
      <c r="F194" s="33" t="s">
        <v>3283</v>
      </c>
      <c r="G194" s="317">
        <v>247</v>
      </c>
      <c r="H194" s="381" t="s">
        <v>78</v>
      </c>
      <c r="I194" s="660"/>
      <c r="J194" s="34" t="s">
        <v>3282</v>
      </c>
      <c r="K194" s="34" t="s">
        <v>3282</v>
      </c>
      <c r="P194" s="76"/>
    </row>
    <row r="195" spans="1:16" s="60" customFormat="1" ht="59.25" customHeight="1" x14ac:dyDescent="0.2">
      <c r="A195" s="20" t="s">
        <v>2290</v>
      </c>
      <c r="B195" s="20" t="s">
        <v>2743</v>
      </c>
      <c r="C195" s="1011" t="s">
        <v>6299</v>
      </c>
      <c r="D195" s="1011"/>
      <c r="E195" s="20" t="s">
        <v>6644</v>
      </c>
      <c r="F195" s="33" t="s">
        <v>170</v>
      </c>
      <c r="G195" s="317">
        <v>268.10000000000002</v>
      </c>
      <c r="H195" s="381" t="s">
        <v>171</v>
      </c>
      <c r="I195" s="660"/>
      <c r="J195" s="34" t="s">
        <v>3949</v>
      </c>
      <c r="K195" s="34" t="s">
        <v>12594</v>
      </c>
      <c r="L195" s="5"/>
      <c r="M195" s="5"/>
      <c r="N195" s="5"/>
      <c r="O195" s="5"/>
      <c r="P195" s="76"/>
    </row>
    <row r="196" spans="1:16" s="60" customFormat="1" ht="59.25" customHeight="1" x14ac:dyDescent="0.2">
      <c r="A196" s="33" t="s">
        <v>2291</v>
      </c>
      <c r="B196" s="33" t="s">
        <v>2744</v>
      </c>
      <c r="C196" s="1011" t="s">
        <v>6299</v>
      </c>
      <c r="D196" s="1011"/>
      <c r="E196" s="111"/>
      <c r="F196" s="33" t="s">
        <v>170</v>
      </c>
      <c r="G196" s="317">
        <f>815-428.5-268.1</f>
        <v>118.39999999999998</v>
      </c>
      <c r="H196" s="381" t="s">
        <v>171</v>
      </c>
      <c r="I196" s="660"/>
      <c r="J196" s="1042" t="s">
        <v>12209</v>
      </c>
      <c r="K196" s="1043"/>
    </row>
    <row r="197" spans="1:16" s="61" customFormat="1" ht="48" customHeight="1" x14ac:dyDescent="0.2">
      <c r="A197" s="33" t="s">
        <v>2883</v>
      </c>
      <c r="B197" s="33" t="s">
        <v>292</v>
      </c>
      <c r="C197" s="1011" t="s">
        <v>6082</v>
      </c>
      <c r="D197" s="1011"/>
      <c r="E197" s="20" t="s">
        <v>5819</v>
      </c>
      <c r="F197" s="33" t="s">
        <v>2831</v>
      </c>
      <c r="G197" s="318">
        <f>369.18</f>
        <v>369.18</v>
      </c>
      <c r="H197" s="381" t="s">
        <v>532</v>
      </c>
      <c r="I197" s="660"/>
      <c r="J197" s="34" t="s">
        <v>3953</v>
      </c>
      <c r="K197" s="34" t="s">
        <v>12655</v>
      </c>
      <c r="L197" s="4"/>
      <c r="M197" s="4"/>
      <c r="N197" s="4"/>
      <c r="O197" s="4"/>
    </row>
    <row r="198" spans="1:16" s="61" customFormat="1" ht="48" customHeight="1" x14ac:dyDescent="0.2">
      <c r="A198" s="689" t="s">
        <v>9429</v>
      </c>
      <c r="B198" s="690" t="s">
        <v>292</v>
      </c>
      <c r="C198" s="1049" t="s">
        <v>6082</v>
      </c>
      <c r="D198" s="1049"/>
      <c r="E198" s="50" t="s">
        <v>5819</v>
      </c>
      <c r="F198" s="109" t="s">
        <v>2831</v>
      </c>
      <c r="G198" s="318">
        <f>10.85</f>
        <v>10.85</v>
      </c>
      <c r="H198" s="436" t="s">
        <v>532</v>
      </c>
      <c r="I198" s="27"/>
      <c r="J198" s="691" t="s">
        <v>13621</v>
      </c>
      <c r="K198" s="34" t="s">
        <v>12651</v>
      </c>
    </row>
    <row r="199" spans="1:16" s="60" customFormat="1" ht="33.75" x14ac:dyDescent="0.2">
      <c r="A199" s="33" t="s">
        <v>9430</v>
      </c>
      <c r="B199" s="33" t="s">
        <v>292</v>
      </c>
      <c r="C199" s="1011" t="s">
        <v>6082</v>
      </c>
      <c r="D199" s="1011"/>
      <c r="E199" s="20" t="s">
        <v>5819</v>
      </c>
      <c r="F199" s="33" t="s">
        <v>4016</v>
      </c>
      <c r="G199" s="318">
        <v>10.9</v>
      </c>
      <c r="H199" s="381" t="s">
        <v>532</v>
      </c>
      <c r="I199" s="660"/>
      <c r="J199" s="34" t="s">
        <v>4422</v>
      </c>
      <c r="K199" s="34" t="s">
        <v>13863</v>
      </c>
      <c r="P199" s="76"/>
    </row>
    <row r="200" spans="1:16" s="60" customFormat="1" ht="27" customHeight="1" x14ac:dyDescent="0.2">
      <c r="A200" s="33" t="s">
        <v>9431</v>
      </c>
      <c r="B200" s="33" t="s">
        <v>292</v>
      </c>
      <c r="C200" s="1019" t="s">
        <v>6082</v>
      </c>
      <c r="D200" s="1019"/>
      <c r="E200" s="20" t="s">
        <v>5819</v>
      </c>
      <c r="F200" s="33" t="s">
        <v>4016</v>
      </c>
      <c r="G200" s="318">
        <v>31.56</v>
      </c>
      <c r="H200" s="381" t="s">
        <v>532</v>
      </c>
      <c r="I200" s="660"/>
      <c r="J200" s="34" t="s">
        <v>536</v>
      </c>
      <c r="K200" s="34" t="s">
        <v>12656</v>
      </c>
      <c r="L200" s="5"/>
      <c r="M200" s="5"/>
      <c r="N200" s="5"/>
      <c r="O200" s="5"/>
      <c r="P200" s="76"/>
    </row>
    <row r="201" spans="1:16" s="60" customFormat="1" ht="47.25" customHeight="1" x14ac:dyDescent="0.2">
      <c r="A201" s="33" t="s">
        <v>9432</v>
      </c>
      <c r="B201" s="33" t="s">
        <v>292</v>
      </c>
      <c r="C201" s="1011" t="s">
        <v>6082</v>
      </c>
      <c r="D201" s="1011"/>
      <c r="E201" s="20" t="s">
        <v>5819</v>
      </c>
      <c r="F201" s="33" t="s">
        <v>4016</v>
      </c>
      <c r="G201" s="318">
        <v>1</v>
      </c>
      <c r="H201" s="381" t="s">
        <v>532</v>
      </c>
      <c r="I201" s="660"/>
      <c r="J201" s="34" t="s">
        <v>5447</v>
      </c>
      <c r="K201" s="34" t="s">
        <v>13823</v>
      </c>
      <c r="L201" s="5"/>
      <c r="M201" s="5"/>
      <c r="N201" s="5"/>
      <c r="O201" s="5"/>
      <c r="P201" s="76"/>
    </row>
    <row r="202" spans="1:16" s="235" customFormat="1" ht="26.25" customHeight="1" x14ac:dyDescent="0.2">
      <c r="A202" s="33" t="s">
        <v>11551</v>
      </c>
      <c r="B202" s="33" t="s">
        <v>292</v>
      </c>
      <c r="C202" s="1011" t="s">
        <v>6082</v>
      </c>
      <c r="D202" s="1011"/>
      <c r="E202" s="20" t="s">
        <v>5819</v>
      </c>
      <c r="F202" s="33" t="s">
        <v>4016</v>
      </c>
      <c r="G202" s="318">
        <v>1</v>
      </c>
      <c r="H202" s="381" t="s">
        <v>532</v>
      </c>
      <c r="I202" s="660"/>
      <c r="J202" s="34" t="s">
        <v>11552</v>
      </c>
      <c r="K202" s="646" t="s">
        <v>12657</v>
      </c>
      <c r="P202" s="275"/>
    </row>
    <row r="203" spans="1:16" s="235" customFormat="1" ht="46.5" customHeight="1" x14ac:dyDescent="0.2">
      <c r="A203" s="33" t="s">
        <v>13804</v>
      </c>
      <c r="B203" s="33" t="s">
        <v>292</v>
      </c>
      <c r="C203" s="1014" t="s">
        <v>6082</v>
      </c>
      <c r="D203" s="1015"/>
      <c r="E203" s="99" t="s">
        <v>5819</v>
      </c>
      <c r="F203" s="33" t="s">
        <v>2831</v>
      </c>
      <c r="G203" s="318">
        <v>17.399999999999999</v>
      </c>
      <c r="H203" s="20" t="s">
        <v>532</v>
      </c>
      <c r="I203" s="660"/>
      <c r="J203" s="34" t="s">
        <v>13805</v>
      </c>
      <c r="K203" s="702" t="s">
        <v>13911</v>
      </c>
      <c r="P203" s="275"/>
    </row>
    <row r="204" spans="1:16" s="70" customFormat="1" ht="46.5" customHeight="1" x14ac:dyDescent="0.2">
      <c r="A204" s="33" t="s">
        <v>2292</v>
      </c>
      <c r="B204" s="145" t="s">
        <v>292</v>
      </c>
      <c r="C204" s="1019" t="s">
        <v>6082</v>
      </c>
      <c r="D204" s="1019"/>
      <c r="E204" s="20"/>
      <c r="F204" s="145" t="s">
        <v>4016</v>
      </c>
      <c r="G204" s="331">
        <v>14.32</v>
      </c>
      <c r="H204" s="329" t="s">
        <v>532</v>
      </c>
      <c r="I204" s="656"/>
      <c r="J204" s="108" t="s">
        <v>12210</v>
      </c>
      <c r="K204" s="108" t="s">
        <v>12658</v>
      </c>
      <c r="L204" s="69"/>
      <c r="M204" s="69"/>
      <c r="N204" s="69"/>
      <c r="O204" s="69"/>
      <c r="P204" s="118"/>
    </row>
    <row r="205" spans="1:16" s="60" customFormat="1" ht="69" customHeight="1" x14ac:dyDescent="0.2">
      <c r="A205" s="33" t="s">
        <v>2293</v>
      </c>
      <c r="B205" s="33" t="s">
        <v>292</v>
      </c>
      <c r="C205" s="1011" t="s">
        <v>6082</v>
      </c>
      <c r="D205" s="1011"/>
      <c r="E205" s="111" t="s">
        <v>5889</v>
      </c>
      <c r="F205" s="33" t="s">
        <v>4016</v>
      </c>
      <c r="G205" s="318">
        <v>149.5</v>
      </c>
      <c r="H205" s="381" t="s">
        <v>532</v>
      </c>
      <c r="I205" s="660"/>
      <c r="J205" s="34" t="s">
        <v>5722</v>
      </c>
      <c r="K205" s="34" t="s">
        <v>12617</v>
      </c>
      <c r="L205" s="5"/>
      <c r="M205" s="5"/>
      <c r="N205" s="5"/>
      <c r="O205" s="5"/>
      <c r="P205" s="76"/>
    </row>
    <row r="206" spans="1:16" s="60" customFormat="1" ht="36" customHeight="1" x14ac:dyDescent="0.2">
      <c r="A206" s="33" t="s">
        <v>2294</v>
      </c>
      <c r="B206" s="33" t="s">
        <v>292</v>
      </c>
      <c r="C206" s="1019" t="s">
        <v>6082</v>
      </c>
      <c r="D206" s="1019"/>
      <c r="E206" s="20" t="s">
        <v>5820</v>
      </c>
      <c r="F206" s="33" t="s">
        <v>4016</v>
      </c>
      <c r="G206" s="318">
        <v>41.72</v>
      </c>
      <c r="H206" s="381" t="s">
        <v>532</v>
      </c>
      <c r="I206" s="660"/>
      <c r="J206" s="34" t="s">
        <v>7430</v>
      </c>
      <c r="K206" s="34" t="s">
        <v>13852</v>
      </c>
      <c r="L206" s="5"/>
      <c r="M206" s="5"/>
      <c r="N206" s="5"/>
      <c r="O206" s="5"/>
      <c r="P206" s="76"/>
    </row>
    <row r="207" spans="1:16" s="60" customFormat="1" ht="66" customHeight="1" x14ac:dyDescent="0.2">
      <c r="A207" s="33" t="s">
        <v>9433</v>
      </c>
      <c r="B207" s="33" t="s">
        <v>292</v>
      </c>
      <c r="C207" s="1011" t="s">
        <v>6082</v>
      </c>
      <c r="D207" s="1011"/>
      <c r="E207" s="20" t="s">
        <v>5820</v>
      </c>
      <c r="F207" s="33" t="s">
        <v>4016</v>
      </c>
      <c r="G207" s="317">
        <v>16.2</v>
      </c>
      <c r="H207" s="381" t="s">
        <v>532</v>
      </c>
      <c r="I207" s="660"/>
      <c r="J207" s="34" t="s">
        <v>5722</v>
      </c>
      <c r="K207" s="34" t="s">
        <v>12659</v>
      </c>
      <c r="L207" s="5"/>
      <c r="M207" s="5"/>
      <c r="N207" s="5"/>
      <c r="O207" s="5"/>
      <c r="P207" s="76"/>
    </row>
    <row r="208" spans="1:16" s="5" customFormat="1" ht="29.25" customHeight="1" x14ac:dyDescent="0.2">
      <c r="A208" s="33" t="s">
        <v>5451</v>
      </c>
      <c r="B208" s="33" t="s">
        <v>292</v>
      </c>
      <c r="C208" s="1011" t="s">
        <v>6083</v>
      </c>
      <c r="D208" s="1011"/>
      <c r="E208" s="111" t="s">
        <v>9415</v>
      </c>
      <c r="F208" s="33" t="s">
        <v>530</v>
      </c>
      <c r="G208" s="317">
        <v>80</v>
      </c>
      <c r="H208" s="381" t="s">
        <v>502</v>
      </c>
      <c r="I208" s="174">
        <v>998066.65</v>
      </c>
      <c r="J208" s="34" t="s">
        <v>11161</v>
      </c>
      <c r="K208" s="34" t="s">
        <v>12660</v>
      </c>
      <c r="P208" s="67"/>
    </row>
    <row r="209" spans="1:16" s="5" customFormat="1" ht="30" customHeight="1" x14ac:dyDescent="0.2">
      <c r="A209" s="33" t="s">
        <v>2295</v>
      </c>
      <c r="B209" s="33" t="s">
        <v>531</v>
      </c>
      <c r="C209" s="1011" t="s">
        <v>6084</v>
      </c>
      <c r="D209" s="1011"/>
      <c r="E209" s="111"/>
      <c r="F209" s="33" t="s">
        <v>6323</v>
      </c>
      <c r="G209" s="317">
        <f>171.5-93.5</f>
        <v>78</v>
      </c>
      <c r="H209" s="381" t="s">
        <v>69</v>
      </c>
      <c r="I209" s="174">
        <v>947070.54</v>
      </c>
      <c r="J209" s="34" t="s">
        <v>11161</v>
      </c>
      <c r="K209" s="34" t="s">
        <v>12661</v>
      </c>
      <c r="P209" s="67"/>
    </row>
    <row r="210" spans="1:16" s="5" customFormat="1" ht="29.25" customHeight="1" x14ac:dyDescent="0.2">
      <c r="A210" s="66" t="s">
        <v>5792</v>
      </c>
      <c r="B210" s="66" t="s">
        <v>292</v>
      </c>
      <c r="C210" s="1031" t="s">
        <v>5861</v>
      </c>
      <c r="D210" s="1031"/>
      <c r="E210" s="111" t="s">
        <v>6653</v>
      </c>
      <c r="F210" s="66" t="s">
        <v>3847</v>
      </c>
      <c r="G210" s="323">
        <v>81.599999999999994</v>
      </c>
      <c r="H210" s="312" t="s">
        <v>69</v>
      </c>
      <c r="I210" s="57">
        <v>16774.509999999998</v>
      </c>
      <c r="J210" s="34" t="s">
        <v>11161</v>
      </c>
      <c r="K210" s="34" t="s">
        <v>12662</v>
      </c>
      <c r="P210" s="67"/>
    </row>
    <row r="211" spans="1:16" s="5" customFormat="1" ht="45" x14ac:dyDescent="0.2">
      <c r="A211" s="33" t="s">
        <v>9434</v>
      </c>
      <c r="B211" s="66" t="s">
        <v>292</v>
      </c>
      <c r="C211" s="1031" t="s">
        <v>6641</v>
      </c>
      <c r="D211" s="1031"/>
      <c r="E211" s="111" t="s">
        <v>6640</v>
      </c>
      <c r="F211" s="66" t="s">
        <v>3847</v>
      </c>
      <c r="G211" s="323">
        <v>12.2</v>
      </c>
      <c r="H211" s="312" t="s">
        <v>69</v>
      </c>
      <c r="I211" s="65">
        <v>2507.9499999999998</v>
      </c>
      <c r="J211" s="78" t="s">
        <v>5823</v>
      </c>
      <c r="K211" s="19" t="s">
        <v>13819</v>
      </c>
      <c r="P211" s="67"/>
    </row>
    <row r="212" spans="1:16" s="5" customFormat="1" ht="36" customHeight="1" x14ac:dyDescent="0.2">
      <c r="A212" s="33" t="s">
        <v>9435</v>
      </c>
      <c r="B212" s="66" t="s">
        <v>292</v>
      </c>
      <c r="C212" s="1031" t="s">
        <v>6643</v>
      </c>
      <c r="D212" s="1031"/>
      <c r="E212" s="111" t="s">
        <v>6642</v>
      </c>
      <c r="F212" s="66" t="s">
        <v>3847</v>
      </c>
      <c r="G212" s="318">
        <v>19.100000000000001</v>
      </c>
      <c r="H212" s="381" t="s">
        <v>69</v>
      </c>
      <c r="I212" s="660">
        <v>3926.39</v>
      </c>
      <c r="J212" s="34" t="s">
        <v>3293</v>
      </c>
      <c r="K212" s="642" t="s">
        <v>12663</v>
      </c>
      <c r="P212" s="67"/>
    </row>
    <row r="213" spans="1:16" s="5" customFormat="1" ht="37.5" customHeight="1" x14ac:dyDescent="0.2">
      <c r="A213" s="66" t="s">
        <v>2296</v>
      </c>
      <c r="B213" s="66" t="s">
        <v>292</v>
      </c>
      <c r="C213" s="1031" t="s">
        <v>6639</v>
      </c>
      <c r="D213" s="1031"/>
      <c r="E213" s="111" t="s">
        <v>6638</v>
      </c>
      <c r="F213" s="66" t="s">
        <v>3847</v>
      </c>
      <c r="G213" s="323">
        <v>17.100000000000001</v>
      </c>
      <c r="H213" s="312" t="s">
        <v>69</v>
      </c>
      <c r="I213" s="65">
        <v>3515.25</v>
      </c>
      <c r="J213" s="78" t="s">
        <v>4031</v>
      </c>
      <c r="K213" s="704" t="s">
        <v>13901</v>
      </c>
      <c r="P213" s="67"/>
    </row>
    <row r="214" spans="1:16" s="198" customFormat="1" ht="35.25" customHeight="1" x14ac:dyDescent="0.2">
      <c r="A214" s="66" t="s">
        <v>3941</v>
      </c>
      <c r="B214" s="214" t="s">
        <v>292</v>
      </c>
      <c r="C214" s="1011" t="s">
        <v>5738</v>
      </c>
      <c r="D214" s="1011"/>
      <c r="E214" s="20" t="s">
        <v>13699</v>
      </c>
      <c r="F214" s="33" t="s">
        <v>5739</v>
      </c>
      <c r="G214" s="317">
        <v>9.4</v>
      </c>
      <c r="H214" s="381" t="s">
        <v>3301</v>
      </c>
      <c r="I214" s="660">
        <v>58990.92</v>
      </c>
      <c r="J214" s="19" t="s">
        <v>3925</v>
      </c>
      <c r="K214" s="19" t="s">
        <v>13879</v>
      </c>
      <c r="P214"/>
    </row>
    <row r="215" spans="1:16" s="60" customFormat="1" ht="33.75" customHeight="1" x14ac:dyDescent="0.2">
      <c r="A215" s="66" t="s">
        <v>2297</v>
      </c>
      <c r="B215" s="33" t="s">
        <v>6267</v>
      </c>
      <c r="C215" s="1011" t="s">
        <v>5860</v>
      </c>
      <c r="D215" s="1011"/>
      <c r="E215" s="20" t="s">
        <v>2844</v>
      </c>
      <c r="F215" s="33" t="s">
        <v>172</v>
      </c>
      <c r="G215" s="318">
        <f>100.3-23.29-28.14</f>
        <v>48.86999999999999</v>
      </c>
      <c r="H215" s="381" t="s">
        <v>5731</v>
      </c>
      <c r="I215" s="660"/>
      <c r="J215" s="34" t="s">
        <v>6285</v>
      </c>
      <c r="K215" s="20" t="s">
        <v>12664</v>
      </c>
    </row>
    <row r="216" spans="1:16" s="60" customFormat="1" ht="79.5" customHeight="1" x14ac:dyDescent="0.2">
      <c r="A216" s="33" t="s">
        <v>9436</v>
      </c>
      <c r="B216" s="33" t="s">
        <v>6266</v>
      </c>
      <c r="C216" s="1011" t="s">
        <v>5860</v>
      </c>
      <c r="D216" s="1011"/>
      <c r="E216" s="20" t="s">
        <v>2844</v>
      </c>
      <c r="F216" s="33" t="s">
        <v>2845</v>
      </c>
      <c r="G216" s="318">
        <v>23.29</v>
      </c>
      <c r="H216" s="381" t="s">
        <v>5731</v>
      </c>
      <c r="I216" s="660"/>
      <c r="J216" s="34" t="s">
        <v>4397</v>
      </c>
      <c r="K216" s="20" t="s">
        <v>13837</v>
      </c>
      <c r="L216" s="5"/>
      <c r="M216" s="5"/>
      <c r="N216" s="5"/>
      <c r="O216" s="5"/>
    </row>
    <row r="217" spans="1:16" s="60" customFormat="1" ht="48" customHeight="1" x14ac:dyDescent="0.2">
      <c r="A217" s="33" t="s">
        <v>9437</v>
      </c>
      <c r="B217" s="33" t="s">
        <v>6265</v>
      </c>
      <c r="C217" s="1011" t="s">
        <v>5860</v>
      </c>
      <c r="D217" s="1011"/>
      <c r="E217" s="20" t="s">
        <v>2844</v>
      </c>
      <c r="F217" s="33" t="s">
        <v>6268</v>
      </c>
      <c r="G217" s="318">
        <v>28.14</v>
      </c>
      <c r="H217" s="381" t="s">
        <v>5731</v>
      </c>
      <c r="I217" s="660"/>
      <c r="J217" s="84" t="s">
        <v>9341</v>
      </c>
      <c r="K217" s="34" t="s">
        <v>12665</v>
      </c>
    </row>
    <row r="218" spans="1:16" s="60" customFormat="1" ht="45" customHeight="1" x14ac:dyDescent="0.2">
      <c r="A218" s="66" t="s">
        <v>2298</v>
      </c>
      <c r="B218" s="66" t="s">
        <v>292</v>
      </c>
      <c r="C218" s="1009" t="s">
        <v>5858</v>
      </c>
      <c r="D218" s="1009"/>
      <c r="E218" s="20" t="s">
        <v>479</v>
      </c>
      <c r="F218" s="20"/>
      <c r="G218" s="327">
        <v>38.6</v>
      </c>
      <c r="H218" s="26">
        <v>1982</v>
      </c>
      <c r="I218" s="660"/>
      <c r="J218" s="32" t="s">
        <v>5841</v>
      </c>
      <c r="K218" s="19" t="s">
        <v>12666</v>
      </c>
    </row>
    <row r="219" spans="1:16" s="5" customFormat="1" ht="25.5" customHeight="1" x14ac:dyDescent="0.2">
      <c r="A219" s="33" t="s">
        <v>2299</v>
      </c>
      <c r="B219" s="33" t="s">
        <v>3275</v>
      </c>
      <c r="C219" s="1011" t="s">
        <v>5859</v>
      </c>
      <c r="D219" s="1011"/>
      <c r="E219" s="20"/>
      <c r="F219" s="33" t="s">
        <v>174</v>
      </c>
      <c r="G219" s="317">
        <f>55.4</f>
        <v>55.4</v>
      </c>
      <c r="H219" s="381" t="s">
        <v>532</v>
      </c>
      <c r="I219" s="660"/>
      <c r="J219" s="34" t="s">
        <v>3293</v>
      </c>
      <c r="K219" s="34"/>
    </row>
    <row r="220" spans="1:16" s="235" customFormat="1" ht="36" customHeight="1" x14ac:dyDescent="0.2">
      <c r="A220" s="66" t="s">
        <v>2300</v>
      </c>
      <c r="B220" s="66" t="s">
        <v>292</v>
      </c>
      <c r="C220" s="1011" t="s">
        <v>5740</v>
      </c>
      <c r="D220" s="1011"/>
      <c r="E220" s="20"/>
      <c r="F220" s="33" t="s">
        <v>3070</v>
      </c>
      <c r="G220" s="317">
        <v>25.4</v>
      </c>
      <c r="H220" s="381" t="s">
        <v>3701</v>
      </c>
      <c r="I220" s="660"/>
      <c r="J220" s="1040" t="s">
        <v>9245</v>
      </c>
      <c r="K220" s="101" t="s">
        <v>13832</v>
      </c>
    </row>
    <row r="221" spans="1:16" s="235" customFormat="1" ht="39" customHeight="1" x14ac:dyDescent="0.2">
      <c r="A221" s="66" t="s">
        <v>2301</v>
      </c>
      <c r="B221" s="66" t="s">
        <v>292</v>
      </c>
      <c r="C221" s="1011" t="s">
        <v>6300</v>
      </c>
      <c r="D221" s="1011"/>
      <c r="E221" s="20"/>
      <c r="F221" s="33" t="s">
        <v>5741</v>
      </c>
      <c r="G221" s="317">
        <v>30.4</v>
      </c>
      <c r="H221" s="381" t="s">
        <v>67</v>
      </c>
      <c r="I221" s="660"/>
      <c r="J221" s="1040"/>
      <c r="K221" s="101" t="s">
        <v>13833</v>
      </c>
    </row>
    <row r="222" spans="1:16" s="5" customFormat="1" ht="44.25" customHeight="1" x14ac:dyDescent="0.2">
      <c r="A222" s="66" t="s">
        <v>9438</v>
      </c>
      <c r="B222" s="66" t="s">
        <v>10787</v>
      </c>
      <c r="C222" s="1038" t="s">
        <v>10786</v>
      </c>
      <c r="D222" s="1038"/>
      <c r="E222" s="20" t="s">
        <v>10788</v>
      </c>
      <c r="F222" s="33" t="s">
        <v>164</v>
      </c>
      <c r="G222" s="317">
        <v>629.4</v>
      </c>
      <c r="H222" s="381" t="s">
        <v>9380</v>
      </c>
      <c r="I222" s="660">
        <v>1993630.79</v>
      </c>
      <c r="J222" s="655" t="s">
        <v>8936</v>
      </c>
      <c r="K222" s="655" t="s">
        <v>8936</v>
      </c>
    </row>
    <row r="223" spans="1:16" s="5" customFormat="1" ht="62.25" customHeight="1" x14ac:dyDescent="0.2">
      <c r="A223" s="411" t="s">
        <v>10785</v>
      </c>
      <c r="B223" s="12" t="s">
        <v>11383</v>
      </c>
      <c r="C223" s="1048" t="s">
        <v>11375</v>
      </c>
      <c r="D223" s="1048"/>
      <c r="E223" s="12" t="s">
        <v>11376</v>
      </c>
      <c r="F223" s="380" t="s">
        <v>6199</v>
      </c>
      <c r="G223" s="352">
        <f>894.4-146.4</f>
        <v>748</v>
      </c>
      <c r="H223" s="312" t="s">
        <v>5731</v>
      </c>
      <c r="I223" s="660">
        <v>183861.81</v>
      </c>
      <c r="J223" s="19" t="s">
        <v>11553</v>
      </c>
      <c r="K223" s="19" t="s">
        <v>12667</v>
      </c>
    </row>
    <row r="224" spans="1:16" s="5" customFormat="1" ht="45.75" customHeight="1" x14ac:dyDescent="0.2">
      <c r="A224" s="66" t="s">
        <v>11509</v>
      </c>
      <c r="B224" s="66" t="s">
        <v>11510</v>
      </c>
      <c r="C224" s="1038" t="s">
        <v>11375</v>
      </c>
      <c r="D224" s="1038"/>
      <c r="E224" s="12"/>
      <c r="F224" s="380" t="s">
        <v>11511</v>
      </c>
      <c r="G224" s="317">
        <v>146.4</v>
      </c>
      <c r="H224" s="381" t="s">
        <v>5731</v>
      </c>
      <c r="I224" s="660"/>
      <c r="J224" s="34" t="s">
        <v>11512</v>
      </c>
      <c r="K224" s="34" t="s">
        <v>11513</v>
      </c>
    </row>
    <row r="225" spans="1:16" s="5" customFormat="1" ht="36" customHeight="1" x14ac:dyDescent="0.2">
      <c r="A225" s="66" t="s">
        <v>13402</v>
      </c>
      <c r="B225" s="66" t="s">
        <v>292</v>
      </c>
      <c r="C225" s="1046" t="s">
        <v>13403</v>
      </c>
      <c r="D225" s="1047"/>
      <c r="E225" s="605" t="s">
        <v>13404</v>
      </c>
      <c r="F225" s="380" t="s">
        <v>2410</v>
      </c>
      <c r="G225" s="317">
        <v>61</v>
      </c>
      <c r="H225" s="659"/>
      <c r="I225" s="660">
        <v>944376.99</v>
      </c>
      <c r="J225" s="660"/>
      <c r="K225" s="65"/>
    </row>
    <row r="226" spans="1:16" s="5" customFormat="1" ht="36.75" customHeight="1" x14ac:dyDescent="0.2">
      <c r="A226" s="66" t="s">
        <v>13671</v>
      </c>
      <c r="B226" s="66" t="s">
        <v>292</v>
      </c>
      <c r="C226" s="1029" t="s">
        <v>13672</v>
      </c>
      <c r="D226" s="1030"/>
      <c r="E226" s="605" t="s">
        <v>13673</v>
      </c>
      <c r="F226" s="380" t="s">
        <v>13674</v>
      </c>
      <c r="G226" s="93">
        <v>300</v>
      </c>
      <c r="H226" s="20" t="s">
        <v>39</v>
      </c>
      <c r="I226" s="660">
        <v>117951</v>
      </c>
      <c r="J226" s="12"/>
      <c r="K226" s="181"/>
    </row>
    <row r="227" spans="1:16" s="5" customFormat="1" ht="36.75" customHeight="1" x14ac:dyDescent="0.2">
      <c r="A227" s="827" t="s">
        <v>14802</v>
      </c>
      <c r="B227" s="828" t="s">
        <v>14803</v>
      </c>
      <c r="C227" s="1036" t="s">
        <v>14804</v>
      </c>
      <c r="D227" s="1037"/>
      <c r="E227" s="829"/>
      <c r="F227" s="830" t="s">
        <v>14805</v>
      </c>
      <c r="G227" s="825" t="s">
        <v>143</v>
      </c>
      <c r="H227" s="831">
        <v>23.2</v>
      </c>
      <c r="I227" s="832">
        <v>22658.74</v>
      </c>
      <c r="J227" s="12"/>
      <c r="K227" s="181"/>
    </row>
    <row r="228" spans="1:16" s="5" customFormat="1" ht="36.75" customHeight="1" x14ac:dyDescent="0.2">
      <c r="A228" s="827" t="s">
        <v>14806</v>
      </c>
      <c r="B228" s="828" t="s">
        <v>14807</v>
      </c>
      <c r="C228" s="1036" t="s">
        <v>14808</v>
      </c>
      <c r="D228" s="1037"/>
      <c r="E228" s="829"/>
      <c r="F228" s="830" t="s">
        <v>14809</v>
      </c>
      <c r="G228" s="825" t="s">
        <v>143</v>
      </c>
      <c r="H228" s="831">
        <v>623.9</v>
      </c>
      <c r="I228" s="832">
        <v>609344.41</v>
      </c>
      <c r="J228" s="12"/>
      <c r="K228" s="181"/>
    </row>
    <row r="229" spans="1:16" s="5" customFormat="1" ht="36" customHeight="1" x14ac:dyDescent="0.2">
      <c r="A229" s="827" t="s">
        <v>14810</v>
      </c>
      <c r="B229" s="828" t="s">
        <v>14811</v>
      </c>
      <c r="C229" s="1036" t="s">
        <v>14812</v>
      </c>
      <c r="D229" s="1037"/>
      <c r="E229" s="829"/>
      <c r="F229" s="830" t="s">
        <v>14813</v>
      </c>
      <c r="G229" s="825" t="s">
        <v>143</v>
      </c>
      <c r="H229" s="831">
        <v>67.8</v>
      </c>
      <c r="I229" s="832">
        <v>66218.23</v>
      </c>
      <c r="J229" s="34"/>
      <c r="K229" s="181"/>
    </row>
    <row r="230" spans="1:16" s="5" customFormat="1" ht="18.75" customHeight="1" x14ac:dyDescent="0.2">
      <c r="A230" s="177"/>
      <c r="B230" s="178"/>
      <c r="C230" s="1045"/>
      <c r="D230" s="1045"/>
      <c r="E230" s="179"/>
      <c r="F230" s="177"/>
      <c r="G230" s="332"/>
      <c r="H230" s="333"/>
      <c r="I230" s="180"/>
      <c r="J230" s="181"/>
      <c r="K230" s="181"/>
    </row>
    <row r="231" spans="1:16" x14ac:dyDescent="0.2">
      <c r="H231" s="465"/>
    </row>
    <row r="232" spans="1:16" ht="11.25" x14ac:dyDescent="0.2">
      <c r="P232" s="4"/>
    </row>
    <row r="233" spans="1:16" ht="11.25" x14ac:dyDescent="0.2">
      <c r="P233" s="4"/>
    </row>
    <row r="234" spans="1:16" ht="11.25" x14ac:dyDescent="0.2">
      <c r="P234" s="4"/>
    </row>
    <row r="235" spans="1:16" ht="11.25" x14ac:dyDescent="0.2">
      <c r="P235" s="4"/>
    </row>
  </sheetData>
  <mergeCells count="248">
    <mergeCell ref="L42:O42"/>
    <mergeCell ref="L31:M31"/>
    <mergeCell ref="C27:D27"/>
    <mergeCell ref="C28:D28"/>
    <mergeCell ref="C32:D32"/>
    <mergeCell ref="C41:D41"/>
    <mergeCell ref="C24:D26"/>
    <mergeCell ref="C45:D45"/>
    <mergeCell ref="F12:F13"/>
    <mergeCell ref="N8:O8"/>
    <mergeCell ref="L8:M8"/>
    <mergeCell ref="I12:I13"/>
    <mergeCell ref="E12:E13"/>
    <mergeCell ref="C19:D19"/>
    <mergeCell ref="C36:D36"/>
    <mergeCell ref="C40:D40"/>
    <mergeCell ref="C29:D29"/>
    <mergeCell ref="C30:D30"/>
    <mergeCell ref="L18:N18"/>
    <mergeCell ref="C17:D17"/>
    <mergeCell ref="C16:D16"/>
    <mergeCell ref="C22:D22"/>
    <mergeCell ref="C20:D20"/>
    <mergeCell ref="I15:I17"/>
    <mergeCell ref="C37:D37"/>
    <mergeCell ref="E135:E136"/>
    <mergeCell ref="C46:D46"/>
    <mergeCell ref="C77:D77"/>
    <mergeCell ref="C60:D60"/>
    <mergeCell ref="C44:D44"/>
    <mergeCell ref="C50:D50"/>
    <mergeCell ref="C43:D43"/>
    <mergeCell ref="C21:D21"/>
    <mergeCell ref="C42:D42"/>
    <mergeCell ref="C23:D23"/>
    <mergeCell ref="C33:D33"/>
    <mergeCell ref="C38:D38"/>
    <mergeCell ref="C39:D39"/>
    <mergeCell ref="C31:D31"/>
    <mergeCell ref="C34:D34"/>
    <mergeCell ref="C35:D35"/>
    <mergeCell ref="C54:D54"/>
    <mergeCell ref="C69:D69"/>
    <mergeCell ref="C55:D55"/>
    <mergeCell ref="C95:D95"/>
    <mergeCell ref="C80:D80"/>
    <mergeCell ref="C81:D81"/>
    <mergeCell ref="C84:D84"/>
    <mergeCell ref="C73:D73"/>
    <mergeCell ref="C5:D5"/>
    <mergeCell ref="C4:D4"/>
    <mergeCell ref="C7:D7"/>
    <mergeCell ref="B6:E6"/>
    <mergeCell ref="C8:D8"/>
    <mergeCell ref="C10:D10"/>
    <mergeCell ref="C14:D14"/>
    <mergeCell ref="C9:D9"/>
    <mergeCell ref="C18:D18"/>
    <mergeCell ref="C15:D15"/>
    <mergeCell ref="C13:D13"/>
    <mergeCell ref="C12:D12"/>
    <mergeCell ref="C11:D11"/>
    <mergeCell ref="C230:D230"/>
    <mergeCell ref="C209:D209"/>
    <mergeCell ref="C192:D192"/>
    <mergeCell ref="C207:D207"/>
    <mergeCell ref="C189:D189"/>
    <mergeCell ref="C202:D202"/>
    <mergeCell ref="C195:D195"/>
    <mergeCell ref="C211:D211"/>
    <mergeCell ref="C225:D225"/>
    <mergeCell ref="C226:D226"/>
    <mergeCell ref="C224:D224"/>
    <mergeCell ref="C223:D223"/>
    <mergeCell ref="C221:D221"/>
    <mergeCell ref="C213:D213"/>
    <mergeCell ref="C218:D218"/>
    <mergeCell ref="C210:D210"/>
    <mergeCell ref="C215:D215"/>
    <mergeCell ref="C216:D216"/>
    <mergeCell ref="C214:D214"/>
    <mergeCell ref="C204:D204"/>
    <mergeCell ref="C198:D198"/>
    <mergeCell ref="C212:D212"/>
    <mergeCell ref="C220:D220"/>
    <mergeCell ref="C219:D219"/>
    <mergeCell ref="I185:I186"/>
    <mergeCell ref="C160:D160"/>
    <mergeCell ref="C154:D154"/>
    <mergeCell ref="C156:D156"/>
    <mergeCell ref="C145:D145"/>
    <mergeCell ref="C167:D167"/>
    <mergeCell ref="C178:D178"/>
    <mergeCell ref="C181:D181"/>
    <mergeCell ref="C149:D149"/>
    <mergeCell ref="C147:D147"/>
    <mergeCell ref="C171:D171"/>
    <mergeCell ref="C165:D165"/>
    <mergeCell ref="C163:D163"/>
    <mergeCell ref="C170:D170"/>
    <mergeCell ref="C175:D175"/>
    <mergeCell ref="C152:D152"/>
    <mergeCell ref="C153:D153"/>
    <mergeCell ref="C158:D158"/>
    <mergeCell ref="C182:D182"/>
    <mergeCell ref="C164:D164"/>
    <mergeCell ref="C179:D179"/>
    <mergeCell ref="C184:D184"/>
    <mergeCell ref="C185:D185"/>
    <mergeCell ref="C180:D180"/>
    <mergeCell ref="J220:J221"/>
    <mergeCell ref="C131:D131"/>
    <mergeCell ref="C124:D124"/>
    <mergeCell ref="C159:D159"/>
    <mergeCell ref="C161:D161"/>
    <mergeCell ref="C155:D155"/>
    <mergeCell ref="C151:D151"/>
    <mergeCell ref="C150:D150"/>
    <mergeCell ref="C146:D146"/>
    <mergeCell ref="C157:D157"/>
    <mergeCell ref="C172:D172"/>
    <mergeCell ref="C174:D174"/>
    <mergeCell ref="C190:D190"/>
    <mergeCell ref="C177:D177"/>
    <mergeCell ref="C168:D168"/>
    <mergeCell ref="C173:D173"/>
    <mergeCell ref="C169:D169"/>
    <mergeCell ref="C176:D176"/>
    <mergeCell ref="C166:D166"/>
    <mergeCell ref="I125:I126"/>
    <mergeCell ref="C187:D187"/>
    <mergeCell ref="C139:D139"/>
    <mergeCell ref="J196:K196"/>
    <mergeCell ref="C135:D135"/>
    <mergeCell ref="C59:D59"/>
    <mergeCell ref="C70:D70"/>
    <mergeCell ref="C83:D83"/>
    <mergeCell ref="C72:D72"/>
    <mergeCell ref="C74:D74"/>
    <mergeCell ref="C75:D75"/>
    <mergeCell ref="C71:D71"/>
    <mergeCell ref="C64:D64"/>
    <mergeCell ref="C79:D79"/>
    <mergeCell ref="C65:D65"/>
    <mergeCell ref="C67:D67"/>
    <mergeCell ref="C183:D183"/>
    <mergeCell ref="C188:D188"/>
    <mergeCell ref="C89:D89"/>
    <mergeCell ref="C110:D110"/>
    <mergeCell ref="C120:D120"/>
    <mergeCell ref="C116:D116"/>
    <mergeCell ref="C85:D85"/>
    <mergeCell ref="C86:D86"/>
    <mergeCell ref="C76:D76"/>
    <mergeCell ref="C114:D114"/>
    <mergeCell ref="C148:D148"/>
    <mergeCell ref="C119:D119"/>
    <mergeCell ref="C88:D88"/>
    <mergeCell ref="C201:D201"/>
    <mergeCell ref="C186:D186"/>
    <mergeCell ref="C205:D205"/>
    <mergeCell ref="C194:D194"/>
    <mergeCell ref="C203:D203"/>
    <mergeCell ref="C229:D229"/>
    <mergeCell ref="C222:D222"/>
    <mergeCell ref="C217:D217"/>
    <mergeCell ref="C206:D206"/>
    <mergeCell ref="C227:D227"/>
    <mergeCell ref="C228:D228"/>
    <mergeCell ref="C199:D199"/>
    <mergeCell ref="C196:D196"/>
    <mergeCell ref="C208:D208"/>
    <mergeCell ref="C191:D191"/>
    <mergeCell ref="C200:D200"/>
    <mergeCell ref="C197:D197"/>
    <mergeCell ref="C193:D193"/>
    <mergeCell ref="B2:F2"/>
    <mergeCell ref="C87:D87"/>
    <mergeCell ref="C109:D109"/>
    <mergeCell ref="C96:D96"/>
    <mergeCell ref="C99:D99"/>
    <mergeCell ref="C98:D98"/>
    <mergeCell ref="C100:D100"/>
    <mergeCell ref="C105:D105"/>
    <mergeCell ref="C136:D136"/>
    <mergeCell ref="C52:D52"/>
    <mergeCell ref="C47:D47"/>
    <mergeCell ref="C48:D48"/>
    <mergeCell ref="C90:D90"/>
    <mergeCell ref="C101:D101"/>
    <mergeCell ref="C93:D93"/>
    <mergeCell ref="C66:D66"/>
    <mergeCell ref="C63:D63"/>
    <mergeCell ref="C56:D56"/>
    <mergeCell ref="C118:D118"/>
    <mergeCell ref="C53:D53"/>
    <mergeCell ref="C51:D51"/>
    <mergeCell ref="C68:D68"/>
    <mergeCell ref="C58:D58"/>
    <mergeCell ref="C61:D61"/>
    <mergeCell ref="I160:I163"/>
    <mergeCell ref="E137:E138"/>
    <mergeCell ref="C78:D78"/>
    <mergeCell ref="C143:D143"/>
    <mergeCell ref="C141:D141"/>
    <mergeCell ref="C140:D140"/>
    <mergeCell ref="C113:D113"/>
    <mergeCell ref="C144:D144"/>
    <mergeCell ref="C142:D142"/>
    <mergeCell ref="C162:D162"/>
    <mergeCell ref="C138:D138"/>
    <mergeCell ref="C137:D137"/>
    <mergeCell ref="C123:D123"/>
    <mergeCell ref="C129:D129"/>
    <mergeCell ref="C134:D134"/>
    <mergeCell ref="C121:D121"/>
    <mergeCell ref="C122:D122"/>
    <mergeCell ref="C117:D117"/>
    <mergeCell ref="C112:D112"/>
    <mergeCell ref="C115:D115"/>
    <mergeCell ref="C130:D130"/>
    <mergeCell ref="C111:D111"/>
    <mergeCell ref="C125:D125"/>
    <mergeCell ref="C82:D82"/>
    <mergeCell ref="C49:D49"/>
    <mergeCell ref="J91:J92"/>
    <mergeCell ref="C94:D94"/>
    <mergeCell ref="C97:D97"/>
    <mergeCell ref="I96:I97"/>
    <mergeCell ref="C133:D133"/>
    <mergeCell ref="C126:D126"/>
    <mergeCell ref="C128:D128"/>
    <mergeCell ref="C108:D108"/>
    <mergeCell ref="C127:D127"/>
    <mergeCell ref="C132:D132"/>
    <mergeCell ref="C102:D102"/>
    <mergeCell ref="C91:D91"/>
    <mergeCell ref="C103:D103"/>
    <mergeCell ref="C106:D106"/>
    <mergeCell ref="C104:D104"/>
    <mergeCell ref="C107:D107"/>
    <mergeCell ref="C62:D62"/>
    <mergeCell ref="C57:D57"/>
    <mergeCell ref="I77:I79"/>
    <mergeCell ref="C92:D92"/>
    <mergeCell ref="E88:E92"/>
    <mergeCell ref="I88:I92"/>
    <mergeCell ref="E61:E6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646"/>
  <sheetViews>
    <sheetView topLeftCell="A216" zoomScale="90" zoomScaleNormal="90" workbookViewId="0">
      <selection activeCell="E220" sqref="E220"/>
    </sheetView>
  </sheetViews>
  <sheetFormatPr defaultRowHeight="11.25" x14ac:dyDescent="0.2"/>
  <cols>
    <col min="1" max="1" width="10.7109375" style="4" customWidth="1"/>
    <col min="2" max="2" width="26" style="4" customWidth="1"/>
    <col min="3" max="3" width="41.5703125" style="4" customWidth="1"/>
    <col min="4" max="4" width="22.7109375" style="4" customWidth="1"/>
    <col min="5" max="5" width="29.5703125" style="4" customWidth="1"/>
    <col min="6" max="6" width="14.28515625" style="4" customWidth="1"/>
    <col min="7" max="7" width="15.7109375" style="5" customWidth="1"/>
    <col min="8" max="8" width="21.42578125" style="4" customWidth="1"/>
    <col min="9" max="9" width="33.85546875" style="4" customWidth="1"/>
    <col min="10" max="10" width="13.140625" style="4" customWidth="1"/>
    <col min="11" max="16384" width="9.140625" style="4"/>
  </cols>
  <sheetData>
    <row r="1" spans="1:21" x14ac:dyDescent="0.2">
      <c r="F1" s="5"/>
    </row>
    <row r="2" spans="1:21" ht="12.75" customHeight="1" x14ac:dyDescent="0.2">
      <c r="A2" s="6"/>
      <c r="B2" s="991" t="s">
        <v>11705</v>
      </c>
      <c r="C2" s="991"/>
      <c r="D2" s="991"/>
      <c r="E2" s="991"/>
      <c r="F2" s="7" t="s">
        <v>384</v>
      </c>
      <c r="G2" s="6"/>
    </row>
    <row r="3" spans="1:21" x14ac:dyDescent="0.2">
      <c r="G3" s="4"/>
      <c r="H3" s="4" t="s">
        <v>384</v>
      </c>
    </row>
    <row r="4" spans="1:21" ht="80.25" customHeight="1" x14ac:dyDescent="0.2">
      <c r="A4" s="305" t="s">
        <v>11707</v>
      </c>
      <c r="B4" s="305" t="s">
        <v>11708</v>
      </c>
      <c r="C4" s="377" t="s">
        <v>11709</v>
      </c>
      <c r="D4" s="305" t="s">
        <v>11711</v>
      </c>
      <c r="E4" s="305" t="s">
        <v>11721</v>
      </c>
      <c r="F4" s="305" t="s">
        <v>11720</v>
      </c>
      <c r="G4" s="305" t="s">
        <v>11715</v>
      </c>
      <c r="H4" s="305" t="s">
        <v>352</v>
      </c>
      <c r="I4" s="305" t="s">
        <v>11722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customHeight="1" x14ac:dyDescent="0.2">
      <c r="A5" s="9">
        <v>1</v>
      </c>
      <c r="B5" s="9">
        <v>2</v>
      </c>
      <c r="C5" s="282">
        <v>3</v>
      </c>
      <c r="D5" s="9">
        <v>4</v>
      </c>
      <c r="E5" s="282">
        <v>5</v>
      </c>
      <c r="F5" s="9">
        <v>6</v>
      </c>
      <c r="G5" s="282">
        <v>7</v>
      </c>
      <c r="H5" s="9">
        <v>8</v>
      </c>
      <c r="I5" s="282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1" customHeight="1" x14ac:dyDescent="0.2">
      <c r="A6" s="8" t="s">
        <v>303</v>
      </c>
      <c r="B6" s="8"/>
      <c r="C6" s="1073"/>
      <c r="D6" s="1074"/>
      <c r="E6" s="1074"/>
      <c r="F6" s="1074"/>
      <c r="G6" s="8"/>
      <c r="H6" s="8"/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0" customFormat="1" ht="94.5" customHeight="1" x14ac:dyDescent="0.2">
      <c r="A7" s="12" t="s">
        <v>12742</v>
      </c>
      <c r="B7" s="12" t="s">
        <v>12743</v>
      </c>
      <c r="C7" s="419" t="s">
        <v>2818</v>
      </c>
      <c r="D7" s="578" t="s">
        <v>12744</v>
      </c>
      <c r="E7" s="222" t="s">
        <v>7025</v>
      </c>
      <c r="F7" s="132">
        <v>34354.9</v>
      </c>
      <c r="G7" s="65">
        <v>2888559.99</v>
      </c>
      <c r="H7" s="579"/>
      <c r="I7" s="12" t="s">
        <v>11725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0" customFormat="1" ht="94.5" customHeight="1" x14ac:dyDescent="0.2">
      <c r="A8" s="12" t="s">
        <v>12745</v>
      </c>
      <c r="B8" s="12" t="s">
        <v>12746</v>
      </c>
      <c r="C8" s="419" t="s">
        <v>2818</v>
      </c>
      <c r="D8" s="578" t="s">
        <v>12747</v>
      </c>
      <c r="E8" s="222" t="s">
        <v>7025</v>
      </c>
      <c r="F8" s="132">
        <v>12500</v>
      </c>
      <c r="G8" s="65">
        <v>1051000</v>
      </c>
      <c r="H8" s="579"/>
      <c r="I8" s="12" t="s">
        <v>11725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45.75" customHeight="1" x14ac:dyDescent="0.2">
      <c r="A9" s="12" t="s">
        <v>561</v>
      </c>
      <c r="B9" s="12" t="s">
        <v>4732</v>
      </c>
      <c r="C9" s="208" t="s">
        <v>6599</v>
      </c>
      <c r="D9" s="580" t="s">
        <v>6720</v>
      </c>
      <c r="E9" s="8" t="s">
        <v>7026</v>
      </c>
      <c r="F9" s="131">
        <v>1490</v>
      </c>
      <c r="G9" s="22">
        <v>156867.20000000001</v>
      </c>
      <c r="H9" s="581"/>
      <c r="I9" s="12" t="s">
        <v>11723</v>
      </c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47.25" customHeight="1" x14ac:dyDescent="0.2">
      <c r="A10" s="12" t="s">
        <v>562</v>
      </c>
      <c r="B10" s="12" t="s">
        <v>4238</v>
      </c>
      <c r="C10" s="208" t="s">
        <v>22</v>
      </c>
      <c r="D10" s="580" t="s">
        <v>6721</v>
      </c>
      <c r="E10" s="8" t="s">
        <v>7027</v>
      </c>
      <c r="F10" s="131">
        <v>676.3</v>
      </c>
      <c r="G10" s="22">
        <v>1172000</v>
      </c>
      <c r="H10" s="581"/>
      <c r="I10" s="12" t="s">
        <v>11725</v>
      </c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48" customHeight="1" x14ac:dyDescent="0.2">
      <c r="A11" s="12" t="s">
        <v>6357</v>
      </c>
      <c r="B11" s="8" t="s">
        <v>4239</v>
      </c>
      <c r="C11" s="208" t="s">
        <v>6480</v>
      </c>
      <c r="D11" s="96" t="s">
        <v>6355</v>
      </c>
      <c r="E11" s="8" t="s">
        <v>7027</v>
      </c>
      <c r="F11" s="131">
        <v>764</v>
      </c>
      <c r="G11" s="22">
        <v>1399984.16</v>
      </c>
      <c r="H11" s="8"/>
      <c r="I11" s="12" t="s">
        <v>11725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8" customHeight="1" x14ac:dyDescent="0.2">
      <c r="A12" s="12" t="s">
        <v>6358</v>
      </c>
      <c r="B12" s="8" t="s">
        <v>4239</v>
      </c>
      <c r="C12" s="208" t="s">
        <v>6481</v>
      </c>
      <c r="D12" s="96" t="s">
        <v>6356</v>
      </c>
      <c r="E12" s="8" t="s">
        <v>7027</v>
      </c>
      <c r="F12" s="131">
        <v>13118</v>
      </c>
      <c r="G12" s="22">
        <v>24037947.920000002</v>
      </c>
      <c r="H12" s="8"/>
      <c r="I12" s="12" t="s">
        <v>11725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5" customFormat="1" ht="48" customHeight="1" x14ac:dyDescent="0.2">
      <c r="A13" s="12" t="s">
        <v>5927</v>
      </c>
      <c r="B13" s="12" t="s">
        <v>5929</v>
      </c>
      <c r="C13" s="207" t="s">
        <v>2809</v>
      </c>
      <c r="D13" s="137" t="s">
        <v>5928</v>
      </c>
      <c r="E13" s="8" t="s">
        <v>7027</v>
      </c>
      <c r="F13" s="133">
        <v>36</v>
      </c>
      <c r="G13" s="65">
        <v>11244.24</v>
      </c>
      <c r="H13" s="12"/>
      <c r="I13" s="12" t="s">
        <v>11725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50.25" customHeight="1" x14ac:dyDescent="0.2">
      <c r="A14" s="12" t="s">
        <v>563</v>
      </c>
      <c r="B14" s="8" t="s">
        <v>4240</v>
      </c>
      <c r="C14" s="419" t="s">
        <v>13726</v>
      </c>
      <c r="D14" s="96" t="s">
        <v>6722</v>
      </c>
      <c r="E14" s="8" t="s">
        <v>7027</v>
      </c>
      <c r="F14" s="131">
        <v>1215</v>
      </c>
      <c r="G14" s="22">
        <v>2900435.85</v>
      </c>
      <c r="H14" s="8"/>
      <c r="I14" s="12" t="s">
        <v>11725</v>
      </c>
    </row>
    <row r="15" spans="1:21" ht="46.5" customHeight="1" x14ac:dyDescent="0.2">
      <c r="A15" s="12" t="s">
        <v>564</v>
      </c>
      <c r="B15" s="8" t="s">
        <v>4241</v>
      </c>
      <c r="C15" s="208" t="s">
        <v>2809</v>
      </c>
      <c r="D15" s="96" t="s">
        <v>6723</v>
      </c>
      <c r="E15" s="8" t="s">
        <v>7027</v>
      </c>
      <c r="F15" s="131">
        <v>1032</v>
      </c>
      <c r="G15" s="22">
        <v>731471.28</v>
      </c>
      <c r="H15" s="8"/>
      <c r="I15" s="12" t="s">
        <v>11725</v>
      </c>
    </row>
    <row r="16" spans="1:21" ht="46.5" customHeight="1" x14ac:dyDescent="0.2">
      <c r="A16" s="12" t="s">
        <v>565</v>
      </c>
      <c r="B16" s="8" t="s">
        <v>8852</v>
      </c>
      <c r="C16" s="208" t="s">
        <v>2809</v>
      </c>
      <c r="D16" s="96" t="s">
        <v>6724</v>
      </c>
      <c r="E16" s="8" t="s">
        <v>7027</v>
      </c>
      <c r="F16" s="131">
        <v>13020.7</v>
      </c>
      <c r="G16" s="22">
        <v>9222692.0199999996</v>
      </c>
      <c r="H16" s="8" t="s">
        <v>13541</v>
      </c>
      <c r="I16" s="8" t="s">
        <v>13539</v>
      </c>
    </row>
    <row r="17" spans="1:10" ht="51" customHeight="1" x14ac:dyDescent="0.2">
      <c r="A17" s="12" t="s">
        <v>566</v>
      </c>
      <c r="B17" s="8" t="s">
        <v>8232</v>
      </c>
      <c r="C17" s="208" t="s">
        <v>2809</v>
      </c>
      <c r="D17" s="96" t="s">
        <v>6725</v>
      </c>
      <c r="E17" s="8" t="s">
        <v>7027</v>
      </c>
      <c r="F17" s="131">
        <v>825.3</v>
      </c>
      <c r="G17" s="22">
        <v>584568.24</v>
      </c>
      <c r="H17" s="8"/>
      <c r="I17" s="12" t="s">
        <v>11725</v>
      </c>
    </row>
    <row r="18" spans="1:10" ht="96" customHeight="1" x14ac:dyDescent="0.2">
      <c r="A18" s="12" t="s">
        <v>567</v>
      </c>
      <c r="B18" s="8" t="s">
        <v>4242</v>
      </c>
      <c r="C18" s="208" t="s">
        <v>2809</v>
      </c>
      <c r="D18" s="96" t="s">
        <v>6655</v>
      </c>
      <c r="E18" s="25" t="s">
        <v>7025</v>
      </c>
      <c r="F18" s="131">
        <v>19983</v>
      </c>
      <c r="G18" s="22">
        <v>444022</v>
      </c>
      <c r="H18" s="8" t="s">
        <v>13541</v>
      </c>
      <c r="I18" s="8" t="s">
        <v>13539</v>
      </c>
    </row>
    <row r="19" spans="1:10" ht="48" customHeight="1" x14ac:dyDescent="0.2">
      <c r="A19" s="12" t="s">
        <v>568</v>
      </c>
      <c r="B19" s="8" t="s">
        <v>4243</v>
      </c>
      <c r="C19" s="208" t="s">
        <v>23</v>
      </c>
      <c r="D19" s="96" t="s">
        <v>6706</v>
      </c>
      <c r="E19" s="8" t="s">
        <v>7027</v>
      </c>
      <c r="F19" s="131">
        <v>99000</v>
      </c>
      <c r="G19" s="22">
        <v>68443650</v>
      </c>
      <c r="H19" s="8" t="s">
        <v>13540</v>
      </c>
      <c r="I19" s="8" t="s">
        <v>13539</v>
      </c>
    </row>
    <row r="20" spans="1:10" ht="95.25" customHeight="1" x14ac:dyDescent="0.2">
      <c r="A20" s="12" t="s">
        <v>569</v>
      </c>
      <c r="B20" s="8" t="s">
        <v>4244</v>
      </c>
      <c r="C20" s="208" t="s">
        <v>24</v>
      </c>
      <c r="D20" s="96" t="s">
        <v>8233</v>
      </c>
      <c r="E20" s="25" t="s">
        <v>7025</v>
      </c>
      <c r="F20" s="131">
        <v>14337</v>
      </c>
      <c r="G20" s="22">
        <v>298783.08</v>
      </c>
      <c r="H20" s="8" t="s">
        <v>13541</v>
      </c>
      <c r="I20" s="8" t="s">
        <v>13539</v>
      </c>
    </row>
    <row r="21" spans="1:10" ht="39.75" customHeight="1" x14ac:dyDescent="0.2">
      <c r="A21" s="12" t="s">
        <v>570</v>
      </c>
      <c r="B21" s="8" t="s">
        <v>4245</v>
      </c>
      <c r="C21" s="208" t="s">
        <v>25</v>
      </c>
      <c r="D21" s="96" t="s">
        <v>6719</v>
      </c>
      <c r="E21" s="8" t="s">
        <v>7026</v>
      </c>
      <c r="F21" s="131">
        <v>18037</v>
      </c>
      <c r="G21" s="22">
        <v>33828213.130000003</v>
      </c>
      <c r="H21" s="8"/>
      <c r="I21" s="8" t="s">
        <v>13539</v>
      </c>
    </row>
    <row r="22" spans="1:10" ht="38.25" customHeight="1" x14ac:dyDescent="0.2">
      <c r="A22" s="12" t="s">
        <v>571</v>
      </c>
      <c r="B22" s="8" t="s">
        <v>4246</v>
      </c>
      <c r="C22" s="208" t="s">
        <v>25</v>
      </c>
      <c r="D22" s="96" t="s">
        <v>8234</v>
      </c>
      <c r="E22" s="8" t="s">
        <v>7027</v>
      </c>
      <c r="F22" s="131">
        <v>1649.9</v>
      </c>
      <c r="G22" s="22">
        <v>944530.72</v>
      </c>
      <c r="H22" s="8"/>
      <c r="I22" s="8" t="s">
        <v>13539</v>
      </c>
    </row>
    <row r="23" spans="1:10" ht="49.5" customHeight="1" x14ac:dyDescent="0.2">
      <c r="A23" s="12" t="s">
        <v>572</v>
      </c>
      <c r="B23" s="8" t="s">
        <v>4247</v>
      </c>
      <c r="C23" s="208" t="s">
        <v>2809</v>
      </c>
      <c r="D23" s="96" t="s">
        <v>6718</v>
      </c>
      <c r="E23" s="8" t="s">
        <v>7027</v>
      </c>
      <c r="F23" s="131">
        <v>16137.5</v>
      </c>
      <c r="G23" s="22">
        <v>11430352.630000001</v>
      </c>
      <c r="H23" s="8"/>
      <c r="I23" s="8" t="s">
        <v>13539</v>
      </c>
    </row>
    <row r="24" spans="1:10" s="272" customFormat="1" ht="60" customHeight="1" x14ac:dyDescent="0.2">
      <c r="A24" s="12" t="s">
        <v>11469</v>
      </c>
      <c r="B24" s="10" t="s">
        <v>11467</v>
      </c>
      <c r="C24" s="417" t="s">
        <v>11468</v>
      </c>
      <c r="D24" s="657" t="s">
        <v>11466</v>
      </c>
      <c r="E24" s="12" t="s">
        <v>7036</v>
      </c>
      <c r="F24" s="264">
        <v>8</v>
      </c>
      <c r="G24" s="129">
        <v>5666.48</v>
      </c>
      <c r="H24" s="8"/>
      <c r="I24" s="8" t="s">
        <v>13539</v>
      </c>
    </row>
    <row r="25" spans="1:10" s="197" customFormat="1" ht="38.25" customHeight="1" x14ac:dyDescent="0.2">
      <c r="A25" s="12" t="s">
        <v>6707</v>
      </c>
      <c r="B25" s="199" t="s">
        <v>4248</v>
      </c>
      <c r="C25" s="260" t="s">
        <v>6891</v>
      </c>
      <c r="D25" s="12" t="s">
        <v>6711</v>
      </c>
      <c r="E25" s="155" t="s">
        <v>7028</v>
      </c>
      <c r="F25" s="57">
        <v>91336</v>
      </c>
      <c r="G25" s="57">
        <v>3009521.2</v>
      </c>
      <c r="H25" s="107"/>
      <c r="I25" s="8" t="s">
        <v>13539</v>
      </c>
    </row>
    <row r="26" spans="1:10" s="197" customFormat="1" ht="39" customHeight="1" x14ac:dyDescent="0.2">
      <c r="A26" s="12" t="s">
        <v>6708</v>
      </c>
      <c r="B26" s="199" t="s">
        <v>6888</v>
      </c>
      <c r="C26" s="260" t="s">
        <v>6717</v>
      </c>
      <c r="D26" s="12" t="s">
        <v>6713</v>
      </c>
      <c r="E26" s="155" t="s">
        <v>7028</v>
      </c>
      <c r="F26" s="57">
        <v>2500</v>
      </c>
      <c r="G26" s="57">
        <v>82375</v>
      </c>
      <c r="H26" s="107"/>
      <c r="I26" s="8" t="s">
        <v>11723</v>
      </c>
    </row>
    <row r="27" spans="1:10" ht="59.25" customHeight="1" x14ac:dyDescent="0.2">
      <c r="A27" s="12" t="s">
        <v>6709</v>
      </c>
      <c r="B27" s="12" t="s">
        <v>6889</v>
      </c>
      <c r="C27" s="207" t="s">
        <v>6892</v>
      </c>
      <c r="D27" s="137" t="s">
        <v>6714</v>
      </c>
      <c r="E27" s="12" t="s">
        <v>7028</v>
      </c>
      <c r="F27" s="133">
        <v>3597</v>
      </c>
      <c r="G27" s="582">
        <v>294702.21000000002</v>
      </c>
      <c r="H27" s="12"/>
      <c r="I27" s="8" t="s">
        <v>13539</v>
      </c>
    </row>
    <row r="28" spans="1:10" s="197" customFormat="1" ht="47.25" customHeight="1" x14ac:dyDescent="0.2">
      <c r="A28" s="12" t="s">
        <v>6710</v>
      </c>
      <c r="B28" s="199" t="s">
        <v>6890</v>
      </c>
      <c r="C28" s="260" t="s">
        <v>6893</v>
      </c>
      <c r="D28" s="12" t="s">
        <v>6715</v>
      </c>
      <c r="E28" s="155" t="s">
        <v>7028</v>
      </c>
      <c r="F28" s="57">
        <v>2500</v>
      </c>
      <c r="G28" s="57">
        <v>82375</v>
      </c>
      <c r="H28" s="107"/>
      <c r="I28" s="8" t="s">
        <v>11723</v>
      </c>
    </row>
    <row r="29" spans="1:10" s="197" customFormat="1" ht="37.5" customHeight="1" x14ac:dyDescent="0.2">
      <c r="A29" s="12" t="s">
        <v>6712</v>
      </c>
      <c r="B29" s="199" t="s">
        <v>6890</v>
      </c>
      <c r="C29" s="260" t="s">
        <v>6894</v>
      </c>
      <c r="D29" s="12" t="s">
        <v>6716</v>
      </c>
      <c r="E29" s="155" t="s">
        <v>7028</v>
      </c>
      <c r="F29" s="57">
        <v>2500</v>
      </c>
      <c r="G29" s="57">
        <v>82375</v>
      </c>
      <c r="H29" s="107"/>
      <c r="I29" s="8" t="s">
        <v>11723</v>
      </c>
    </row>
    <row r="30" spans="1:10" s="197" customFormat="1" ht="35.25" customHeight="1" x14ac:dyDescent="0.2">
      <c r="A30" s="12" t="s">
        <v>573</v>
      </c>
      <c r="B30" s="199" t="s">
        <v>4248</v>
      </c>
      <c r="C30" s="260" t="s">
        <v>2810</v>
      </c>
      <c r="D30" s="12" t="s">
        <v>5891</v>
      </c>
      <c r="E30" s="155" t="s">
        <v>7027</v>
      </c>
      <c r="F30" s="57">
        <v>112766</v>
      </c>
      <c r="G30" s="57">
        <v>3715623.23</v>
      </c>
      <c r="H30" s="107"/>
      <c r="I30" s="8" t="s">
        <v>13539</v>
      </c>
      <c r="J30" s="8"/>
    </row>
    <row r="31" spans="1:10" s="197" customFormat="1" ht="34.5" customHeight="1" x14ac:dyDescent="0.2">
      <c r="A31" s="12" t="s">
        <v>6394</v>
      </c>
      <c r="B31" s="199" t="s">
        <v>14684</v>
      </c>
      <c r="C31" s="260" t="s">
        <v>5549</v>
      </c>
      <c r="D31" s="12" t="s">
        <v>5550</v>
      </c>
      <c r="E31" s="155" t="s">
        <v>7027</v>
      </c>
      <c r="F31" s="57">
        <v>39945</v>
      </c>
      <c r="G31" s="57">
        <v>13037648.550000001</v>
      </c>
      <c r="H31" s="107"/>
      <c r="I31" s="8" t="s">
        <v>13539</v>
      </c>
      <c r="J31" s="8"/>
    </row>
    <row r="32" spans="1:10" s="197" customFormat="1" ht="59.25" customHeight="1" x14ac:dyDescent="0.2">
      <c r="A32" s="694" t="s">
        <v>14683</v>
      </c>
      <c r="B32" s="715" t="s">
        <v>14684</v>
      </c>
      <c r="C32" s="796" t="s">
        <v>14685</v>
      </c>
      <c r="D32" s="797" t="s">
        <v>14686</v>
      </c>
      <c r="E32" s="715" t="s">
        <v>7027</v>
      </c>
      <c r="F32" s="798">
        <v>2919</v>
      </c>
      <c r="G32" s="799">
        <v>952732.41</v>
      </c>
      <c r="H32" s="107"/>
      <c r="I32" s="8"/>
      <c r="J32" s="8"/>
    </row>
    <row r="33" spans="1:44" s="60" customFormat="1" ht="95.25" customHeight="1" x14ac:dyDescent="0.2">
      <c r="A33" s="12" t="s">
        <v>574</v>
      </c>
      <c r="B33" s="12" t="s">
        <v>4238</v>
      </c>
      <c r="C33" s="207" t="s">
        <v>2818</v>
      </c>
      <c r="D33" s="136" t="s">
        <v>8592</v>
      </c>
      <c r="E33" s="25" t="s">
        <v>7025</v>
      </c>
      <c r="F33" s="133">
        <v>47097.7</v>
      </c>
      <c r="G33" s="65">
        <v>655599.98</v>
      </c>
      <c r="H33" s="12"/>
      <c r="I33" s="8" t="s">
        <v>13539</v>
      </c>
      <c r="J33" s="1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</row>
    <row r="34" spans="1:44" ht="47.25" customHeight="1" x14ac:dyDescent="0.2">
      <c r="A34" s="12" t="s">
        <v>6408</v>
      </c>
      <c r="B34" s="8" t="s">
        <v>4249</v>
      </c>
      <c r="C34" s="208" t="s">
        <v>22</v>
      </c>
      <c r="D34" s="8" t="s">
        <v>2811</v>
      </c>
      <c r="E34" s="12" t="s">
        <v>7027</v>
      </c>
      <c r="F34" s="22">
        <v>137076</v>
      </c>
      <c r="G34" s="22">
        <v>178198.8</v>
      </c>
      <c r="H34" s="8"/>
      <c r="I34" s="8" t="s">
        <v>11724</v>
      </c>
    </row>
    <row r="35" spans="1:44" ht="93.75" customHeight="1" x14ac:dyDescent="0.2">
      <c r="A35" s="12" t="s">
        <v>575</v>
      </c>
      <c r="B35" s="8" t="s">
        <v>5552</v>
      </c>
      <c r="C35" s="669" t="s">
        <v>5084</v>
      </c>
      <c r="D35" s="222" t="s">
        <v>5554</v>
      </c>
      <c r="E35" s="8" t="s">
        <v>7024</v>
      </c>
      <c r="F35" s="119">
        <v>21992</v>
      </c>
      <c r="G35" s="129">
        <v>1849087.36</v>
      </c>
      <c r="H35" s="8"/>
      <c r="I35" s="12" t="s">
        <v>11725</v>
      </c>
    </row>
    <row r="36" spans="1:44" ht="42.75" customHeight="1" x14ac:dyDescent="0.2">
      <c r="A36" s="12" t="s">
        <v>576</v>
      </c>
      <c r="B36" s="8" t="s">
        <v>5901</v>
      </c>
      <c r="C36" s="208" t="s">
        <v>2813</v>
      </c>
      <c r="D36" s="8" t="s">
        <v>2812</v>
      </c>
      <c r="E36" s="8" t="s">
        <v>7027</v>
      </c>
      <c r="F36" s="22">
        <v>370</v>
      </c>
      <c r="G36" s="22">
        <v>27535.4</v>
      </c>
      <c r="H36" s="8"/>
      <c r="I36" s="8" t="s">
        <v>11723</v>
      </c>
    </row>
    <row r="37" spans="1:44" ht="36.75" customHeight="1" x14ac:dyDescent="0.2">
      <c r="A37" s="12" t="s">
        <v>577</v>
      </c>
      <c r="B37" s="12" t="s">
        <v>4250</v>
      </c>
      <c r="C37" s="669" t="s">
        <v>2818</v>
      </c>
      <c r="D37" s="8" t="s">
        <v>2819</v>
      </c>
      <c r="E37" s="8" t="s">
        <v>7027</v>
      </c>
      <c r="F37" s="785">
        <v>1449744</v>
      </c>
      <c r="G37" s="699">
        <v>164342979.84</v>
      </c>
      <c r="H37" s="785"/>
      <c r="I37" s="785"/>
    </row>
    <row r="38" spans="1:44" ht="33.75" x14ac:dyDescent="0.2">
      <c r="A38" s="12" t="s">
        <v>6409</v>
      </c>
      <c r="B38" s="12" t="s">
        <v>4250</v>
      </c>
      <c r="C38" s="669" t="s">
        <v>6227</v>
      </c>
      <c r="D38" s="8" t="s">
        <v>6228</v>
      </c>
      <c r="E38" s="8" t="s">
        <v>7027</v>
      </c>
      <c r="F38" s="22">
        <v>101292</v>
      </c>
      <c r="G38" s="57">
        <v>70536710.040000007</v>
      </c>
      <c r="H38" s="22"/>
      <c r="I38" s="8" t="s">
        <v>13539</v>
      </c>
    </row>
    <row r="39" spans="1:44" s="5" customFormat="1" ht="33.75" x14ac:dyDescent="0.2">
      <c r="A39" s="12" t="s">
        <v>6840</v>
      </c>
      <c r="B39" s="12" t="s">
        <v>4250</v>
      </c>
      <c r="C39" s="667" t="s">
        <v>9444</v>
      </c>
      <c r="D39" s="12" t="s">
        <v>6841</v>
      </c>
      <c r="E39" s="12" t="s">
        <v>7027</v>
      </c>
      <c r="F39" s="65">
        <v>526262</v>
      </c>
      <c r="G39" s="57">
        <f>366162574.36-11*1</f>
        <v>366162563.36000001</v>
      </c>
      <c r="H39" s="12"/>
      <c r="I39" s="12" t="s">
        <v>11725</v>
      </c>
    </row>
    <row r="40" spans="1:44" s="5" customFormat="1" ht="48" customHeight="1" x14ac:dyDescent="0.2">
      <c r="A40" s="694" t="s">
        <v>14031</v>
      </c>
      <c r="B40" s="694" t="s">
        <v>4250</v>
      </c>
      <c r="C40" s="710" t="s">
        <v>14032</v>
      </c>
      <c r="D40" s="694" t="s">
        <v>14033</v>
      </c>
      <c r="E40" s="694" t="s">
        <v>7027</v>
      </c>
      <c r="F40" s="724">
        <v>1789</v>
      </c>
      <c r="G40" s="699">
        <v>1245805.93</v>
      </c>
      <c r="H40" s="12"/>
      <c r="I40" s="12" t="s">
        <v>11725</v>
      </c>
    </row>
    <row r="41" spans="1:44" ht="33.75" x14ac:dyDescent="0.2">
      <c r="A41" s="12" t="s">
        <v>11403</v>
      </c>
      <c r="B41" s="12" t="s">
        <v>11396</v>
      </c>
      <c r="C41" s="676" t="s">
        <v>9444</v>
      </c>
      <c r="D41" s="12" t="s">
        <v>11397</v>
      </c>
      <c r="E41" s="155" t="s">
        <v>7028</v>
      </c>
      <c r="F41" s="57">
        <v>2183</v>
      </c>
      <c r="G41" s="57">
        <v>1069735.49</v>
      </c>
      <c r="H41" s="8"/>
      <c r="I41" s="8" t="s">
        <v>11725</v>
      </c>
    </row>
    <row r="42" spans="1:44" ht="45" x14ac:dyDescent="0.2">
      <c r="A42" s="12" t="s">
        <v>6410</v>
      </c>
      <c r="B42" s="12" t="s">
        <v>6326</v>
      </c>
      <c r="C42" s="669" t="s">
        <v>9445</v>
      </c>
      <c r="D42" s="8" t="s">
        <v>6269</v>
      </c>
      <c r="E42" s="8" t="s">
        <v>7027</v>
      </c>
      <c r="F42" s="65">
        <v>1200</v>
      </c>
      <c r="G42" s="58">
        <v>136032</v>
      </c>
      <c r="H42" s="8"/>
      <c r="I42" s="8" t="s">
        <v>11723</v>
      </c>
    </row>
    <row r="43" spans="1:44" ht="45" x14ac:dyDescent="0.2">
      <c r="A43" s="12" t="s">
        <v>6411</v>
      </c>
      <c r="B43" s="12" t="s">
        <v>6326</v>
      </c>
      <c r="C43" s="669" t="s">
        <v>9446</v>
      </c>
      <c r="D43" s="8" t="s">
        <v>6271</v>
      </c>
      <c r="E43" s="8" t="s">
        <v>7027</v>
      </c>
      <c r="F43" s="65">
        <v>1200</v>
      </c>
      <c r="G43" s="58">
        <v>136032</v>
      </c>
      <c r="H43" s="8"/>
      <c r="I43" s="8" t="s">
        <v>11723</v>
      </c>
    </row>
    <row r="44" spans="1:44" ht="45" x14ac:dyDescent="0.2">
      <c r="A44" s="12" t="s">
        <v>6412</v>
      </c>
      <c r="B44" s="12" t="s">
        <v>6326</v>
      </c>
      <c r="C44" s="669" t="s">
        <v>9447</v>
      </c>
      <c r="D44" s="8" t="s">
        <v>6270</v>
      </c>
      <c r="E44" s="8" t="s">
        <v>7027</v>
      </c>
      <c r="F44" s="65">
        <v>1200</v>
      </c>
      <c r="G44" s="58">
        <v>136032</v>
      </c>
      <c r="H44" s="8"/>
      <c r="I44" s="8" t="s">
        <v>11723</v>
      </c>
    </row>
    <row r="45" spans="1:44" ht="45" x14ac:dyDescent="0.2">
      <c r="A45" s="12" t="s">
        <v>6413</v>
      </c>
      <c r="B45" s="12" t="s">
        <v>6326</v>
      </c>
      <c r="C45" s="669" t="s">
        <v>9448</v>
      </c>
      <c r="D45" s="8" t="s">
        <v>6272</v>
      </c>
      <c r="E45" s="8" t="s">
        <v>7027</v>
      </c>
      <c r="F45" s="65">
        <v>1200</v>
      </c>
      <c r="G45" s="58">
        <v>136032</v>
      </c>
      <c r="H45" s="8"/>
      <c r="I45" s="8" t="s">
        <v>11723</v>
      </c>
    </row>
    <row r="46" spans="1:44" ht="83.25" customHeight="1" x14ac:dyDescent="0.2">
      <c r="A46" s="694" t="s">
        <v>6414</v>
      </c>
      <c r="B46" s="715" t="s">
        <v>14091</v>
      </c>
      <c r="C46" s="695" t="s">
        <v>2818</v>
      </c>
      <c r="D46" s="715" t="s">
        <v>6325</v>
      </c>
      <c r="E46" s="715" t="s">
        <v>7027</v>
      </c>
      <c r="F46" s="724">
        <f>14425-13900</f>
        <v>525</v>
      </c>
      <c r="G46" s="699">
        <v>365284.5</v>
      </c>
      <c r="H46" s="8"/>
      <c r="I46" s="715" t="s">
        <v>11724</v>
      </c>
    </row>
    <row r="47" spans="1:44" ht="45" x14ac:dyDescent="0.2">
      <c r="A47" s="12" t="s">
        <v>6415</v>
      </c>
      <c r="B47" s="12" t="s">
        <v>6326</v>
      </c>
      <c r="C47" s="669" t="s">
        <v>9449</v>
      </c>
      <c r="D47" s="8" t="s">
        <v>6334</v>
      </c>
      <c r="E47" s="8" t="s">
        <v>7027</v>
      </c>
      <c r="F47" s="65">
        <v>1200</v>
      </c>
      <c r="G47" s="58">
        <v>136032</v>
      </c>
      <c r="H47" s="8"/>
      <c r="I47" s="8" t="s">
        <v>11723</v>
      </c>
    </row>
    <row r="48" spans="1:44" ht="45" x14ac:dyDescent="0.2">
      <c r="A48" s="12" t="s">
        <v>6416</v>
      </c>
      <c r="B48" s="12" t="s">
        <v>6326</v>
      </c>
      <c r="C48" s="669" t="s">
        <v>9450</v>
      </c>
      <c r="D48" s="8" t="s">
        <v>6335</v>
      </c>
      <c r="E48" s="8" t="s">
        <v>7027</v>
      </c>
      <c r="F48" s="65">
        <v>1200</v>
      </c>
      <c r="G48" s="58">
        <v>136032</v>
      </c>
      <c r="H48" s="8"/>
      <c r="I48" s="8" t="s">
        <v>11723</v>
      </c>
    </row>
    <row r="49" spans="1:9" ht="45" x14ac:dyDescent="0.2">
      <c r="A49" s="12" t="s">
        <v>6417</v>
      </c>
      <c r="B49" s="12" t="s">
        <v>6326</v>
      </c>
      <c r="C49" s="669" t="s">
        <v>9451</v>
      </c>
      <c r="D49" s="8" t="s">
        <v>6336</v>
      </c>
      <c r="E49" s="8" t="s">
        <v>7027</v>
      </c>
      <c r="F49" s="65">
        <v>1200</v>
      </c>
      <c r="G49" s="58">
        <v>136032</v>
      </c>
      <c r="H49" s="8"/>
      <c r="I49" s="8" t="s">
        <v>11723</v>
      </c>
    </row>
    <row r="50" spans="1:9" ht="45" x14ac:dyDescent="0.2">
      <c r="A50" s="12" t="s">
        <v>6418</v>
      </c>
      <c r="B50" s="12" t="s">
        <v>6326</v>
      </c>
      <c r="C50" s="669" t="s">
        <v>9453</v>
      </c>
      <c r="D50" s="8" t="s">
        <v>6337</v>
      </c>
      <c r="E50" s="8" t="s">
        <v>7027</v>
      </c>
      <c r="F50" s="65">
        <v>1200</v>
      </c>
      <c r="G50" s="58">
        <v>136032</v>
      </c>
      <c r="H50" s="8"/>
      <c r="I50" s="8" t="s">
        <v>11723</v>
      </c>
    </row>
    <row r="51" spans="1:9" ht="45" x14ac:dyDescent="0.2">
      <c r="A51" s="12" t="s">
        <v>6419</v>
      </c>
      <c r="B51" s="12" t="s">
        <v>6326</v>
      </c>
      <c r="C51" s="669" t="s">
        <v>9452</v>
      </c>
      <c r="D51" s="8" t="s">
        <v>6338</v>
      </c>
      <c r="E51" s="8" t="s">
        <v>7027</v>
      </c>
      <c r="F51" s="65">
        <v>1200</v>
      </c>
      <c r="G51" s="58">
        <v>136032</v>
      </c>
      <c r="H51" s="8"/>
      <c r="I51" s="8" t="s">
        <v>11723</v>
      </c>
    </row>
    <row r="52" spans="1:9" ht="45" x14ac:dyDescent="0.2">
      <c r="A52" s="12" t="s">
        <v>6420</v>
      </c>
      <c r="B52" s="12" t="s">
        <v>6326</v>
      </c>
      <c r="C52" s="669" t="s">
        <v>9454</v>
      </c>
      <c r="D52" s="8" t="s">
        <v>6339</v>
      </c>
      <c r="E52" s="8" t="s">
        <v>7027</v>
      </c>
      <c r="F52" s="65">
        <v>1200</v>
      </c>
      <c r="G52" s="58">
        <v>136032</v>
      </c>
      <c r="H52" s="8"/>
      <c r="I52" s="8" t="s">
        <v>11723</v>
      </c>
    </row>
    <row r="53" spans="1:9" ht="45" x14ac:dyDescent="0.2">
      <c r="A53" s="12" t="s">
        <v>6421</v>
      </c>
      <c r="B53" s="12" t="s">
        <v>6326</v>
      </c>
      <c r="C53" s="669" t="s">
        <v>9455</v>
      </c>
      <c r="D53" s="8" t="s">
        <v>6340</v>
      </c>
      <c r="E53" s="8" t="s">
        <v>7027</v>
      </c>
      <c r="F53" s="65">
        <v>1200</v>
      </c>
      <c r="G53" s="58">
        <v>136032</v>
      </c>
      <c r="H53" s="8"/>
      <c r="I53" s="8" t="s">
        <v>11723</v>
      </c>
    </row>
    <row r="54" spans="1:9" ht="45" x14ac:dyDescent="0.2">
      <c r="A54" s="12" t="s">
        <v>6422</v>
      </c>
      <c r="B54" s="12" t="s">
        <v>6326</v>
      </c>
      <c r="C54" s="669" t="s">
        <v>9456</v>
      </c>
      <c r="D54" s="8" t="s">
        <v>6341</v>
      </c>
      <c r="E54" s="8" t="s">
        <v>7027</v>
      </c>
      <c r="F54" s="65">
        <v>1200</v>
      </c>
      <c r="G54" s="58">
        <v>136032</v>
      </c>
      <c r="H54" s="8"/>
      <c r="I54" s="8" t="s">
        <v>11723</v>
      </c>
    </row>
    <row r="55" spans="1:9" ht="45" x14ac:dyDescent="0.2">
      <c r="A55" s="12" t="s">
        <v>6423</v>
      </c>
      <c r="B55" s="12" t="s">
        <v>6326</v>
      </c>
      <c r="C55" s="669" t="s">
        <v>9457</v>
      </c>
      <c r="D55" s="8" t="s">
        <v>6342</v>
      </c>
      <c r="E55" s="8" t="s">
        <v>7027</v>
      </c>
      <c r="F55" s="65">
        <v>1200</v>
      </c>
      <c r="G55" s="58">
        <v>136032</v>
      </c>
      <c r="H55" s="8"/>
      <c r="I55" s="8" t="s">
        <v>11723</v>
      </c>
    </row>
    <row r="56" spans="1:9" ht="45" x14ac:dyDescent="0.2">
      <c r="A56" s="12" t="s">
        <v>6424</v>
      </c>
      <c r="B56" s="12" t="s">
        <v>6326</v>
      </c>
      <c r="C56" s="669" t="s">
        <v>9458</v>
      </c>
      <c r="D56" s="8" t="s">
        <v>6343</v>
      </c>
      <c r="E56" s="8" t="s">
        <v>7027</v>
      </c>
      <c r="F56" s="65">
        <v>1200</v>
      </c>
      <c r="G56" s="58">
        <v>136032</v>
      </c>
      <c r="H56" s="8"/>
      <c r="I56" s="8" t="s">
        <v>11723</v>
      </c>
    </row>
    <row r="57" spans="1:9" ht="45" x14ac:dyDescent="0.2">
      <c r="A57" s="12" t="s">
        <v>6425</v>
      </c>
      <c r="B57" s="12" t="s">
        <v>6326</v>
      </c>
      <c r="C57" s="669" t="s">
        <v>9459</v>
      </c>
      <c r="D57" s="8" t="s">
        <v>6344</v>
      </c>
      <c r="E57" s="8" t="s">
        <v>7027</v>
      </c>
      <c r="F57" s="65">
        <v>1200</v>
      </c>
      <c r="G57" s="58">
        <v>136032</v>
      </c>
      <c r="H57" s="8"/>
      <c r="I57" s="8" t="s">
        <v>11723</v>
      </c>
    </row>
    <row r="58" spans="1:9" ht="45" x14ac:dyDescent="0.2">
      <c r="A58" s="12" t="s">
        <v>6426</v>
      </c>
      <c r="B58" s="12" t="s">
        <v>6326</v>
      </c>
      <c r="C58" s="669" t="s">
        <v>9460</v>
      </c>
      <c r="D58" s="8" t="s">
        <v>6345</v>
      </c>
      <c r="E58" s="8" t="s">
        <v>7027</v>
      </c>
      <c r="F58" s="65">
        <v>1200</v>
      </c>
      <c r="G58" s="58">
        <v>136032</v>
      </c>
      <c r="H58" s="8"/>
      <c r="I58" s="8" t="s">
        <v>11723</v>
      </c>
    </row>
    <row r="59" spans="1:9" ht="45" x14ac:dyDescent="0.2">
      <c r="A59" s="12" t="s">
        <v>6427</v>
      </c>
      <c r="B59" s="12" t="s">
        <v>6326</v>
      </c>
      <c r="C59" s="669" t="s">
        <v>9461</v>
      </c>
      <c r="D59" s="8" t="s">
        <v>6346</v>
      </c>
      <c r="E59" s="8" t="s">
        <v>7027</v>
      </c>
      <c r="F59" s="65">
        <v>1200</v>
      </c>
      <c r="G59" s="58">
        <v>136032</v>
      </c>
      <c r="H59" s="8"/>
      <c r="I59" s="8" t="s">
        <v>11723</v>
      </c>
    </row>
    <row r="60" spans="1:9" ht="45" x14ac:dyDescent="0.2">
      <c r="A60" s="12" t="s">
        <v>6428</v>
      </c>
      <c r="B60" s="12" t="s">
        <v>6326</v>
      </c>
      <c r="C60" s="669" t="s">
        <v>9462</v>
      </c>
      <c r="D60" s="8" t="s">
        <v>6347</v>
      </c>
      <c r="E60" s="8" t="s">
        <v>7027</v>
      </c>
      <c r="F60" s="65">
        <v>1200</v>
      </c>
      <c r="G60" s="58">
        <v>136032</v>
      </c>
      <c r="H60" s="8"/>
      <c r="I60" s="8" t="s">
        <v>11723</v>
      </c>
    </row>
    <row r="61" spans="1:9" ht="45" x14ac:dyDescent="0.2">
      <c r="A61" s="12" t="s">
        <v>6429</v>
      </c>
      <c r="B61" s="12" t="s">
        <v>6326</v>
      </c>
      <c r="C61" s="669" t="s">
        <v>9463</v>
      </c>
      <c r="D61" s="8" t="s">
        <v>6348</v>
      </c>
      <c r="E61" s="8" t="s">
        <v>7027</v>
      </c>
      <c r="F61" s="65">
        <v>1200</v>
      </c>
      <c r="G61" s="58">
        <v>136032</v>
      </c>
      <c r="H61" s="8"/>
      <c r="I61" s="8" t="s">
        <v>11723</v>
      </c>
    </row>
    <row r="62" spans="1:9" ht="45" x14ac:dyDescent="0.2">
      <c r="A62" s="12" t="s">
        <v>6430</v>
      </c>
      <c r="B62" s="12" t="s">
        <v>6326</v>
      </c>
      <c r="C62" s="669" t="s">
        <v>9464</v>
      </c>
      <c r="D62" s="8" t="s">
        <v>6349</v>
      </c>
      <c r="E62" s="8" t="s">
        <v>7027</v>
      </c>
      <c r="F62" s="65">
        <v>1200</v>
      </c>
      <c r="G62" s="58">
        <v>136032</v>
      </c>
      <c r="H62" s="8"/>
      <c r="I62" s="8" t="s">
        <v>11723</v>
      </c>
    </row>
    <row r="63" spans="1:9" ht="45" x14ac:dyDescent="0.2">
      <c r="A63" s="12" t="s">
        <v>6431</v>
      </c>
      <c r="B63" s="12" t="s">
        <v>6326</v>
      </c>
      <c r="C63" s="669" t="s">
        <v>9465</v>
      </c>
      <c r="D63" s="8" t="s">
        <v>6350</v>
      </c>
      <c r="E63" s="8" t="s">
        <v>7027</v>
      </c>
      <c r="F63" s="65">
        <v>1200</v>
      </c>
      <c r="G63" s="58">
        <v>136032</v>
      </c>
      <c r="H63" s="8"/>
      <c r="I63" s="8" t="s">
        <v>11723</v>
      </c>
    </row>
    <row r="64" spans="1:9" ht="45" x14ac:dyDescent="0.2">
      <c r="A64" s="12" t="s">
        <v>6432</v>
      </c>
      <c r="B64" s="12" t="s">
        <v>6326</v>
      </c>
      <c r="C64" s="669" t="s">
        <v>9466</v>
      </c>
      <c r="D64" s="8" t="s">
        <v>6351</v>
      </c>
      <c r="E64" s="8" t="s">
        <v>7027</v>
      </c>
      <c r="F64" s="65">
        <v>1200</v>
      </c>
      <c r="G64" s="58">
        <v>136032</v>
      </c>
      <c r="H64" s="8"/>
      <c r="I64" s="8" t="s">
        <v>11723</v>
      </c>
    </row>
    <row r="65" spans="1:9" ht="45" x14ac:dyDescent="0.2">
      <c r="A65" s="12" t="s">
        <v>6433</v>
      </c>
      <c r="B65" s="12" t="s">
        <v>6326</v>
      </c>
      <c r="C65" s="669" t="s">
        <v>9467</v>
      </c>
      <c r="D65" s="8" t="s">
        <v>6352</v>
      </c>
      <c r="E65" s="8" t="s">
        <v>7027</v>
      </c>
      <c r="F65" s="65">
        <v>1200</v>
      </c>
      <c r="G65" s="58">
        <v>136032</v>
      </c>
      <c r="H65" s="8"/>
      <c r="I65" s="8" t="s">
        <v>11723</v>
      </c>
    </row>
    <row r="66" spans="1:9" ht="45" x14ac:dyDescent="0.2">
      <c r="A66" s="12" t="s">
        <v>6434</v>
      </c>
      <c r="B66" s="12" t="s">
        <v>6326</v>
      </c>
      <c r="C66" s="669" t="s">
        <v>9468</v>
      </c>
      <c r="D66" s="8" t="s">
        <v>6353</v>
      </c>
      <c r="E66" s="8" t="s">
        <v>7027</v>
      </c>
      <c r="F66" s="65">
        <v>1200</v>
      </c>
      <c r="G66" s="58">
        <v>136032</v>
      </c>
      <c r="H66" s="8"/>
      <c r="I66" s="8" t="s">
        <v>11723</v>
      </c>
    </row>
    <row r="67" spans="1:9" ht="45" x14ac:dyDescent="0.2">
      <c r="A67" s="12" t="s">
        <v>6435</v>
      </c>
      <c r="B67" s="12" t="s">
        <v>6326</v>
      </c>
      <c r="C67" s="669" t="s">
        <v>9469</v>
      </c>
      <c r="D67" s="8" t="s">
        <v>6354</v>
      </c>
      <c r="E67" s="8" t="s">
        <v>7027</v>
      </c>
      <c r="F67" s="65">
        <v>1200</v>
      </c>
      <c r="G67" s="58">
        <v>136032</v>
      </c>
      <c r="H67" s="8"/>
      <c r="I67" s="8" t="s">
        <v>11723</v>
      </c>
    </row>
    <row r="68" spans="1:9" ht="45" x14ac:dyDescent="0.2">
      <c r="A68" s="12" t="s">
        <v>6436</v>
      </c>
      <c r="B68" s="12" t="s">
        <v>6326</v>
      </c>
      <c r="C68" s="669" t="s">
        <v>9470</v>
      </c>
      <c r="D68" s="8" t="s">
        <v>6335</v>
      </c>
      <c r="E68" s="8" t="s">
        <v>7027</v>
      </c>
      <c r="F68" s="65">
        <v>1200</v>
      </c>
      <c r="G68" s="58">
        <v>136032</v>
      </c>
      <c r="H68" s="8"/>
      <c r="I68" s="8" t="s">
        <v>11723</v>
      </c>
    </row>
    <row r="69" spans="1:9" ht="48" customHeight="1" x14ac:dyDescent="0.2">
      <c r="A69" s="12" t="s">
        <v>6437</v>
      </c>
      <c r="B69" s="12" t="s">
        <v>6326</v>
      </c>
      <c r="C69" s="669" t="s">
        <v>9471</v>
      </c>
      <c r="D69" s="8" t="s">
        <v>6359</v>
      </c>
      <c r="E69" s="8" t="s">
        <v>7027</v>
      </c>
      <c r="F69" s="65">
        <v>1200</v>
      </c>
      <c r="G69" s="58">
        <v>136032</v>
      </c>
      <c r="H69" s="8"/>
      <c r="I69" s="8" t="s">
        <v>11723</v>
      </c>
    </row>
    <row r="70" spans="1:9" ht="46.5" customHeight="1" x14ac:dyDescent="0.2">
      <c r="A70" s="12" t="s">
        <v>6438</v>
      </c>
      <c r="B70" s="12" t="s">
        <v>6326</v>
      </c>
      <c r="C70" s="669" t="s">
        <v>9472</v>
      </c>
      <c r="D70" s="8" t="s">
        <v>6376</v>
      </c>
      <c r="E70" s="8" t="s">
        <v>7027</v>
      </c>
      <c r="F70" s="65">
        <v>1200</v>
      </c>
      <c r="G70" s="58">
        <v>136032</v>
      </c>
      <c r="H70" s="8"/>
      <c r="I70" s="8" t="s">
        <v>11723</v>
      </c>
    </row>
    <row r="71" spans="1:9" ht="45.75" customHeight="1" x14ac:dyDescent="0.2">
      <c r="A71" s="12" t="s">
        <v>6439</v>
      </c>
      <c r="B71" s="12" t="s">
        <v>6326</v>
      </c>
      <c r="C71" s="669" t="s">
        <v>9473</v>
      </c>
      <c r="D71" s="8" t="s">
        <v>6364</v>
      </c>
      <c r="E71" s="8" t="s">
        <v>7027</v>
      </c>
      <c r="F71" s="65">
        <v>1200</v>
      </c>
      <c r="G71" s="58">
        <v>136032</v>
      </c>
      <c r="H71" s="8"/>
      <c r="I71" s="8" t="s">
        <v>11723</v>
      </c>
    </row>
    <row r="72" spans="1:9" ht="48" customHeight="1" x14ac:dyDescent="0.2">
      <c r="A72" s="12" t="s">
        <v>6440</v>
      </c>
      <c r="B72" s="12" t="s">
        <v>6326</v>
      </c>
      <c r="C72" s="669" t="s">
        <v>9474</v>
      </c>
      <c r="D72" s="8" t="s">
        <v>6375</v>
      </c>
      <c r="E72" s="8" t="s">
        <v>7027</v>
      </c>
      <c r="F72" s="65">
        <v>1200</v>
      </c>
      <c r="G72" s="58">
        <v>136032</v>
      </c>
      <c r="H72" s="8"/>
      <c r="I72" s="8" t="s">
        <v>11723</v>
      </c>
    </row>
    <row r="73" spans="1:9" ht="45" x14ac:dyDescent="0.2">
      <c r="A73" s="12" t="s">
        <v>6441</v>
      </c>
      <c r="B73" s="12" t="s">
        <v>6326</v>
      </c>
      <c r="C73" s="669" t="s">
        <v>9475</v>
      </c>
      <c r="D73" s="8" t="s">
        <v>6367</v>
      </c>
      <c r="E73" s="8" t="s">
        <v>7027</v>
      </c>
      <c r="F73" s="65">
        <v>1200</v>
      </c>
      <c r="G73" s="58">
        <v>136032</v>
      </c>
      <c r="H73" s="8"/>
      <c r="I73" s="8" t="s">
        <v>11723</v>
      </c>
    </row>
    <row r="74" spans="1:9" ht="45" x14ac:dyDescent="0.2">
      <c r="A74" s="12" t="s">
        <v>6442</v>
      </c>
      <c r="B74" s="12" t="s">
        <v>6326</v>
      </c>
      <c r="C74" s="669" t="s">
        <v>9479</v>
      </c>
      <c r="D74" s="8" t="s">
        <v>6361</v>
      </c>
      <c r="E74" s="8" t="s">
        <v>7027</v>
      </c>
      <c r="F74" s="65">
        <v>1200</v>
      </c>
      <c r="G74" s="58">
        <v>136032</v>
      </c>
      <c r="H74" s="8"/>
      <c r="I74" s="8" t="s">
        <v>11723</v>
      </c>
    </row>
    <row r="75" spans="1:9" ht="45" x14ac:dyDescent="0.2">
      <c r="A75" s="12" t="s">
        <v>6443</v>
      </c>
      <c r="B75" s="12" t="s">
        <v>6326</v>
      </c>
      <c r="C75" s="669" t="s">
        <v>9476</v>
      </c>
      <c r="D75" s="8" t="s">
        <v>6365</v>
      </c>
      <c r="E75" s="8" t="s">
        <v>7027</v>
      </c>
      <c r="F75" s="65">
        <v>1200</v>
      </c>
      <c r="G75" s="58">
        <v>136032</v>
      </c>
      <c r="H75" s="8"/>
      <c r="I75" s="8" t="s">
        <v>11723</v>
      </c>
    </row>
    <row r="76" spans="1:9" ht="45" x14ac:dyDescent="0.2">
      <c r="A76" s="12" t="s">
        <v>6444</v>
      </c>
      <c r="B76" s="12" t="s">
        <v>6326</v>
      </c>
      <c r="C76" s="669" t="s">
        <v>9477</v>
      </c>
      <c r="D76" s="8" t="s">
        <v>6363</v>
      </c>
      <c r="E76" s="8" t="s">
        <v>7027</v>
      </c>
      <c r="F76" s="65">
        <v>1200</v>
      </c>
      <c r="G76" s="58">
        <v>136032</v>
      </c>
      <c r="H76" s="8"/>
      <c r="I76" s="8" t="s">
        <v>11723</v>
      </c>
    </row>
    <row r="77" spans="1:9" ht="45" x14ac:dyDescent="0.2">
      <c r="A77" s="12" t="s">
        <v>6445</v>
      </c>
      <c r="B77" s="12" t="s">
        <v>6326</v>
      </c>
      <c r="C77" s="669" t="s">
        <v>9478</v>
      </c>
      <c r="D77" s="8" t="s">
        <v>6371</v>
      </c>
      <c r="E77" s="8" t="s">
        <v>7027</v>
      </c>
      <c r="F77" s="65">
        <v>1200</v>
      </c>
      <c r="G77" s="58">
        <v>136032</v>
      </c>
      <c r="H77" s="8"/>
      <c r="I77" s="8" t="s">
        <v>11723</v>
      </c>
    </row>
    <row r="78" spans="1:9" ht="45" x14ac:dyDescent="0.2">
      <c r="A78" s="12" t="s">
        <v>6446</v>
      </c>
      <c r="B78" s="12" t="s">
        <v>6326</v>
      </c>
      <c r="C78" s="669" t="s">
        <v>9480</v>
      </c>
      <c r="D78" s="8" t="s">
        <v>6370</v>
      </c>
      <c r="E78" s="8" t="s">
        <v>7027</v>
      </c>
      <c r="F78" s="65">
        <v>1200</v>
      </c>
      <c r="G78" s="58">
        <v>136032</v>
      </c>
      <c r="H78" s="8"/>
      <c r="I78" s="8" t="s">
        <v>11723</v>
      </c>
    </row>
    <row r="79" spans="1:9" ht="45" x14ac:dyDescent="0.2">
      <c r="A79" s="12" t="s">
        <v>6447</v>
      </c>
      <c r="B79" s="12" t="s">
        <v>6326</v>
      </c>
      <c r="C79" s="669" t="s">
        <v>9481</v>
      </c>
      <c r="D79" s="8" t="s">
        <v>6369</v>
      </c>
      <c r="E79" s="8" t="s">
        <v>7027</v>
      </c>
      <c r="F79" s="65">
        <v>1200</v>
      </c>
      <c r="G79" s="58">
        <v>136032</v>
      </c>
      <c r="H79" s="8"/>
      <c r="I79" s="8" t="s">
        <v>11723</v>
      </c>
    </row>
    <row r="80" spans="1:9" ht="45" x14ac:dyDescent="0.2">
      <c r="A80" s="12" t="s">
        <v>6448</v>
      </c>
      <c r="B80" s="12" t="s">
        <v>6326</v>
      </c>
      <c r="C80" s="669" t="s">
        <v>9482</v>
      </c>
      <c r="D80" s="8" t="s">
        <v>6368</v>
      </c>
      <c r="E80" s="8" t="s">
        <v>7027</v>
      </c>
      <c r="F80" s="65">
        <v>1200</v>
      </c>
      <c r="G80" s="58">
        <v>136032</v>
      </c>
      <c r="H80" s="8"/>
      <c r="I80" s="8" t="s">
        <v>11723</v>
      </c>
    </row>
    <row r="81" spans="1:9" ht="45" x14ac:dyDescent="0.2">
      <c r="A81" s="12" t="s">
        <v>6449</v>
      </c>
      <c r="B81" s="12" t="s">
        <v>6326</v>
      </c>
      <c r="C81" s="669" t="s">
        <v>9483</v>
      </c>
      <c r="D81" s="8" t="s">
        <v>6372</v>
      </c>
      <c r="E81" s="8" t="s">
        <v>7027</v>
      </c>
      <c r="F81" s="65">
        <v>1200</v>
      </c>
      <c r="G81" s="58">
        <v>136032</v>
      </c>
      <c r="H81" s="8"/>
      <c r="I81" s="8" t="s">
        <v>11723</v>
      </c>
    </row>
    <row r="82" spans="1:9" ht="45" x14ac:dyDescent="0.2">
      <c r="A82" s="12" t="s">
        <v>6450</v>
      </c>
      <c r="B82" s="12" t="s">
        <v>6326</v>
      </c>
      <c r="C82" s="669" t="s">
        <v>9484</v>
      </c>
      <c r="D82" s="8" t="s">
        <v>6373</v>
      </c>
      <c r="E82" s="8" t="s">
        <v>7027</v>
      </c>
      <c r="F82" s="65">
        <v>1200</v>
      </c>
      <c r="G82" s="58">
        <v>136032</v>
      </c>
      <c r="H82" s="8"/>
      <c r="I82" s="8" t="s">
        <v>11723</v>
      </c>
    </row>
    <row r="83" spans="1:9" ht="45" x14ac:dyDescent="0.2">
      <c r="A83" s="12" t="s">
        <v>6451</v>
      </c>
      <c r="B83" s="12" t="s">
        <v>6326</v>
      </c>
      <c r="C83" s="669" t="s">
        <v>9485</v>
      </c>
      <c r="D83" s="8" t="s">
        <v>6374</v>
      </c>
      <c r="E83" s="8" t="s">
        <v>7027</v>
      </c>
      <c r="F83" s="65">
        <v>1200</v>
      </c>
      <c r="G83" s="58">
        <v>136032</v>
      </c>
      <c r="H83" s="8"/>
      <c r="I83" s="8" t="s">
        <v>11723</v>
      </c>
    </row>
    <row r="84" spans="1:9" ht="45" x14ac:dyDescent="0.2">
      <c r="A84" s="12" t="s">
        <v>6452</v>
      </c>
      <c r="B84" s="12" t="s">
        <v>6326</v>
      </c>
      <c r="C84" s="669" t="s">
        <v>9486</v>
      </c>
      <c r="D84" s="8" t="s">
        <v>6360</v>
      </c>
      <c r="E84" s="8" t="s">
        <v>7027</v>
      </c>
      <c r="F84" s="65">
        <v>1200</v>
      </c>
      <c r="G84" s="58">
        <v>136032</v>
      </c>
      <c r="H84" s="8"/>
      <c r="I84" s="8" t="s">
        <v>11723</v>
      </c>
    </row>
    <row r="85" spans="1:9" ht="45" x14ac:dyDescent="0.2">
      <c r="A85" s="12" t="s">
        <v>6453</v>
      </c>
      <c r="B85" s="12" t="s">
        <v>6326</v>
      </c>
      <c r="C85" s="669" t="s">
        <v>9487</v>
      </c>
      <c r="D85" s="8" t="s">
        <v>6362</v>
      </c>
      <c r="E85" s="8" t="s">
        <v>7027</v>
      </c>
      <c r="F85" s="65">
        <v>1200</v>
      </c>
      <c r="G85" s="58">
        <v>136032</v>
      </c>
      <c r="H85" s="8"/>
      <c r="I85" s="8" t="s">
        <v>11723</v>
      </c>
    </row>
    <row r="86" spans="1:9" ht="45" x14ac:dyDescent="0.2">
      <c r="A86" s="12" t="s">
        <v>6454</v>
      </c>
      <c r="B86" s="12" t="s">
        <v>6326</v>
      </c>
      <c r="C86" s="669" t="s">
        <v>9488</v>
      </c>
      <c r="D86" s="8" t="s">
        <v>6366</v>
      </c>
      <c r="E86" s="8" t="s">
        <v>7027</v>
      </c>
      <c r="F86" s="65">
        <v>1200</v>
      </c>
      <c r="G86" s="58">
        <v>136032</v>
      </c>
      <c r="H86" s="8"/>
      <c r="I86" s="8" t="s">
        <v>11723</v>
      </c>
    </row>
    <row r="87" spans="1:9" ht="45" x14ac:dyDescent="0.2">
      <c r="A87" s="12" t="s">
        <v>6455</v>
      </c>
      <c r="B87" s="12" t="s">
        <v>6326</v>
      </c>
      <c r="C87" s="669" t="s">
        <v>9489</v>
      </c>
      <c r="D87" s="8" t="s">
        <v>6379</v>
      </c>
      <c r="E87" s="8" t="s">
        <v>7027</v>
      </c>
      <c r="F87" s="65">
        <v>1200</v>
      </c>
      <c r="G87" s="58">
        <v>136032</v>
      </c>
      <c r="H87" s="8"/>
      <c r="I87" s="8" t="s">
        <v>11723</v>
      </c>
    </row>
    <row r="88" spans="1:9" ht="45" x14ac:dyDescent="0.2">
      <c r="A88" s="12" t="s">
        <v>6456</v>
      </c>
      <c r="B88" s="12" t="s">
        <v>6326</v>
      </c>
      <c r="C88" s="669" t="s">
        <v>9490</v>
      </c>
      <c r="D88" s="8" t="s">
        <v>6380</v>
      </c>
      <c r="E88" s="8" t="s">
        <v>7027</v>
      </c>
      <c r="F88" s="65">
        <v>1200</v>
      </c>
      <c r="G88" s="58">
        <v>136032</v>
      </c>
      <c r="H88" s="8"/>
      <c r="I88" s="8" t="s">
        <v>11723</v>
      </c>
    </row>
    <row r="89" spans="1:9" ht="45" x14ac:dyDescent="0.2">
      <c r="A89" s="12" t="s">
        <v>6457</v>
      </c>
      <c r="B89" s="12" t="s">
        <v>6326</v>
      </c>
      <c r="C89" s="669" t="s">
        <v>9491</v>
      </c>
      <c r="D89" s="8" t="s">
        <v>6381</v>
      </c>
      <c r="E89" s="8" t="s">
        <v>7027</v>
      </c>
      <c r="F89" s="65">
        <v>1200</v>
      </c>
      <c r="G89" s="58">
        <v>136032</v>
      </c>
      <c r="H89" s="8"/>
      <c r="I89" s="8" t="s">
        <v>11723</v>
      </c>
    </row>
    <row r="90" spans="1:9" ht="45" x14ac:dyDescent="0.2">
      <c r="A90" s="12" t="s">
        <v>6458</v>
      </c>
      <c r="B90" s="12" t="s">
        <v>6326</v>
      </c>
      <c r="C90" s="669" t="s">
        <v>9492</v>
      </c>
      <c r="D90" s="8" t="s">
        <v>6382</v>
      </c>
      <c r="E90" s="8" t="s">
        <v>7027</v>
      </c>
      <c r="F90" s="65">
        <v>1200</v>
      </c>
      <c r="G90" s="58">
        <v>136032</v>
      </c>
      <c r="H90" s="8"/>
      <c r="I90" s="8" t="s">
        <v>11723</v>
      </c>
    </row>
    <row r="91" spans="1:9" ht="45" x14ac:dyDescent="0.2">
      <c r="A91" s="12" t="s">
        <v>6459</v>
      </c>
      <c r="B91" s="12" t="s">
        <v>6326</v>
      </c>
      <c r="C91" s="669" t="s">
        <v>9493</v>
      </c>
      <c r="D91" s="8" t="s">
        <v>6383</v>
      </c>
      <c r="E91" s="8" t="s">
        <v>7027</v>
      </c>
      <c r="F91" s="65">
        <v>1200</v>
      </c>
      <c r="G91" s="58">
        <v>136032</v>
      </c>
      <c r="H91" s="8"/>
      <c r="I91" s="8" t="s">
        <v>11723</v>
      </c>
    </row>
    <row r="92" spans="1:9" ht="45" x14ac:dyDescent="0.2">
      <c r="A92" s="12" t="s">
        <v>6460</v>
      </c>
      <c r="B92" s="12" t="s">
        <v>6326</v>
      </c>
      <c r="C92" s="669" t="s">
        <v>9494</v>
      </c>
      <c r="D92" s="8" t="s">
        <v>6384</v>
      </c>
      <c r="E92" s="8" t="s">
        <v>7027</v>
      </c>
      <c r="F92" s="65">
        <v>1200</v>
      </c>
      <c r="G92" s="58">
        <v>136032</v>
      </c>
      <c r="H92" s="8"/>
      <c r="I92" s="8" t="s">
        <v>11723</v>
      </c>
    </row>
    <row r="93" spans="1:9" ht="45" x14ac:dyDescent="0.2">
      <c r="A93" s="12" t="s">
        <v>6461</v>
      </c>
      <c r="B93" s="12" t="s">
        <v>6326</v>
      </c>
      <c r="C93" s="669" t="s">
        <v>9495</v>
      </c>
      <c r="D93" s="8" t="s">
        <v>6385</v>
      </c>
      <c r="E93" s="8" t="s">
        <v>7027</v>
      </c>
      <c r="F93" s="65">
        <v>1200</v>
      </c>
      <c r="G93" s="58">
        <v>136032</v>
      </c>
      <c r="H93" s="8"/>
      <c r="I93" s="8" t="s">
        <v>11723</v>
      </c>
    </row>
    <row r="94" spans="1:9" ht="45" x14ac:dyDescent="0.2">
      <c r="A94" s="12" t="s">
        <v>6462</v>
      </c>
      <c r="B94" s="12" t="s">
        <v>6326</v>
      </c>
      <c r="C94" s="669" t="s">
        <v>9496</v>
      </c>
      <c r="D94" s="8" t="s">
        <v>6388</v>
      </c>
      <c r="E94" s="8" t="s">
        <v>7027</v>
      </c>
      <c r="F94" s="65">
        <v>1200</v>
      </c>
      <c r="G94" s="58">
        <v>136032</v>
      </c>
      <c r="H94" s="8"/>
      <c r="I94" s="8" t="s">
        <v>11723</v>
      </c>
    </row>
    <row r="95" spans="1:9" ht="45" x14ac:dyDescent="0.2">
      <c r="A95" s="12" t="s">
        <v>6463</v>
      </c>
      <c r="B95" s="12" t="s">
        <v>6326</v>
      </c>
      <c r="C95" s="669" t="s">
        <v>9497</v>
      </c>
      <c r="D95" s="8" t="s">
        <v>6386</v>
      </c>
      <c r="E95" s="8" t="s">
        <v>7027</v>
      </c>
      <c r="F95" s="65">
        <v>1200</v>
      </c>
      <c r="G95" s="58">
        <v>136032</v>
      </c>
      <c r="H95" s="8"/>
      <c r="I95" s="8" t="s">
        <v>11723</v>
      </c>
    </row>
    <row r="96" spans="1:9" ht="45" x14ac:dyDescent="0.2">
      <c r="A96" s="12" t="s">
        <v>6464</v>
      </c>
      <c r="B96" s="12" t="s">
        <v>6326</v>
      </c>
      <c r="C96" s="669" t="s">
        <v>9498</v>
      </c>
      <c r="D96" s="8" t="s">
        <v>6389</v>
      </c>
      <c r="E96" s="8" t="s">
        <v>7027</v>
      </c>
      <c r="F96" s="65">
        <v>1200</v>
      </c>
      <c r="G96" s="58">
        <v>136032</v>
      </c>
      <c r="H96" s="8"/>
      <c r="I96" s="8" t="s">
        <v>11723</v>
      </c>
    </row>
    <row r="97" spans="1:9" ht="45" x14ac:dyDescent="0.2">
      <c r="A97" s="12" t="s">
        <v>6465</v>
      </c>
      <c r="B97" s="12" t="s">
        <v>6326</v>
      </c>
      <c r="C97" s="669" t="s">
        <v>9499</v>
      </c>
      <c r="D97" s="8" t="s">
        <v>6387</v>
      </c>
      <c r="E97" s="8" t="s">
        <v>7027</v>
      </c>
      <c r="F97" s="65">
        <v>1200</v>
      </c>
      <c r="G97" s="58">
        <v>136032</v>
      </c>
      <c r="H97" s="8"/>
      <c r="I97" s="8" t="s">
        <v>11723</v>
      </c>
    </row>
    <row r="98" spans="1:9" ht="45" x14ac:dyDescent="0.2">
      <c r="A98" s="12" t="s">
        <v>6466</v>
      </c>
      <c r="B98" s="12" t="s">
        <v>6326</v>
      </c>
      <c r="C98" s="669" t="s">
        <v>9500</v>
      </c>
      <c r="D98" s="8" t="s">
        <v>6390</v>
      </c>
      <c r="E98" s="8" t="s">
        <v>7027</v>
      </c>
      <c r="F98" s="65">
        <v>1200</v>
      </c>
      <c r="G98" s="58">
        <v>136032</v>
      </c>
      <c r="H98" s="8"/>
      <c r="I98" s="8" t="s">
        <v>11723</v>
      </c>
    </row>
    <row r="99" spans="1:9" ht="45" x14ac:dyDescent="0.2">
      <c r="A99" s="12" t="s">
        <v>6467</v>
      </c>
      <c r="B99" s="12" t="s">
        <v>6326</v>
      </c>
      <c r="C99" s="669" t="s">
        <v>9501</v>
      </c>
      <c r="D99" s="8" t="s">
        <v>6391</v>
      </c>
      <c r="E99" s="8" t="s">
        <v>7027</v>
      </c>
      <c r="F99" s="65">
        <v>1200</v>
      </c>
      <c r="G99" s="58">
        <v>136032</v>
      </c>
      <c r="H99" s="8"/>
      <c r="I99" s="8" t="s">
        <v>11723</v>
      </c>
    </row>
    <row r="100" spans="1:9" ht="45" x14ac:dyDescent="0.2">
      <c r="A100" s="12" t="s">
        <v>6468</v>
      </c>
      <c r="B100" s="12" t="s">
        <v>6326</v>
      </c>
      <c r="C100" s="669" t="s">
        <v>9502</v>
      </c>
      <c r="D100" s="8" t="s">
        <v>6392</v>
      </c>
      <c r="E100" s="8" t="s">
        <v>7027</v>
      </c>
      <c r="F100" s="65">
        <v>1200</v>
      </c>
      <c r="G100" s="58">
        <v>136032</v>
      </c>
      <c r="H100" s="8"/>
      <c r="I100" s="8" t="s">
        <v>11723</v>
      </c>
    </row>
    <row r="101" spans="1:9" ht="45" x14ac:dyDescent="0.2">
      <c r="A101" s="12" t="s">
        <v>6469</v>
      </c>
      <c r="B101" s="12" t="s">
        <v>6326</v>
      </c>
      <c r="C101" s="669" t="s">
        <v>9503</v>
      </c>
      <c r="D101" s="8" t="s">
        <v>6393</v>
      </c>
      <c r="E101" s="8" t="s">
        <v>7027</v>
      </c>
      <c r="F101" s="65">
        <v>1200</v>
      </c>
      <c r="G101" s="58">
        <v>136032</v>
      </c>
      <c r="H101" s="8"/>
      <c r="I101" s="8" t="s">
        <v>11723</v>
      </c>
    </row>
    <row r="102" spans="1:9" ht="45" x14ac:dyDescent="0.2">
      <c r="A102" s="12" t="s">
        <v>6470</v>
      </c>
      <c r="B102" s="12" t="s">
        <v>6326</v>
      </c>
      <c r="C102" s="669" t="s">
        <v>9504</v>
      </c>
      <c r="D102" s="8" t="s">
        <v>6396</v>
      </c>
      <c r="E102" s="8" t="s">
        <v>7027</v>
      </c>
      <c r="F102" s="22">
        <v>1200</v>
      </c>
      <c r="G102" s="58">
        <v>136032</v>
      </c>
      <c r="H102" s="8"/>
      <c r="I102" s="8" t="s">
        <v>11723</v>
      </c>
    </row>
    <row r="103" spans="1:9" ht="45" x14ac:dyDescent="0.2">
      <c r="A103" s="12" t="s">
        <v>6471</v>
      </c>
      <c r="B103" s="12" t="s">
        <v>6326</v>
      </c>
      <c r="C103" s="669" t="s">
        <v>9505</v>
      </c>
      <c r="D103" s="8" t="s">
        <v>6397</v>
      </c>
      <c r="E103" s="8" t="s">
        <v>7027</v>
      </c>
      <c r="F103" s="22">
        <v>1200</v>
      </c>
      <c r="G103" s="58">
        <v>136032</v>
      </c>
      <c r="H103" s="8"/>
      <c r="I103" s="8" t="s">
        <v>11723</v>
      </c>
    </row>
    <row r="104" spans="1:9" ht="45" x14ac:dyDescent="0.2">
      <c r="A104" s="12" t="s">
        <v>6472</v>
      </c>
      <c r="B104" s="12" t="s">
        <v>6326</v>
      </c>
      <c r="C104" s="669" t="s">
        <v>9506</v>
      </c>
      <c r="D104" s="8" t="s">
        <v>6398</v>
      </c>
      <c r="E104" s="8" t="s">
        <v>7027</v>
      </c>
      <c r="F104" s="22">
        <v>1200</v>
      </c>
      <c r="G104" s="58">
        <v>136032</v>
      </c>
      <c r="H104" s="8"/>
      <c r="I104" s="8" t="s">
        <v>11723</v>
      </c>
    </row>
    <row r="105" spans="1:9" ht="45" x14ac:dyDescent="0.2">
      <c r="A105" s="12" t="s">
        <v>6473</v>
      </c>
      <c r="B105" s="12" t="s">
        <v>6326</v>
      </c>
      <c r="C105" s="669" t="s">
        <v>9507</v>
      </c>
      <c r="D105" s="8" t="s">
        <v>6399</v>
      </c>
      <c r="E105" s="8" t="s">
        <v>7027</v>
      </c>
      <c r="F105" s="22">
        <v>1200</v>
      </c>
      <c r="G105" s="58">
        <v>136032</v>
      </c>
      <c r="H105" s="8"/>
      <c r="I105" s="8" t="s">
        <v>11723</v>
      </c>
    </row>
    <row r="106" spans="1:9" ht="45" x14ac:dyDescent="0.2">
      <c r="A106" s="12" t="s">
        <v>6474</v>
      </c>
      <c r="B106" s="12" t="s">
        <v>6326</v>
      </c>
      <c r="C106" s="669" t="s">
        <v>9508</v>
      </c>
      <c r="D106" s="8" t="s">
        <v>6401</v>
      </c>
      <c r="E106" s="8" t="s">
        <v>7027</v>
      </c>
      <c r="F106" s="65">
        <v>1200</v>
      </c>
      <c r="G106" s="58">
        <v>136032</v>
      </c>
      <c r="H106" s="8"/>
      <c r="I106" s="8" t="s">
        <v>11723</v>
      </c>
    </row>
    <row r="107" spans="1:9" ht="45" x14ac:dyDescent="0.2">
      <c r="A107" s="12" t="s">
        <v>6475</v>
      </c>
      <c r="B107" s="12" t="s">
        <v>6326</v>
      </c>
      <c r="C107" s="669" t="s">
        <v>9509</v>
      </c>
      <c r="D107" s="8" t="s">
        <v>6402</v>
      </c>
      <c r="E107" s="8" t="s">
        <v>7027</v>
      </c>
      <c r="F107" s="65">
        <v>1200</v>
      </c>
      <c r="G107" s="58">
        <v>136032</v>
      </c>
      <c r="H107" s="8"/>
      <c r="I107" s="8" t="s">
        <v>11723</v>
      </c>
    </row>
    <row r="108" spans="1:9" ht="45" x14ac:dyDescent="0.2">
      <c r="A108" s="12" t="s">
        <v>6476</v>
      </c>
      <c r="B108" s="12" t="s">
        <v>6326</v>
      </c>
      <c r="C108" s="669" t="s">
        <v>9510</v>
      </c>
      <c r="D108" s="8" t="s">
        <v>6403</v>
      </c>
      <c r="E108" s="8" t="s">
        <v>7027</v>
      </c>
      <c r="F108" s="65">
        <v>1200</v>
      </c>
      <c r="G108" s="58">
        <v>136032</v>
      </c>
      <c r="H108" s="8"/>
      <c r="I108" s="8" t="s">
        <v>11723</v>
      </c>
    </row>
    <row r="109" spans="1:9" ht="45" x14ac:dyDescent="0.2">
      <c r="A109" s="12" t="s">
        <v>6477</v>
      </c>
      <c r="B109" s="12" t="s">
        <v>6326</v>
      </c>
      <c r="C109" s="669" t="s">
        <v>9511</v>
      </c>
      <c r="D109" s="8" t="s">
        <v>6404</v>
      </c>
      <c r="E109" s="8" t="s">
        <v>7027</v>
      </c>
      <c r="F109" s="65">
        <v>1200</v>
      </c>
      <c r="G109" s="58">
        <v>136032</v>
      </c>
      <c r="H109" s="8"/>
      <c r="I109" s="8" t="s">
        <v>11723</v>
      </c>
    </row>
    <row r="110" spans="1:9" ht="45" x14ac:dyDescent="0.2">
      <c r="A110" s="12" t="s">
        <v>6478</v>
      </c>
      <c r="B110" s="12" t="s">
        <v>6326</v>
      </c>
      <c r="C110" s="669" t="s">
        <v>9512</v>
      </c>
      <c r="D110" s="8" t="s">
        <v>6405</v>
      </c>
      <c r="E110" s="8" t="s">
        <v>7027</v>
      </c>
      <c r="F110" s="65">
        <v>1200</v>
      </c>
      <c r="G110" s="58">
        <v>136032</v>
      </c>
      <c r="H110" s="8"/>
      <c r="I110" s="8" t="s">
        <v>11723</v>
      </c>
    </row>
    <row r="111" spans="1:9" ht="45" x14ac:dyDescent="0.2">
      <c r="A111" s="12" t="s">
        <v>6487</v>
      </c>
      <c r="B111" s="12" t="s">
        <v>6326</v>
      </c>
      <c r="C111" s="669" t="s">
        <v>9513</v>
      </c>
      <c r="D111" s="8" t="s">
        <v>6527</v>
      </c>
      <c r="E111" s="8" t="s">
        <v>7027</v>
      </c>
      <c r="F111" s="22">
        <v>1200</v>
      </c>
      <c r="G111" s="58">
        <v>136032</v>
      </c>
      <c r="H111" s="8"/>
      <c r="I111" s="8" t="s">
        <v>11723</v>
      </c>
    </row>
    <row r="112" spans="1:9" ht="45" x14ac:dyDescent="0.2">
      <c r="A112" s="12" t="s">
        <v>6488</v>
      </c>
      <c r="B112" s="12" t="s">
        <v>6326</v>
      </c>
      <c r="C112" s="669" t="s">
        <v>9514</v>
      </c>
      <c r="D112" s="8" t="s">
        <v>6528</v>
      </c>
      <c r="E112" s="8" t="s">
        <v>7027</v>
      </c>
      <c r="F112" s="22">
        <v>1200</v>
      </c>
      <c r="G112" s="58">
        <v>136032</v>
      </c>
      <c r="H112" s="8"/>
      <c r="I112" s="8" t="s">
        <v>11723</v>
      </c>
    </row>
    <row r="113" spans="1:9" ht="45" x14ac:dyDescent="0.2">
      <c r="A113" s="12" t="s">
        <v>6489</v>
      </c>
      <c r="B113" s="12" t="s">
        <v>6326</v>
      </c>
      <c r="C113" s="669" t="s">
        <v>9515</v>
      </c>
      <c r="D113" s="8" t="s">
        <v>6529</v>
      </c>
      <c r="E113" s="8" t="s">
        <v>7027</v>
      </c>
      <c r="F113" s="22">
        <v>1200</v>
      </c>
      <c r="G113" s="58">
        <v>136032</v>
      </c>
      <c r="H113" s="8"/>
      <c r="I113" s="8" t="s">
        <v>11723</v>
      </c>
    </row>
    <row r="114" spans="1:9" ht="45" x14ac:dyDescent="0.2">
      <c r="A114" s="12" t="s">
        <v>6490</v>
      </c>
      <c r="B114" s="12" t="s">
        <v>6326</v>
      </c>
      <c r="C114" s="669" t="s">
        <v>9516</v>
      </c>
      <c r="D114" s="8" t="s">
        <v>6531</v>
      </c>
      <c r="E114" s="8" t="s">
        <v>7027</v>
      </c>
      <c r="F114" s="22">
        <v>1200</v>
      </c>
      <c r="G114" s="58">
        <v>136032</v>
      </c>
      <c r="H114" s="8"/>
      <c r="I114" s="8" t="s">
        <v>11723</v>
      </c>
    </row>
    <row r="115" spans="1:9" ht="45" x14ac:dyDescent="0.2">
      <c r="A115" s="12" t="s">
        <v>6491</v>
      </c>
      <c r="B115" s="12" t="s">
        <v>6326</v>
      </c>
      <c r="C115" s="669" t="s">
        <v>9517</v>
      </c>
      <c r="D115" s="8" t="s">
        <v>6532</v>
      </c>
      <c r="E115" s="8" t="s">
        <v>7027</v>
      </c>
      <c r="F115" s="22">
        <v>1200</v>
      </c>
      <c r="G115" s="58">
        <v>136032</v>
      </c>
      <c r="H115" s="8"/>
      <c r="I115" s="8" t="s">
        <v>11723</v>
      </c>
    </row>
    <row r="116" spans="1:9" ht="45" x14ac:dyDescent="0.2">
      <c r="A116" s="12" t="s">
        <v>6492</v>
      </c>
      <c r="B116" s="12" t="s">
        <v>6326</v>
      </c>
      <c r="C116" s="669" t="s">
        <v>9518</v>
      </c>
      <c r="D116" s="8" t="s">
        <v>6533</v>
      </c>
      <c r="E116" s="8" t="s">
        <v>7027</v>
      </c>
      <c r="F116" s="22">
        <v>1200</v>
      </c>
      <c r="G116" s="58">
        <v>136032</v>
      </c>
      <c r="H116" s="8"/>
      <c r="I116" s="8" t="s">
        <v>11723</v>
      </c>
    </row>
    <row r="117" spans="1:9" ht="45" x14ac:dyDescent="0.2">
      <c r="A117" s="12" t="s">
        <v>6493</v>
      </c>
      <c r="B117" s="12" t="s">
        <v>6326</v>
      </c>
      <c r="C117" s="669" t="s">
        <v>9519</v>
      </c>
      <c r="D117" s="8" t="s">
        <v>6534</v>
      </c>
      <c r="E117" s="8" t="s">
        <v>7027</v>
      </c>
      <c r="F117" s="22">
        <v>1200</v>
      </c>
      <c r="G117" s="58">
        <v>136032</v>
      </c>
      <c r="H117" s="8"/>
      <c r="I117" s="8" t="s">
        <v>11723</v>
      </c>
    </row>
    <row r="118" spans="1:9" ht="45" x14ac:dyDescent="0.2">
      <c r="A118" s="12" t="s">
        <v>6494</v>
      </c>
      <c r="B118" s="12" t="s">
        <v>6326</v>
      </c>
      <c r="C118" s="669" t="s">
        <v>9520</v>
      </c>
      <c r="D118" s="8" t="s">
        <v>6535</v>
      </c>
      <c r="E118" s="8" t="s">
        <v>7027</v>
      </c>
      <c r="F118" s="22">
        <v>1200</v>
      </c>
      <c r="G118" s="58">
        <v>136032</v>
      </c>
      <c r="H118" s="8"/>
      <c r="I118" s="8" t="s">
        <v>11723</v>
      </c>
    </row>
    <row r="119" spans="1:9" ht="45" x14ac:dyDescent="0.2">
      <c r="A119" s="12" t="s">
        <v>6495</v>
      </c>
      <c r="B119" s="12" t="s">
        <v>6326</v>
      </c>
      <c r="C119" s="669" t="s">
        <v>9521</v>
      </c>
      <c r="D119" s="8" t="s">
        <v>6536</v>
      </c>
      <c r="E119" s="8" t="s">
        <v>7027</v>
      </c>
      <c r="F119" s="22">
        <v>1200</v>
      </c>
      <c r="G119" s="58">
        <v>136032</v>
      </c>
      <c r="H119" s="8"/>
      <c r="I119" s="8" t="s">
        <v>11723</v>
      </c>
    </row>
    <row r="120" spans="1:9" ht="45" x14ac:dyDescent="0.2">
      <c r="A120" s="12" t="s">
        <v>6504</v>
      </c>
      <c r="B120" s="12" t="s">
        <v>6326</v>
      </c>
      <c r="C120" s="669" t="s">
        <v>9522</v>
      </c>
      <c r="D120" s="8" t="s">
        <v>6537</v>
      </c>
      <c r="E120" s="8" t="s">
        <v>7027</v>
      </c>
      <c r="F120" s="22">
        <v>1200</v>
      </c>
      <c r="G120" s="58">
        <v>136032</v>
      </c>
      <c r="H120" s="8"/>
      <c r="I120" s="8" t="s">
        <v>11723</v>
      </c>
    </row>
    <row r="121" spans="1:9" ht="45" x14ac:dyDescent="0.2">
      <c r="A121" s="12" t="s">
        <v>6505</v>
      </c>
      <c r="B121" s="12" t="s">
        <v>6326</v>
      </c>
      <c r="C121" s="669" t="s">
        <v>9523</v>
      </c>
      <c r="D121" s="8" t="s">
        <v>6538</v>
      </c>
      <c r="E121" s="8" t="s">
        <v>7027</v>
      </c>
      <c r="F121" s="22">
        <v>1200</v>
      </c>
      <c r="G121" s="58">
        <v>136032</v>
      </c>
      <c r="H121" s="8"/>
      <c r="I121" s="8" t="s">
        <v>11723</v>
      </c>
    </row>
    <row r="122" spans="1:9" ht="45" x14ac:dyDescent="0.2">
      <c r="A122" s="12" t="s">
        <v>6506</v>
      </c>
      <c r="B122" s="12" t="s">
        <v>6326</v>
      </c>
      <c r="C122" s="669" t="s">
        <v>9524</v>
      </c>
      <c r="D122" s="8" t="s">
        <v>6539</v>
      </c>
      <c r="E122" s="8" t="s">
        <v>7027</v>
      </c>
      <c r="F122" s="22">
        <v>1200</v>
      </c>
      <c r="G122" s="58">
        <v>136032</v>
      </c>
      <c r="H122" s="8"/>
      <c r="I122" s="8" t="s">
        <v>11723</v>
      </c>
    </row>
    <row r="123" spans="1:9" ht="45" x14ac:dyDescent="0.2">
      <c r="A123" s="12" t="s">
        <v>6507</v>
      </c>
      <c r="B123" s="12" t="s">
        <v>6326</v>
      </c>
      <c r="C123" s="669" t="s">
        <v>9525</v>
      </c>
      <c r="D123" s="8" t="s">
        <v>6540</v>
      </c>
      <c r="E123" s="8" t="s">
        <v>7027</v>
      </c>
      <c r="F123" s="22">
        <v>1200</v>
      </c>
      <c r="G123" s="58">
        <v>136032</v>
      </c>
      <c r="H123" s="8"/>
      <c r="I123" s="8" t="s">
        <v>11723</v>
      </c>
    </row>
    <row r="124" spans="1:9" ht="45" x14ac:dyDescent="0.2">
      <c r="A124" s="12" t="s">
        <v>6508</v>
      </c>
      <c r="B124" s="12" t="s">
        <v>6326</v>
      </c>
      <c r="C124" s="669" t="s">
        <v>9526</v>
      </c>
      <c r="D124" s="8" t="s">
        <v>6541</v>
      </c>
      <c r="E124" s="8" t="s">
        <v>7027</v>
      </c>
      <c r="F124" s="22">
        <v>1200</v>
      </c>
      <c r="G124" s="58">
        <v>136032</v>
      </c>
      <c r="H124" s="8"/>
      <c r="I124" s="8" t="s">
        <v>11723</v>
      </c>
    </row>
    <row r="125" spans="1:9" ht="45" x14ac:dyDescent="0.2">
      <c r="A125" s="12" t="s">
        <v>6509</v>
      </c>
      <c r="B125" s="12" t="s">
        <v>6326</v>
      </c>
      <c r="C125" s="669" t="s">
        <v>9527</v>
      </c>
      <c r="D125" s="8" t="s">
        <v>6542</v>
      </c>
      <c r="E125" s="8" t="s">
        <v>7027</v>
      </c>
      <c r="F125" s="22">
        <v>1200</v>
      </c>
      <c r="G125" s="58">
        <v>136032</v>
      </c>
      <c r="H125" s="8"/>
      <c r="I125" s="8" t="s">
        <v>11723</v>
      </c>
    </row>
    <row r="126" spans="1:9" ht="45" x14ac:dyDescent="0.2">
      <c r="A126" s="12" t="s">
        <v>6510</v>
      </c>
      <c r="B126" s="12" t="s">
        <v>6326</v>
      </c>
      <c r="C126" s="669" t="s">
        <v>9528</v>
      </c>
      <c r="D126" s="8" t="s">
        <v>6543</v>
      </c>
      <c r="E126" s="8" t="s">
        <v>7027</v>
      </c>
      <c r="F126" s="22">
        <v>1200</v>
      </c>
      <c r="G126" s="58">
        <v>136032</v>
      </c>
      <c r="H126" s="8"/>
      <c r="I126" s="8" t="s">
        <v>11723</v>
      </c>
    </row>
    <row r="127" spans="1:9" ht="45" x14ac:dyDescent="0.2">
      <c r="A127" s="12" t="s">
        <v>6511</v>
      </c>
      <c r="B127" s="12" t="s">
        <v>6326</v>
      </c>
      <c r="C127" s="669" t="s">
        <v>9529</v>
      </c>
      <c r="D127" s="8" t="s">
        <v>6544</v>
      </c>
      <c r="E127" s="8" t="s">
        <v>7027</v>
      </c>
      <c r="F127" s="22">
        <v>1200</v>
      </c>
      <c r="G127" s="58">
        <v>136032</v>
      </c>
      <c r="H127" s="8"/>
      <c r="I127" s="8" t="s">
        <v>11723</v>
      </c>
    </row>
    <row r="128" spans="1:9" ht="45" x14ac:dyDescent="0.2">
      <c r="A128" s="12" t="s">
        <v>6512</v>
      </c>
      <c r="B128" s="12" t="s">
        <v>6326</v>
      </c>
      <c r="C128" s="669" t="s">
        <v>9530</v>
      </c>
      <c r="D128" s="8" t="s">
        <v>6545</v>
      </c>
      <c r="E128" s="8" t="s">
        <v>7027</v>
      </c>
      <c r="F128" s="22">
        <v>1200</v>
      </c>
      <c r="G128" s="58">
        <v>136032</v>
      </c>
      <c r="H128" s="8"/>
      <c r="I128" s="8" t="s">
        <v>11723</v>
      </c>
    </row>
    <row r="129" spans="1:9" ht="45" x14ac:dyDescent="0.2">
      <c r="A129" s="12" t="s">
        <v>6513</v>
      </c>
      <c r="B129" s="12" t="s">
        <v>6326</v>
      </c>
      <c r="C129" s="669" t="s">
        <v>9531</v>
      </c>
      <c r="D129" s="8" t="s">
        <v>6546</v>
      </c>
      <c r="E129" s="8" t="s">
        <v>7027</v>
      </c>
      <c r="F129" s="22">
        <v>1200</v>
      </c>
      <c r="G129" s="58">
        <v>136032</v>
      </c>
      <c r="H129" s="8"/>
      <c r="I129" s="8" t="s">
        <v>11723</v>
      </c>
    </row>
    <row r="130" spans="1:9" ht="45" x14ac:dyDescent="0.2">
      <c r="A130" s="12" t="s">
        <v>6514</v>
      </c>
      <c r="B130" s="12" t="s">
        <v>6326</v>
      </c>
      <c r="C130" s="669" t="s">
        <v>9532</v>
      </c>
      <c r="D130" s="8" t="s">
        <v>6547</v>
      </c>
      <c r="E130" s="8" t="s">
        <v>7027</v>
      </c>
      <c r="F130" s="22">
        <v>1200</v>
      </c>
      <c r="G130" s="58">
        <v>136032</v>
      </c>
      <c r="H130" s="8"/>
      <c r="I130" s="8" t="s">
        <v>11723</v>
      </c>
    </row>
    <row r="131" spans="1:9" ht="45" x14ac:dyDescent="0.2">
      <c r="A131" s="12" t="s">
        <v>6515</v>
      </c>
      <c r="B131" s="12" t="s">
        <v>6326</v>
      </c>
      <c r="C131" s="669" t="s">
        <v>9533</v>
      </c>
      <c r="D131" s="8" t="s">
        <v>6548</v>
      </c>
      <c r="E131" s="8" t="s">
        <v>7027</v>
      </c>
      <c r="F131" s="22">
        <v>1200</v>
      </c>
      <c r="G131" s="58">
        <v>136032</v>
      </c>
      <c r="H131" s="8"/>
      <c r="I131" s="8" t="s">
        <v>11723</v>
      </c>
    </row>
    <row r="132" spans="1:9" ht="45" x14ac:dyDescent="0.2">
      <c r="A132" s="12" t="s">
        <v>6516</v>
      </c>
      <c r="B132" s="12" t="s">
        <v>6326</v>
      </c>
      <c r="C132" s="669" t="s">
        <v>9534</v>
      </c>
      <c r="D132" s="8" t="s">
        <v>6549</v>
      </c>
      <c r="E132" s="8" t="s">
        <v>7027</v>
      </c>
      <c r="F132" s="22">
        <v>1200</v>
      </c>
      <c r="G132" s="58">
        <v>136032</v>
      </c>
      <c r="H132" s="8"/>
      <c r="I132" s="8" t="s">
        <v>11723</v>
      </c>
    </row>
    <row r="133" spans="1:9" ht="45" x14ac:dyDescent="0.2">
      <c r="A133" s="12" t="s">
        <v>6517</v>
      </c>
      <c r="B133" s="12" t="s">
        <v>6326</v>
      </c>
      <c r="C133" s="669" t="s">
        <v>9535</v>
      </c>
      <c r="D133" s="8" t="s">
        <v>6550</v>
      </c>
      <c r="E133" s="8" t="s">
        <v>7027</v>
      </c>
      <c r="F133" s="22">
        <v>1200</v>
      </c>
      <c r="G133" s="58">
        <v>136032</v>
      </c>
      <c r="H133" s="8"/>
      <c r="I133" s="8" t="s">
        <v>11723</v>
      </c>
    </row>
    <row r="134" spans="1:9" ht="45" x14ac:dyDescent="0.2">
      <c r="A134" s="12" t="s">
        <v>6518</v>
      </c>
      <c r="B134" s="12" t="s">
        <v>6326</v>
      </c>
      <c r="C134" s="669" t="s">
        <v>9536</v>
      </c>
      <c r="D134" s="8" t="s">
        <v>6530</v>
      </c>
      <c r="E134" s="8" t="s">
        <v>7027</v>
      </c>
      <c r="F134" s="22">
        <v>1200</v>
      </c>
      <c r="G134" s="58">
        <v>136032</v>
      </c>
      <c r="H134" s="8"/>
      <c r="I134" s="8" t="s">
        <v>11723</v>
      </c>
    </row>
    <row r="135" spans="1:9" ht="45" x14ac:dyDescent="0.2">
      <c r="A135" s="12" t="s">
        <v>6519</v>
      </c>
      <c r="B135" s="12" t="s">
        <v>6326</v>
      </c>
      <c r="C135" s="669" t="s">
        <v>9537</v>
      </c>
      <c r="D135" s="8" t="s">
        <v>6496</v>
      </c>
      <c r="E135" s="8" t="s">
        <v>7027</v>
      </c>
      <c r="F135" s="22">
        <v>1200</v>
      </c>
      <c r="G135" s="58">
        <v>136032</v>
      </c>
      <c r="H135" s="8"/>
      <c r="I135" s="8" t="s">
        <v>11723</v>
      </c>
    </row>
    <row r="136" spans="1:9" ht="45" x14ac:dyDescent="0.2">
      <c r="A136" s="12" t="s">
        <v>6520</v>
      </c>
      <c r="B136" s="12" t="s">
        <v>6326</v>
      </c>
      <c r="C136" s="669" t="s">
        <v>9538</v>
      </c>
      <c r="D136" s="8" t="s">
        <v>6497</v>
      </c>
      <c r="E136" s="8" t="s">
        <v>7027</v>
      </c>
      <c r="F136" s="22">
        <v>1200</v>
      </c>
      <c r="G136" s="58">
        <v>136032</v>
      </c>
      <c r="H136" s="8"/>
      <c r="I136" s="8" t="s">
        <v>11723</v>
      </c>
    </row>
    <row r="137" spans="1:9" ht="45" x14ac:dyDescent="0.2">
      <c r="A137" s="12" t="s">
        <v>6521</v>
      </c>
      <c r="B137" s="12" t="s">
        <v>6326</v>
      </c>
      <c r="C137" s="669" t="s">
        <v>9539</v>
      </c>
      <c r="D137" s="8" t="s">
        <v>6498</v>
      </c>
      <c r="E137" s="8" t="s">
        <v>7027</v>
      </c>
      <c r="F137" s="22">
        <v>1200</v>
      </c>
      <c r="G137" s="58">
        <v>136032</v>
      </c>
      <c r="H137" s="8"/>
      <c r="I137" s="8" t="s">
        <v>11723</v>
      </c>
    </row>
    <row r="138" spans="1:9" ht="45" x14ac:dyDescent="0.2">
      <c r="A138" s="12" t="s">
        <v>6522</v>
      </c>
      <c r="B138" s="12" t="s">
        <v>6326</v>
      </c>
      <c r="C138" s="669" t="s">
        <v>9540</v>
      </c>
      <c r="D138" s="8" t="s">
        <v>6500</v>
      </c>
      <c r="E138" s="8" t="s">
        <v>7027</v>
      </c>
      <c r="F138" s="22">
        <v>1200</v>
      </c>
      <c r="G138" s="58">
        <v>136032</v>
      </c>
      <c r="H138" s="8"/>
      <c r="I138" s="8" t="s">
        <v>11723</v>
      </c>
    </row>
    <row r="139" spans="1:9" ht="45" x14ac:dyDescent="0.2">
      <c r="A139" s="12" t="s">
        <v>6523</v>
      </c>
      <c r="B139" s="12" t="s">
        <v>6326</v>
      </c>
      <c r="C139" s="669" t="s">
        <v>9541</v>
      </c>
      <c r="D139" s="8" t="s">
        <v>6499</v>
      </c>
      <c r="E139" s="8" t="s">
        <v>7027</v>
      </c>
      <c r="F139" s="22">
        <v>1200</v>
      </c>
      <c r="G139" s="58">
        <v>136032</v>
      </c>
      <c r="H139" s="8"/>
      <c r="I139" s="8" t="s">
        <v>11723</v>
      </c>
    </row>
    <row r="140" spans="1:9" ht="45" x14ac:dyDescent="0.2">
      <c r="A140" s="12" t="s">
        <v>6524</v>
      </c>
      <c r="B140" s="12" t="s">
        <v>6326</v>
      </c>
      <c r="C140" s="669" t="s">
        <v>9542</v>
      </c>
      <c r="D140" s="8" t="s">
        <v>6501</v>
      </c>
      <c r="E140" s="8" t="s">
        <v>7027</v>
      </c>
      <c r="F140" s="22">
        <v>1200</v>
      </c>
      <c r="G140" s="58">
        <v>136032</v>
      </c>
      <c r="H140" s="8"/>
      <c r="I140" s="8" t="s">
        <v>11723</v>
      </c>
    </row>
    <row r="141" spans="1:9" ht="45" x14ac:dyDescent="0.2">
      <c r="A141" s="12" t="s">
        <v>6525</v>
      </c>
      <c r="B141" s="12" t="s">
        <v>6326</v>
      </c>
      <c r="C141" s="669" t="s">
        <v>9543</v>
      </c>
      <c r="D141" s="8" t="s">
        <v>6502</v>
      </c>
      <c r="E141" s="8" t="s">
        <v>7027</v>
      </c>
      <c r="F141" s="22">
        <v>1200</v>
      </c>
      <c r="G141" s="58">
        <v>136032</v>
      </c>
      <c r="H141" s="8"/>
      <c r="I141" s="8" t="s">
        <v>11723</v>
      </c>
    </row>
    <row r="142" spans="1:9" ht="45" x14ac:dyDescent="0.2">
      <c r="A142" s="12" t="s">
        <v>6526</v>
      </c>
      <c r="B142" s="12" t="s">
        <v>6326</v>
      </c>
      <c r="C142" s="669" t="s">
        <v>9544</v>
      </c>
      <c r="D142" s="8" t="s">
        <v>6503</v>
      </c>
      <c r="E142" s="8" t="s">
        <v>7027</v>
      </c>
      <c r="F142" s="22">
        <v>1200</v>
      </c>
      <c r="G142" s="58">
        <v>136032</v>
      </c>
      <c r="H142" s="8"/>
      <c r="I142" s="8" t="s">
        <v>11723</v>
      </c>
    </row>
    <row r="143" spans="1:9" ht="45" x14ac:dyDescent="0.2">
      <c r="A143" s="12" t="s">
        <v>6574</v>
      </c>
      <c r="B143" s="12" t="s">
        <v>6326</v>
      </c>
      <c r="C143" s="667" t="s">
        <v>9545</v>
      </c>
      <c r="D143" s="12" t="s">
        <v>6585</v>
      </c>
      <c r="E143" s="8" t="s">
        <v>7027</v>
      </c>
      <c r="F143" s="65">
        <v>1200</v>
      </c>
      <c r="G143" s="58">
        <v>136032</v>
      </c>
      <c r="H143" s="12"/>
      <c r="I143" s="8" t="s">
        <v>11723</v>
      </c>
    </row>
    <row r="144" spans="1:9" ht="45" x14ac:dyDescent="0.2">
      <c r="A144" s="12" t="s">
        <v>6575</v>
      </c>
      <c r="B144" s="12" t="s">
        <v>6326</v>
      </c>
      <c r="C144" s="667" t="s">
        <v>9546</v>
      </c>
      <c r="D144" s="12" t="s">
        <v>6586</v>
      </c>
      <c r="E144" s="8" t="s">
        <v>7027</v>
      </c>
      <c r="F144" s="65">
        <v>1200</v>
      </c>
      <c r="G144" s="58">
        <v>136032</v>
      </c>
      <c r="H144" s="12"/>
      <c r="I144" s="8" t="s">
        <v>11723</v>
      </c>
    </row>
    <row r="145" spans="1:9" s="117" customFormat="1" ht="45" x14ac:dyDescent="0.2">
      <c r="A145" s="12" t="s">
        <v>6576</v>
      </c>
      <c r="B145" s="12" t="s">
        <v>6326</v>
      </c>
      <c r="C145" s="667" t="s">
        <v>9547</v>
      </c>
      <c r="D145" s="12" t="s">
        <v>6587</v>
      </c>
      <c r="E145" s="8" t="s">
        <v>7027</v>
      </c>
      <c r="F145" s="65">
        <v>1200</v>
      </c>
      <c r="G145" s="58">
        <v>136032</v>
      </c>
      <c r="H145" s="12"/>
      <c r="I145" s="8" t="s">
        <v>11723</v>
      </c>
    </row>
    <row r="146" spans="1:9" s="117" customFormat="1" ht="45" x14ac:dyDescent="0.2">
      <c r="A146" s="12" t="s">
        <v>6577</v>
      </c>
      <c r="B146" s="12" t="s">
        <v>6326</v>
      </c>
      <c r="C146" s="667" t="s">
        <v>9548</v>
      </c>
      <c r="D146" s="12" t="s">
        <v>6588</v>
      </c>
      <c r="E146" s="8" t="s">
        <v>7027</v>
      </c>
      <c r="F146" s="65">
        <v>1200</v>
      </c>
      <c r="G146" s="58">
        <v>136032</v>
      </c>
      <c r="H146" s="12"/>
      <c r="I146" s="8" t="s">
        <v>11723</v>
      </c>
    </row>
    <row r="147" spans="1:9" s="117" customFormat="1" ht="45" x14ac:dyDescent="0.2">
      <c r="A147" s="12" t="s">
        <v>6578</v>
      </c>
      <c r="B147" s="12" t="s">
        <v>6326</v>
      </c>
      <c r="C147" s="667" t="s">
        <v>9549</v>
      </c>
      <c r="D147" s="12" t="s">
        <v>6589</v>
      </c>
      <c r="E147" s="8" t="s">
        <v>7027</v>
      </c>
      <c r="F147" s="65">
        <v>1200</v>
      </c>
      <c r="G147" s="58">
        <v>136032</v>
      </c>
      <c r="H147" s="12"/>
      <c r="I147" s="8" t="s">
        <v>11723</v>
      </c>
    </row>
    <row r="148" spans="1:9" s="117" customFormat="1" ht="45" x14ac:dyDescent="0.2">
      <c r="A148" s="12" t="s">
        <v>6579</v>
      </c>
      <c r="B148" s="12" t="s">
        <v>6326</v>
      </c>
      <c r="C148" s="667" t="s">
        <v>9550</v>
      </c>
      <c r="D148" s="12" t="s">
        <v>6590</v>
      </c>
      <c r="E148" s="8" t="s">
        <v>7027</v>
      </c>
      <c r="F148" s="65">
        <v>1200</v>
      </c>
      <c r="G148" s="58">
        <v>136032</v>
      </c>
      <c r="H148" s="12"/>
      <c r="I148" s="8" t="s">
        <v>11723</v>
      </c>
    </row>
    <row r="149" spans="1:9" s="117" customFormat="1" ht="45" x14ac:dyDescent="0.2">
      <c r="A149" s="12" t="s">
        <v>6580</v>
      </c>
      <c r="B149" s="12" t="s">
        <v>6326</v>
      </c>
      <c r="C149" s="667" t="s">
        <v>9551</v>
      </c>
      <c r="D149" s="12" t="s">
        <v>6591</v>
      </c>
      <c r="E149" s="8" t="s">
        <v>7027</v>
      </c>
      <c r="F149" s="65">
        <v>1200</v>
      </c>
      <c r="G149" s="58">
        <v>136032</v>
      </c>
      <c r="H149" s="12"/>
      <c r="I149" s="8" t="s">
        <v>11723</v>
      </c>
    </row>
    <row r="150" spans="1:9" s="117" customFormat="1" ht="45" x14ac:dyDescent="0.2">
      <c r="A150" s="12" t="s">
        <v>6581</v>
      </c>
      <c r="B150" s="12" t="s">
        <v>6326</v>
      </c>
      <c r="C150" s="667" t="s">
        <v>9552</v>
      </c>
      <c r="D150" s="12" t="s">
        <v>6592</v>
      </c>
      <c r="E150" s="8" t="s">
        <v>7027</v>
      </c>
      <c r="F150" s="65">
        <v>1200</v>
      </c>
      <c r="G150" s="58">
        <v>136032</v>
      </c>
      <c r="H150" s="12"/>
      <c r="I150" s="8" t="s">
        <v>11723</v>
      </c>
    </row>
    <row r="151" spans="1:9" s="117" customFormat="1" ht="45" x14ac:dyDescent="0.2">
      <c r="A151" s="12" t="s">
        <v>6582</v>
      </c>
      <c r="B151" s="12" t="s">
        <v>6326</v>
      </c>
      <c r="C151" s="667" t="s">
        <v>9553</v>
      </c>
      <c r="D151" s="12" t="s">
        <v>6593</v>
      </c>
      <c r="E151" s="8" t="s">
        <v>7027</v>
      </c>
      <c r="F151" s="65">
        <v>1200</v>
      </c>
      <c r="G151" s="58">
        <v>136032</v>
      </c>
      <c r="H151" s="12"/>
      <c r="I151" s="8" t="s">
        <v>11723</v>
      </c>
    </row>
    <row r="152" spans="1:9" s="117" customFormat="1" ht="45" x14ac:dyDescent="0.2">
      <c r="A152" s="12" t="s">
        <v>6657</v>
      </c>
      <c r="B152" s="12" t="s">
        <v>6326</v>
      </c>
      <c r="C152" s="667" t="s">
        <v>9554</v>
      </c>
      <c r="D152" s="12" t="s">
        <v>6666</v>
      </c>
      <c r="E152" s="12" t="s">
        <v>7027</v>
      </c>
      <c r="F152" s="65">
        <v>1200</v>
      </c>
      <c r="G152" s="58">
        <v>136032</v>
      </c>
      <c r="H152" s="12"/>
      <c r="I152" s="8" t="s">
        <v>11723</v>
      </c>
    </row>
    <row r="153" spans="1:9" s="117" customFormat="1" ht="45" x14ac:dyDescent="0.2">
      <c r="A153" s="12" t="s">
        <v>6658</v>
      </c>
      <c r="B153" s="12" t="s">
        <v>6326</v>
      </c>
      <c r="C153" s="667" t="s">
        <v>9555</v>
      </c>
      <c r="D153" s="12" t="s">
        <v>6667</v>
      </c>
      <c r="E153" s="12" t="s">
        <v>7027</v>
      </c>
      <c r="F153" s="65">
        <v>1200</v>
      </c>
      <c r="G153" s="58">
        <v>136032</v>
      </c>
      <c r="H153" s="12"/>
      <c r="I153" s="8" t="s">
        <v>11723</v>
      </c>
    </row>
    <row r="154" spans="1:9" s="117" customFormat="1" ht="45" x14ac:dyDescent="0.2">
      <c r="A154" s="12" t="s">
        <v>6659</v>
      </c>
      <c r="B154" s="12" t="s">
        <v>6326</v>
      </c>
      <c r="C154" s="667" t="s">
        <v>9556</v>
      </c>
      <c r="D154" s="12" t="s">
        <v>6668</v>
      </c>
      <c r="E154" s="12" t="s">
        <v>7027</v>
      </c>
      <c r="F154" s="65">
        <v>1200</v>
      </c>
      <c r="G154" s="58">
        <v>136032</v>
      </c>
      <c r="H154" s="12"/>
      <c r="I154" s="8" t="s">
        <v>11723</v>
      </c>
    </row>
    <row r="155" spans="1:9" s="117" customFormat="1" ht="45" x14ac:dyDescent="0.2">
      <c r="A155" s="12" t="s">
        <v>6660</v>
      </c>
      <c r="B155" s="12" t="s">
        <v>6326</v>
      </c>
      <c r="C155" s="667" t="s">
        <v>9557</v>
      </c>
      <c r="D155" s="12" t="s">
        <v>6669</v>
      </c>
      <c r="E155" s="12" t="s">
        <v>7027</v>
      </c>
      <c r="F155" s="65">
        <v>1200</v>
      </c>
      <c r="G155" s="58">
        <v>136032</v>
      </c>
      <c r="H155" s="12"/>
      <c r="I155" s="8" t="s">
        <v>11723</v>
      </c>
    </row>
    <row r="156" spans="1:9" s="117" customFormat="1" ht="45" x14ac:dyDescent="0.2">
      <c r="A156" s="12" t="s">
        <v>6661</v>
      </c>
      <c r="B156" s="12" t="s">
        <v>6326</v>
      </c>
      <c r="C156" s="667" t="s">
        <v>9558</v>
      </c>
      <c r="D156" s="12" t="s">
        <v>6670</v>
      </c>
      <c r="E156" s="12" t="s">
        <v>7027</v>
      </c>
      <c r="F156" s="65">
        <v>1200</v>
      </c>
      <c r="G156" s="58">
        <v>136032</v>
      </c>
      <c r="H156" s="12"/>
      <c r="I156" s="8" t="s">
        <v>11723</v>
      </c>
    </row>
    <row r="157" spans="1:9" s="117" customFormat="1" ht="45" x14ac:dyDescent="0.2">
      <c r="A157" s="12" t="s">
        <v>6662</v>
      </c>
      <c r="B157" s="12" t="s">
        <v>6326</v>
      </c>
      <c r="C157" s="667" t="s">
        <v>9559</v>
      </c>
      <c r="D157" s="12" t="s">
        <v>6671</v>
      </c>
      <c r="E157" s="12" t="s">
        <v>7027</v>
      </c>
      <c r="F157" s="65">
        <v>1200</v>
      </c>
      <c r="G157" s="58">
        <v>136032</v>
      </c>
      <c r="H157" s="12"/>
      <c r="I157" s="8" t="s">
        <v>11723</v>
      </c>
    </row>
    <row r="158" spans="1:9" s="117" customFormat="1" ht="45" x14ac:dyDescent="0.2">
      <c r="A158" s="12" t="s">
        <v>6663</v>
      </c>
      <c r="B158" s="12" t="s">
        <v>6326</v>
      </c>
      <c r="C158" s="667" t="s">
        <v>9560</v>
      </c>
      <c r="D158" s="12" t="s">
        <v>6672</v>
      </c>
      <c r="E158" s="12" t="s">
        <v>7027</v>
      </c>
      <c r="F158" s="65">
        <v>1200</v>
      </c>
      <c r="G158" s="58">
        <v>136032</v>
      </c>
      <c r="H158" s="12"/>
      <c r="I158" s="8" t="s">
        <v>11723</v>
      </c>
    </row>
    <row r="159" spans="1:9" s="117" customFormat="1" ht="45" x14ac:dyDescent="0.2">
      <c r="A159" s="12" t="s">
        <v>6664</v>
      </c>
      <c r="B159" s="12" t="s">
        <v>6326</v>
      </c>
      <c r="C159" s="667" t="s">
        <v>9561</v>
      </c>
      <c r="D159" s="12" t="s">
        <v>6673</v>
      </c>
      <c r="E159" s="12" t="s">
        <v>7027</v>
      </c>
      <c r="F159" s="65">
        <v>1200</v>
      </c>
      <c r="G159" s="58">
        <v>136032</v>
      </c>
      <c r="H159" s="12"/>
      <c r="I159" s="8" t="s">
        <v>11723</v>
      </c>
    </row>
    <row r="160" spans="1:9" s="117" customFormat="1" ht="45" x14ac:dyDescent="0.2">
      <c r="A160" s="12" t="s">
        <v>6665</v>
      </c>
      <c r="B160" s="12" t="s">
        <v>6326</v>
      </c>
      <c r="C160" s="667" t="s">
        <v>9562</v>
      </c>
      <c r="D160" s="12" t="s">
        <v>6674</v>
      </c>
      <c r="E160" s="12" t="s">
        <v>7027</v>
      </c>
      <c r="F160" s="65">
        <v>1200</v>
      </c>
      <c r="G160" s="58">
        <v>136032</v>
      </c>
      <c r="H160" s="12"/>
      <c r="I160" s="8" t="s">
        <v>11723</v>
      </c>
    </row>
    <row r="161" spans="1:9" s="117" customFormat="1" ht="45" x14ac:dyDescent="0.2">
      <c r="A161" s="12" t="s">
        <v>6728</v>
      </c>
      <c r="B161" s="12" t="s">
        <v>6326</v>
      </c>
      <c r="C161" s="667" t="s">
        <v>9563</v>
      </c>
      <c r="D161" s="12" t="s">
        <v>6734</v>
      </c>
      <c r="E161" s="12" t="s">
        <v>7027</v>
      </c>
      <c r="F161" s="65">
        <v>1200</v>
      </c>
      <c r="G161" s="58">
        <v>136032</v>
      </c>
      <c r="H161" s="12"/>
      <c r="I161" s="8" t="s">
        <v>11723</v>
      </c>
    </row>
    <row r="162" spans="1:9" s="117" customFormat="1" ht="45" x14ac:dyDescent="0.2">
      <c r="A162" s="12" t="s">
        <v>6729</v>
      </c>
      <c r="B162" s="12" t="s">
        <v>6326</v>
      </c>
      <c r="C162" s="667" t="s">
        <v>9564</v>
      </c>
      <c r="D162" s="12" t="s">
        <v>6735</v>
      </c>
      <c r="E162" s="12" t="s">
        <v>7027</v>
      </c>
      <c r="F162" s="65">
        <v>1200</v>
      </c>
      <c r="G162" s="58">
        <v>136032</v>
      </c>
      <c r="H162" s="12"/>
      <c r="I162" s="8" t="s">
        <v>11723</v>
      </c>
    </row>
    <row r="163" spans="1:9" s="117" customFormat="1" ht="45" x14ac:dyDescent="0.2">
      <c r="A163" s="12" t="s">
        <v>6730</v>
      </c>
      <c r="B163" s="12" t="s">
        <v>6326</v>
      </c>
      <c r="C163" s="667" t="s">
        <v>9565</v>
      </c>
      <c r="D163" s="12" t="s">
        <v>6736</v>
      </c>
      <c r="E163" s="12" t="s">
        <v>7027</v>
      </c>
      <c r="F163" s="65">
        <v>1200</v>
      </c>
      <c r="G163" s="58">
        <v>136032</v>
      </c>
      <c r="H163" s="12"/>
      <c r="I163" s="8" t="s">
        <v>11723</v>
      </c>
    </row>
    <row r="164" spans="1:9" s="117" customFormat="1" ht="45" x14ac:dyDescent="0.2">
      <c r="A164" s="12" t="s">
        <v>6731</v>
      </c>
      <c r="B164" s="12" t="s">
        <v>6326</v>
      </c>
      <c r="C164" s="667" t="s">
        <v>9566</v>
      </c>
      <c r="D164" s="12" t="s">
        <v>6737</v>
      </c>
      <c r="E164" s="12" t="s">
        <v>7027</v>
      </c>
      <c r="F164" s="65">
        <v>1200</v>
      </c>
      <c r="G164" s="58">
        <v>136032</v>
      </c>
      <c r="H164" s="12"/>
      <c r="I164" s="8" t="s">
        <v>11723</v>
      </c>
    </row>
    <row r="165" spans="1:9" s="117" customFormat="1" ht="45" x14ac:dyDescent="0.2">
      <c r="A165" s="12" t="s">
        <v>6732</v>
      </c>
      <c r="B165" s="12" t="s">
        <v>6326</v>
      </c>
      <c r="C165" s="667" t="s">
        <v>9567</v>
      </c>
      <c r="D165" s="12" t="s">
        <v>6738</v>
      </c>
      <c r="E165" s="12" t="s">
        <v>7027</v>
      </c>
      <c r="F165" s="65">
        <v>1200</v>
      </c>
      <c r="G165" s="58">
        <v>136032</v>
      </c>
      <c r="H165" s="12"/>
      <c r="I165" s="8" t="s">
        <v>11723</v>
      </c>
    </row>
    <row r="166" spans="1:9" s="117" customFormat="1" ht="45" x14ac:dyDescent="0.2">
      <c r="A166" s="12" t="s">
        <v>6733</v>
      </c>
      <c r="B166" s="12" t="s">
        <v>6326</v>
      </c>
      <c r="C166" s="667" t="s">
        <v>9568</v>
      </c>
      <c r="D166" s="12" t="s">
        <v>6739</v>
      </c>
      <c r="E166" s="12" t="s">
        <v>7027</v>
      </c>
      <c r="F166" s="65">
        <v>1200</v>
      </c>
      <c r="G166" s="58">
        <v>136032</v>
      </c>
      <c r="H166" s="12"/>
      <c r="I166" s="8" t="s">
        <v>11723</v>
      </c>
    </row>
    <row r="167" spans="1:9" s="117" customFormat="1" ht="45" x14ac:dyDescent="0.2">
      <c r="A167" s="12" t="s">
        <v>6740</v>
      </c>
      <c r="B167" s="12" t="s">
        <v>6326</v>
      </c>
      <c r="C167" s="667" t="s">
        <v>9569</v>
      </c>
      <c r="D167" s="12" t="s">
        <v>6761</v>
      </c>
      <c r="E167" s="12" t="s">
        <v>7027</v>
      </c>
      <c r="F167" s="65">
        <v>1200</v>
      </c>
      <c r="G167" s="57">
        <v>136032</v>
      </c>
      <c r="H167" s="12"/>
      <c r="I167" s="8" t="s">
        <v>11723</v>
      </c>
    </row>
    <row r="168" spans="1:9" s="117" customFormat="1" ht="45" x14ac:dyDescent="0.2">
      <c r="A168" s="12" t="s">
        <v>6741</v>
      </c>
      <c r="B168" s="12" t="s">
        <v>6326</v>
      </c>
      <c r="C168" s="667" t="s">
        <v>9570</v>
      </c>
      <c r="D168" s="12" t="s">
        <v>6762</v>
      </c>
      <c r="E168" s="12" t="s">
        <v>7027</v>
      </c>
      <c r="F168" s="65">
        <v>1200</v>
      </c>
      <c r="G168" s="57">
        <v>136032</v>
      </c>
      <c r="H168" s="12"/>
      <c r="I168" s="8" t="s">
        <v>11723</v>
      </c>
    </row>
    <row r="169" spans="1:9" s="117" customFormat="1" ht="45" x14ac:dyDescent="0.2">
      <c r="A169" s="12" t="s">
        <v>6742</v>
      </c>
      <c r="B169" s="12" t="s">
        <v>6326</v>
      </c>
      <c r="C169" s="667" t="s">
        <v>9571</v>
      </c>
      <c r="D169" s="12" t="s">
        <v>6763</v>
      </c>
      <c r="E169" s="12" t="s">
        <v>7027</v>
      </c>
      <c r="F169" s="65">
        <v>1200</v>
      </c>
      <c r="G169" s="57">
        <v>136032</v>
      </c>
      <c r="H169" s="12"/>
      <c r="I169" s="8" t="s">
        <v>11723</v>
      </c>
    </row>
    <row r="170" spans="1:9" s="117" customFormat="1" ht="45" x14ac:dyDescent="0.2">
      <c r="A170" s="12" t="s">
        <v>6743</v>
      </c>
      <c r="B170" s="12" t="s">
        <v>6326</v>
      </c>
      <c r="C170" s="667" t="s">
        <v>9572</v>
      </c>
      <c r="D170" s="12" t="s">
        <v>6764</v>
      </c>
      <c r="E170" s="12" t="s">
        <v>7027</v>
      </c>
      <c r="F170" s="65">
        <v>1200</v>
      </c>
      <c r="G170" s="57">
        <v>136032</v>
      </c>
      <c r="H170" s="12"/>
      <c r="I170" s="8" t="s">
        <v>11723</v>
      </c>
    </row>
    <row r="171" spans="1:9" s="117" customFormat="1" ht="45" x14ac:dyDescent="0.2">
      <c r="A171" s="12" t="s">
        <v>6744</v>
      </c>
      <c r="B171" s="12" t="s">
        <v>6326</v>
      </c>
      <c r="C171" s="667" t="s">
        <v>9573</v>
      </c>
      <c r="D171" s="12" t="s">
        <v>6765</v>
      </c>
      <c r="E171" s="12" t="s">
        <v>7027</v>
      </c>
      <c r="F171" s="65">
        <v>1200</v>
      </c>
      <c r="G171" s="57">
        <v>136032</v>
      </c>
      <c r="H171" s="12"/>
      <c r="I171" s="8" t="s">
        <v>11723</v>
      </c>
    </row>
    <row r="172" spans="1:9" s="117" customFormat="1" ht="45" x14ac:dyDescent="0.2">
      <c r="A172" s="12" t="s">
        <v>6745</v>
      </c>
      <c r="B172" s="12" t="s">
        <v>6326</v>
      </c>
      <c r="C172" s="667" t="s">
        <v>9574</v>
      </c>
      <c r="D172" s="12" t="s">
        <v>6766</v>
      </c>
      <c r="E172" s="12" t="s">
        <v>7027</v>
      </c>
      <c r="F172" s="65">
        <v>1200</v>
      </c>
      <c r="G172" s="57">
        <v>136032</v>
      </c>
      <c r="H172" s="12"/>
      <c r="I172" s="8" t="s">
        <v>11723</v>
      </c>
    </row>
    <row r="173" spans="1:9" s="117" customFormat="1" ht="45" x14ac:dyDescent="0.2">
      <c r="A173" s="12" t="s">
        <v>6746</v>
      </c>
      <c r="B173" s="12" t="s">
        <v>6326</v>
      </c>
      <c r="C173" s="667" t="s">
        <v>9575</v>
      </c>
      <c r="D173" s="12" t="s">
        <v>6767</v>
      </c>
      <c r="E173" s="12" t="s">
        <v>7027</v>
      </c>
      <c r="F173" s="65">
        <v>1200</v>
      </c>
      <c r="G173" s="57">
        <v>136032</v>
      </c>
      <c r="H173" s="12"/>
      <c r="I173" s="8" t="s">
        <v>11723</v>
      </c>
    </row>
    <row r="174" spans="1:9" s="117" customFormat="1" ht="45" x14ac:dyDescent="0.2">
      <c r="A174" s="12" t="s">
        <v>6747</v>
      </c>
      <c r="B174" s="12" t="s">
        <v>6326</v>
      </c>
      <c r="C174" s="667" t="s">
        <v>9576</v>
      </c>
      <c r="D174" s="12" t="s">
        <v>6768</v>
      </c>
      <c r="E174" s="12" t="s">
        <v>7027</v>
      </c>
      <c r="F174" s="65">
        <v>1200</v>
      </c>
      <c r="G174" s="57">
        <v>136032</v>
      </c>
      <c r="H174" s="12"/>
      <c r="I174" s="8" t="s">
        <v>11723</v>
      </c>
    </row>
    <row r="175" spans="1:9" s="117" customFormat="1" ht="45" x14ac:dyDescent="0.2">
      <c r="A175" s="12" t="s">
        <v>6748</v>
      </c>
      <c r="B175" s="12" t="s">
        <v>6326</v>
      </c>
      <c r="C175" s="667" t="s">
        <v>9577</v>
      </c>
      <c r="D175" s="12" t="s">
        <v>6769</v>
      </c>
      <c r="E175" s="12" t="s">
        <v>7027</v>
      </c>
      <c r="F175" s="65">
        <v>1200</v>
      </c>
      <c r="G175" s="57">
        <v>136032</v>
      </c>
      <c r="H175" s="12"/>
      <c r="I175" s="8" t="s">
        <v>11723</v>
      </c>
    </row>
    <row r="176" spans="1:9" s="117" customFormat="1" ht="45" x14ac:dyDescent="0.2">
      <c r="A176" s="12" t="s">
        <v>6749</v>
      </c>
      <c r="B176" s="12" t="s">
        <v>6326</v>
      </c>
      <c r="C176" s="667" t="s">
        <v>9578</v>
      </c>
      <c r="D176" s="12" t="s">
        <v>6770</v>
      </c>
      <c r="E176" s="12" t="s">
        <v>7027</v>
      </c>
      <c r="F176" s="65">
        <v>1200</v>
      </c>
      <c r="G176" s="57">
        <v>136032</v>
      </c>
      <c r="H176" s="12"/>
      <c r="I176" s="8" t="s">
        <v>11723</v>
      </c>
    </row>
    <row r="177" spans="1:9" s="117" customFormat="1" ht="45" x14ac:dyDescent="0.2">
      <c r="A177" s="12" t="s">
        <v>6750</v>
      </c>
      <c r="B177" s="12" t="s">
        <v>6326</v>
      </c>
      <c r="C177" s="667" t="s">
        <v>9579</v>
      </c>
      <c r="D177" s="12" t="s">
        <v>6771</v>
      </c>
      <c r="E177" s="12" t="s">
        <v>7027</v>
      </c>
      <c r="F177" s="65">
        <v>1200</v>
      </c>
      <c r="G177" s="57">
        <v>136032</v>
      </c>
      <c r="H177" s="12"/>
      <c r="I177" s="8" t="s">
        <v>11723</v>
      </c>
    </row>
    <row r="178" spans="1:9" s="117" customFormat="1" ht="45" x14ac:dyDescent="0.2">
      <c r="A178" s="12" t="s">
        <v>6751</v>
      </c>
      <c r="B178" s="12" t="s">
        <v>6326</v>
      </c>
      <c r="C178" s="667" t="s">
        <v>9580</v>
      </c>
      <c r="D178" s="12" t="s">
        <v>6772</v>
      </c>
      <c r="E178" s="12" t="s">
        <v>7027</v>
      </c>
      <c r="F178" s="65">
        <v>1200</v>
      </c>
      <c r="G178" s="57">
        <v>136032</v>
      </c>
      <c r="H178" s="12"/>
      <c r="I178" s="8" t="s">
        <v>11723</v>
      </c>
    </row>
    <row r="179" spans="1:9" s="117" customFormat="1" ht="45" x14ac:dyDescent="0.2">
      <c r="A179" s="12" t="s">
        <v>6752</v>
      </c>
      <c r="B179" s="12" t="s">
        <v>6326</v>
      </c>
      <c r="C179" s="667" t="s">
        <v>9581</v>
      </c>
      <c r="D179" s="12" t="s">
        <v>6773</v>
      </c>
      <c r="E179" s="12" t="s">
        <v>7027</v>
      </c>
      <c r="F179" s="65">
        <v>1200</v>
      </c>
      <c r="G179" s="57">
        <v>136032</v>
      </c>
      <c r="H179" s="12"/>
      <c r="I179" s="8" t="s">
        <v>11723</v>
      </c>
    </row>
    <row r="180" spans="1:9" s="117" customFormat="1" ht="45" x14ac:dyDescent="0.2">
      <c r="A180" s="12" t="s">
        <v>6753</v>
      </c>
      <c r="B180" s="12" t="s">
        <v>6326</v>
      </c>
      <c r="C180" s="667" t="s">
        <v>9582</v>
      </c>
      <c r="D180" s="12" t="s">
        <v>6774</v>
      </c>
      <c r="E180" s="12" t="s">
        <v>7027</v>
      </c>
      <c r="F180" s="65">
        <v>1200</v>
      </c>
      <c r="G180" s="57">
        <v>136032</v>
      </c>
      <c r="H180" s="12"/>
      <c r="I180" s="8" t="s">
        <v>11723</v>
      </c>
    </row>
    <row r="181" spans="1:9" s="117" customFormat="1" ht="45" x14ac:dyDescent="0.2">
      <c r="A181" s="12" t="s">
        <v>6754</v>
      </c>
      <c r="B181" s="12" t="s">
        <v>6326</v>
      </c>
      <c r="C181" s="667" t="s">
        <v>9583</v>
      </c>
      <c r="D181" s="12" t="s">
        <v>6775</v>
      </c>
      <c r="E181" s="12" t="s">
        <v>7027</v>
      </c>
      <c r="F181" s="65">
        <v>1200</v>
      </c>
      <c r="G181" s="57">
        <v>136032</v>
      </c>
      <c r="H181" s="12"/>
      <c r="I181" s="8" t="s">
        <v>11723</v>
      </c>
    </row>
    <row r="182" spans="1:9" s="117" customFormat="1" ht="45" x14ac:dyDescent="0.2">
      <c r="A182" s="12" t="s">
        <v>6755</v>
      </c>
      <c r="B182" s="12" t="s">
        <v>6326</v>
      </c>
      <c r="C182" s="667" t="s">
        <v>9584</v>
      </c>
      <c r="D182" s="12" t="s">
        <v>6777</v>
      </c>
      <c r="E182" s="12" t="s">
        <v>7027</v>
      </c>
      <c r="F182" s="65">
        <v>1200</v>
      </c>
      <c r="G182" s="57">
        <v>136032</v>
      </c>
      <c r="H182" s="12"/>
      <c r="I182" s="8" t="s">
        <v>11723</v>
      </c>
    </row>
    <row r="183" spans="1:9" s="117" customFormat="1" ht="45" x14ac:dyDescent="0.2">
      <c r="A183" s="12" t="s">
        <v>6756</v>
      </c>
      <c r="B183" s="12" t="s">
        <v>6326</v>
      </c>
      <c r="C183" s="667" t="s">
        <v>9585</v>
      </c>
      <c r="D183" s="12" t="s">
        <v>6776</v>
      </c>
      <c r="E183" s="12" t="s">
        <v>7027</v>
      </c>
      <c r="F183" s="65">
        <v>1200</v>
      </c>
      <c r="G183" s="57">
        <v>136032</v>
      </c>
      <c r="H183" s="12"/>
      <c r="I183" s="8" t="s">
        <v>11723</v>
      </c>
    </row>
    <row r="184" spans="1:9" s="117" customFormat="1" ht="45" x14ac:dyDescent="0.2">
      <c r="A184" s="12" t="s">
        <v>6757</v>
      </c>
      <c r="B184" s="12" t="s">
        <v>6326</v>
      </c>
      <c r="C184" s="667" t="s">
        <v>9586</v>
      </c>
      <c r="D184" s="12" t="s">
        <v>6778</v>
      </c>
      <c r="E184" s="12" t="s">
        <v>7027</v>
      </c>
      <c r="F184" s="65">
        <v>1200</v>
      </c>
      <c r="G184" s="57">
        <v>136032</v>
      </c>
      <c r="H184" s="12"/>
      <c r="I184" s="8" t="s">
        <v>11723</v>
      </c>
    </row>
    <row r="185" spans="1:9" s="117" customFormat="1" ht="45" x14ac:dyDescent="0.2">
      <c r="A185" s="12" t="s">
        <v>6758</v>
      </c>
      <c r="B185" s="12" t="s">
        <v>6326</v>
      </c>
      <c r="C185" s="667" t="s">
        <v>9587</v>
      </c>
      <c r="D185" s="12" t="s">
        <v>6779</v>
      </c>
      <c r="E185" s="12" t="s">
        <v>7027</v>
      </c>
      <c r="F185" s="65">
        <v>1200</v>
      </c>
      <c r="G185" s="57">
        <v>136032</v>
      </c>
      <c r="H185" s="12"/>
      <c r="I185" s="8" t="s">
        <v>11723</v>
      </c>
    </row>
    <row r="186" spans="1:9" s="117" customFormat="1" ht="45" x14ac:dyDescent="0.2">
      <c r="A186" s="12" t="s">
        <v>6759</v>
      </c>
      <c r="B186" s="12" t="s">
        <v>6326</v>
      </c>
      <c r="C186" s="667" t="s">
        <v>9588</v>
      </c>
      <c r="D186" s="12" t="s">
        <v>6780</v>
      </c>
      <c r="E186" s="12" t="s">
        <v>7027</v>
      </c>
      <c r="F186" s="65">
        <v>1200</v>
      </c>
      <c r="G186" s="57">
        <v>136032</v>
      </c>
      <c r="H186" s="12"/>
      <c r="I186" s="8" t="s">
        <v>11723</v>
      </c>
    </row>
    <row r="187" spans="1:9" s="117" customFormat="1" ht="45" x14ac:dyDescent="0.2">
      <c r="A187" s="12" t="s">
        <v>6760</v>
      </c>
      <c r="B187" s="12" t="s">
        <v>6326</v>
      </c>
      <c r="C187" s="667" t="s">
        <v>9589</v>
      </c>
      <c r="D187" s="12" t="s">
        <v>6781</v>
      </c>
      <c r="E187" s="12" t="s">
        <v>7027</v>
      </c>
      <c r="F187" s="65">
        <v>1200</v>
      </c>
      <c r="G187" s="57">
        <v>136032</v>
      </c>
      <c r="H187" s="12"/>
      <c r="I187" s="8" t="s">
        <v>11723</v>
      </c>
    </row>
    <row r="188" spans="1:9" s="117" customFormat="1" ht="60.75" customHeight="1" x14ac:dyDescent="0.2">
      <c r="A188" s="12" t="s">
        <v>6842</v>
      </c>
      <c r="B188" s="12" t="s">
        <v>4250</v>
      </c>
      <c r="C188" s="667" t="s">
        <v>9444</v>
      </c>
      <c r="D188" s="12" t="s">
        <v>6843</v>
      </c>
      <c r="E188" s="12" t="s">
        <v>7027</v>
      </c>
      <c r="F188" s="65">
        <v>655026</v>
      </c>
      <c r="G188" s="57">
        <v>455753990.27999997</v>
      </c>
      <c r="H188" s="12"/>
      <c r="I188" s="12" t="s">
        <v>11724</v>
      </c>
    </row>
    <row r="189" spans="1:9" s="117" customFormat="1" ht="48.75" customHeight="1" x14ac:dyDescent="0.2">
      <c r="A189" s="12" t="s">
        <v>6942</v>
      </c>
      <c r="B189" s="12" t="s">
        <v>6326</v>
      </c>
      <c r="C189" s="667" t="s">
        <v>9590</v>
      </c>
      <c r="D189" s="12" t="s">
        <v>6960</v>
      </c>
      <c r="E189" s="12" t="s">
        <v>7027</v>
      </c>
      <c r="F189" s="65">
        <v>1200</v>
      </c>
      <c r="G189" s="58">
        <v>136032</v>
      </c>
      <c r="H189" s="12"/>
      <c r="I189" s="8" t="s">
        <v>11723</v>
      </c>
    </row>
    <row r="190" spans="1:9" s="117" customFormat="1" ht="48.75" customHeight="1" x14ac:dyDescent="0.2">
      <c r="A190" s="12" t="s">
        <v>6943</v>
      </c>
      <c r="B190" s="12" t="s">
        <v>6326</v>
      </c>
      <c r="C190" s="667" t="s">
        <v>9591</v>
      </c>
      <c r="D190" s="12" t="s">
        <v>6961</v>
      </c>
      <c r="E190" s="12" t="s">
        <v>7027</v>
      </c>
      <c r="F190" s="65">
        <v>1200</v>
      </c>
      <c r="G190" s="58">
        <v>136032</v>
      </c>
      <c r="H190" s="12"/>
      <c r="I190" s="8" t="s">
        <v>11723</v>
      </c>
    </row>
    <row r="191" spans="1:9" s="117" customFormat="1" ht="48" customHeight="1" x14ac:dyDescent="0.2">
      <c r="A191" s="12" t="s">
        <v>6944</v>
      </c>
      <c r="B191" s="12" t="s">
        <v>6326</v>
      </c>
      <c r="C191" s="667" t="s">
        <v>9592</v>
      </c>
      <c r="D191" s="12" t="s">
        <v>6962</v>
      </c>
      <c r="E191" s="12" t="s">
        <v>7027</v>
      </c>
      <c r="F191" s="65">
        <v>1200</v>
      </c>
      <c r="G191" s="58">
        <v>136032</v>
      </c>
      <c r="H191" s="12"/>
      <c r="I191" s="8" t="s">
        <v>11723</v>
      </c>
    </row>
    <row r="192" spans="1:9" s="117" customFormat="1" ht="50.25" customHeight="1" x14ac:dyDescent="0.2">
      <c r="A192" s="12" t="s">
        <v>6945</v>
      </c>
      <c r="B192" s="12" t="s">
        <v>6326</v>
      </c>
      <c r="C192" s="667" t="s">
        <v>9593</v>
      </c>
      <c r="D192" s="12" t="s">
        <v>6963</v>
      </c>
      <c r="E192" s="12" t="s">
        <v>7027</v>
      </c>
      <c r="F192" s="65">
        <v>1200</v>
      </c>
      <c r="G192" s="58">
        <v>136032</v>
      </c>
      <c r="H192" s="12"/>
      <c r="I192" s="8" t="s">
        <v>11723</v>
      </c>
    </row>
    <row r="193" spans="1:9" s="117" customFormat="1" ht="47.25" customHeight="1" x14ac:dyDescent="0.2">
      <c r="A193" s="12" t="s">
        <v>6946</v>
      </c>
      <c r="B193" s="12" t="s">
        <v>6326</v>
      </c>
      <c r="C193" s="667" t="s">
        <v>9594</v>
      </c>
      <c r="D193" s="12" t="s">
        <v>6964</v>
      </c>
      <c r="E193" s="12" t="s">
        <v>7027</v>
      </c>
      <c r="F193" s="65">
        <v>1200</v>
      </c>
      <c r="G193" s="58">
        <v>136032</v>
      </c>
      <c r="H193" s="12"/>
      <c r="I193" s="8" t="s">
        <v>11723</v>
      </c>
    </row>
    <row r="194" spans="1:9" s="117" customFormat="1" ht="50.25" customHeight="1" x14ac:dyDescent="0.2">
      <c r="A194" s="12" t="s">
        <v>6947</v>
      </c>
      <c r="B194" s="12" t="s">
        <v>6326</v>
      </c>
      <c r="C194" s="667" t="s">
        <v>9595</v>
      </c>
      <c r="D194" s="12" t="s">
        <v>6965</v>
      </c>
      <c r="E194" s="12" t="s">
        <v>7027</v>
      </c>
      <c r="F194" s="65">
        <v>1200</v>
      </c>
      <c r="G194" s="58">
        <v>136032</v>
      </c>
      <c r="H194" s="12"/>
      <c r="I194" s="8" t="s">
        <v>11723</v>
      </c>
    </row>
    <row r="195" spans="1:9" s="117" customFormat="1" ht="48.75" customHeight="1" x14ac:dyDescent="0.2">
      <c r="A195" s="12" t="s">
        <v>6948</v>
      </c>
      <c r="B195" s="12" t="s">
        <v>6326</v>
      </c>
      <c r="C195" s="667" t="s">
        <v>9596</v>
      </c>
      <c r="D195" s="12" t="s">
        <v>6966</v>
      </c>
      <c r="E195" s="12" t="s">
        <v>7027</v>
      </c>
      <c r="F195" s="65">
        <v>1200</v>
      </c>
      <c r="G195" s="58">
        <v>136032</v>
      </c>
      <c r="H195" s="12"/>
      <c r="I195" s="8" t="s">
        <v>11723</v>
      </c>
    </row>
    <row r="196" spans="1:9" s="117" customFormat="1" ht="50.25" customHeight="1" x14ac:dyDescent="0.2">
      <c r="A196" s="12" t="s">
        <v>6949</v>
      </c>
      <c r="B196" s="12" t="s">
        <v>6326</v>
      </c>
      <c r="C196" s="667" t="s">
        <v>9597</v>
      </c>
      <c r="D196" s="12" t="s">
        <v>6967</v>
      </c>
      <c r="E196" s="12" t="s">
        <v>7027</v>
      </c>
      <c r="F196" s="65">
        <v>1200</v>
      </c>
      <c r="G196" s="58">
        <v>136032</v>
      </c>
      <c r="H196" s="12"/>
      <c r="I196" s="8" t="s">
        <v>11723</v>
      </c>
    </row>
    <row r="197" spans="1:9" s="117" customFormat="1" ht="50.25" customHeight="1" x14ac:dyDescent="0.2">
      <c r="A197" s="12" t="s">
        <v>6950</v>
      </c>
      <c r="B197" s="12" t="s">
        <v>6326</v>
      </c>
      <c r="C197" s="667" t="s">
        <v>9598</v>
      </c>
      <c r="D197" s="12" t="s">
        <v>6968</v>
      </c>
      <c r="E197" s="12" t="s">
        <v>7027</v>
      </c>
      <c r="F197" s="65">
        <v>1200</v>
      </c>
      <c r="G197" s="58">
        <v>136032</v>
      </c>
      <c r="H197" s="12"/>
      <c r="I197" s="8" t="s">
        <v>11723</v>
      </c>
    </row>
    <row r="198" spans="1:9" s="117" customFormat="1" ht="46.5" customHeight="1" x14ac:dyDescent="0.2">
      <c r="A198" s="12" t="s">
        <v>6951</v>
      </c>
      <c r="B198" s="12" t="s">
        <v>6326</v>
      </c>
      <c r="C198" s="667" t="s">
        <v>9599</v>
      </c>
      <c r="D198" s="12" t="s">
        <v>6975</v>
      </c>
      <c r="E198" s="12" t="s">
        <v>7027</v>
      </c>
      <c r="F198" s="65">
        <v>1200</v>
      </c>
      <c r="G198" s="58">
        <v>136032</v>
      </c>
      <c r="H198" s="12"/>
      <c r="I198" s="8" t="s">
        <v>11723</v>
      </c>
    </row>
    <row r="199" spans="1:9" s="117" customFormat="1" ht="46.5" customHeight="1" x14ac:dyDescent="0.2">
      <c r="A199" s="12" t="s">
        <v>6952</v>
      </c>
      <c r="B199" s="12" t="s">
        <v>6326</v>
      </c>
      <c r="C199" s="667" t="s">
        <v>9600</v>
      </c>
      <c r="D199" s="12" t="s">
        <v>6969</v>
      </c>
      <c r="E199" s="12" t="s">
        <v>7027</v>
      </c>
      <c r="F199" s="65">
        <v>1200</v>
      </c>
      <c r="G199" s="58">
        <v>136032</v>
      </c>
      <c r="H199" s="12"/>
      <c r="I199" s="8" t="s">
        <v>11723</v>
      </c>
    </row>
    <row r="200" spans="1:9" s="117" customFormat="1" ht="46.5" customHeight="1" x14ac:dyDescent="0.2">
      <c r="A200" s="12" t="s">
        <v>6953</v>
      </c>
      <c r="B200" s="12" t="s">
        <v>6326</v>
      </c>
      <c r="C200" s="667" t="s">
        <v>9601</v>
      </c>
      <c r="D200" s="12" t="s">
        <v>6970</v>
      </c>
      <c r="E200" s="12" t="s">
        <v>7027</v>
      </c>
      <c r="F200" s="65">
        <v>1200</v>
      </c>
      <c r="G200" s="58">
        <v>136032</v>
      </c>
      <c r="H200" s="12"/>
      <c r="I200" s="8" t="s">
        <v>11723</v>
      </c>
    </row>
    <row r="201" spans="1:9" s="117" customFormat="1" ht="46.5" customHeight="1" x14ac:dyDescent="0.2">
      <c r="A201" s="12" t="s">
        <v>6954</v>
      </c>
      <c r="B201" s="12" t="s">
        <v>6326</v>
      </c>
      <c r="C201" s="667" t="s">
        <v>9602</v>
      </c>
      <c r="D201" s="12" t="s">
        <v>6971</v>
      </c>
      <c r="E201" s="12" t="s">
        <v>7027</v>
      </c>
      <c r="F201" s="65">
        <v>1200</v>
      </c>
      <c r="G201" s="58">
        <v>136032</v>
      </c>
      <c r="H201" s="12"/>
      <c r="I201" s="8" t="s">
        <v>11723</v>
      </c>
    </row>
    <row r="202" spans="1:9" s="117" customFormat="1" ht="46.5" customHeight="1" x14ac:dyDescent="0.2">
      <c r="A202" s="12" t="s">
        <v>6955</v>
      </c>
      <c r="B202" s="12" t="s">
        <v>6326</v>
      </c>
      <c r="C202" s="667" t="s">
        <v>9603</v>
      </c>
      <c r="D202" s="12" t="s">
        <v>6972</v>
      </c>
      <c r="E202" s="12" t="s">
        <v>7027</v>
      </c>
      <c r="F202" s="65">
        <v>1200</v>
      </c>
      <c r="G202" s="58">
        <v>136032</v>
      </c>
      <c r="H202" s="12"/>
      <c r="I202" s="8" t="s">
        <v>11723</v>
      </c>
    </row>
    <row r="203" spans="1:9" s="117" customFormat="1" ht="46.5" customHeight="1" x14ac:dyDescent="0.2">
      <c r="A203" s="12" t="s">
        <v>6956</v>
      </c>
      <c r="B203" s="12" t="s">
        <v>6326</v>
      </c>
      <c r="C203" s="667" t="s">
        <v>9604</v>
      </c>
      <c r="D203" s="12" t="s">
        <v>6973</v>
      </c>
      <c r="E203" s="12" t="s">
        <v>7027</v>
      </c>
      <c r="F203" s="65">
        <v>1200</v>
      </c>
      <c r="G203" s="58">
        <v>136032</v>
      </c>
      <c r="H203" s="12"/>
      <c r="I203" s="8" t="s">
        <v>11723</v>
      </c>
    </row>
    <row r="204" spans="1:9" s="117" customFormat="1" ht="46.5" customHeight="1" x14ac:dyDescent="0.2">
      <c r="A204" s="12" t="s">
        <v>6957</v>
      </c>
      <c r="B204" s="12" t="s">
        <v>6326</v>
      </c>
      <c r="C204" s="667" t="s">
        <v>9605</v>
      </c>
      <c r="D204" s="12" t="s">
        <v>6974</v>
      </c>
      <c r="E204" s="12" t="s">
        <v>7027</v>
      </c>
      <c r="F204" s="65">
        <v>1200</v>
      </c>
      <c r="G204" s="58">
        <v>136032</v>
      </c>
      <c r="H204" s="12"/>
      <c r="I204" s="8" t="s">
        <v>11723</v>
      </c>
    </row>
    <row r="205" spans="1:9" s="117" customFormat="1" ht="46.5" customHeight="1" x14ac:dyDescent="0.2">
      <c r="A205" s="12" t="s">
        <v>6958</v>
      </c>
      <c r="B205" s="12" t="s">
        <v>6326</v>
      </c>
      <c r="C205" s="667" t="s">
        <v>9606</v>
      </c>
      <c r="D205" s="12" t="s">
        <v>6976</v>
      </c>
      <c r="E205" s="12" t="s">
        <v>7027</v>
      </c>
      <c r="F205" s="65">
        <v>1200</v>
      </c>
      <c r="G205" s="57">
        <v>136032</v>
      </c>
      <c r="H205" s="12"/>
      <c r="I205" s="8" t="s">
        <v>11723</v>
      </c>
    </row>
    <row r="206" spans="1:9" s="117" customFormat="1" ht="46.5" customHeight="1" x14ac:dyDescent="0.2">
      <c r="A206" s="12" t="s">
        <v>6959</v>
      </c>
      <c r="B206" s="12" t="s">
        <v>6326</v>
      </c>
      <c r="C206" s="667" t="s">
        <v>9607</v>
      </c>
      <c r="D206" s="12" t="s">
        <v>6977</v>
      </c>
      <c r="E206" s="12" t="s">
        <v>7027</v>
      </c>
      <c r="F206" s="65">
        <v>1200</v>
      </c>
      <c r="G206" s="57">
        <v>136032</v>
      </c>
      <c r="H206" s="12"/>
      <c r="I206" s="8" t="s">
        <v>11723</v>
      </c>
    </row>
    <row r="207" spans="1:9" s="117" customFormat="1" ht="46.5" customHeight="1" x14ac:dyDescent="0.2">
      <c r="A207" s="12" t="s">
        <v>7059</v>
      </c>
      <c r="B207" s="12" t="s">
        <v>6326</v>
      </c>
      <c r="C207" s="667" t="s">
        <v>9608</v>
      </c>
      <c r="D207" s="12" t="s">
        <v>7067</v>
      </c>
      <c r="E207" s="12" t="s">
        <v>7027</v>
      </c>
      <c r="F207" s="65">
        <v>1200</v>
      </c>
      <c r="G207" s="57">
        <v>136032</v>
      </c>
      <c r="H207" s="12"/>
      <c r="I207" s="8" t="s">
        <v>11723</v>
      </c>
    </row>
    <row r="208" spans="1:9" s="117" customFormat="1" ht="46.5" customHeight="1" x14ac:dyDescent="0.2">
      <c r="A208" s="12" t="s">
        <v>7060</v>
      </c>
      <c r="B208" s="12" t="s">
        <v>6326</v>
      </c>
      <c r="C208" s="667" t="s">
        <v>9609</v>
      </c>
      <c r="D208" s="12" t="s">
        <v>7068</v>
      </c>
      <c r="E208" s="12" t="s">
        <v>7027</v>
      </c>
      <c r="F208" s="65">
        <v>1200</v>
      </c>
      <c r="G208" s="57">
        <v>136032</v>
      </c>
      <c r="H208" s="12"/>
      <c r="I208" s="8" t="s">
        <v>11723</v>
      </c>
    </row>
    <row r="209" spans="1:9" s="117" customFormat="1" ht="46.5" customHeight="1" x14ac:dyDescent="0.2">
      <c r="A209" s="12" t="s">
        <v>7061</v>
      </c>
      <c r="B209" s="12" t="s">
        <v>6326</v>
      </c>
      <c r="C209" s="667" t="s">
        <v>9610</v>
      </c>
      <c r="D209" s="12" t="s">
        <v>7069</v>
      </c>
      <c r="E209" s="12" t="s">
        <v>7027</v>
      </c>
      <c r="F209" s="65">
        <v>1200</v>
      </c>
      <c r="G209" s="57">
        <v>136032</v>
      </c>
      <c r="H209" s="12"/>
      <c r="I209" s="8" t="s">
        <v>11723</v>
      </c>
    </row>
    <row r="210" spans="1:9" s="117" customFormat="1" ht="46.5" customHeight="1" x14ac:dyDescent="0.2">
      <c r="A210" s="12" t="s">
        <v>7062</v>
      </c>
      <c r="B210" s="12" t="s">
        <v>6326</v>
      </c>
      <c r="C210" s="667" t="s">
        <v>9611</v>
      </c>
      <c r="D210" s="12" t="s">
        <v>7070</v>
      </c>
      <c r="E210" s="12" t="s">
        <v>7027</v>
      </c>
      <c r="F210" s="65">
        <v>1200</v>
      </c>
      <c r="G210" s="57">
        <v>136032</v>
      </c>
      <c r="H210" s="12"/>
      <c r="I210" s="8" t="s">
        <v>11723</v>
      </c>
    </row>
    <row r="211" spans="1:9" s="117" customFormat="1" ht="46.5" customHeight="1" x14ac:dyDescent="0.2">
      <c r="A211" s="12" t="s">
        <v>7063</v>
      </c>
      <c r="B211" s="12" t="s">
        <v>6326</v>
      </c>
      <c r="C211" s="667" t="s">
        <v>9612</v>
      </c>
      <c r="D211" s="12" t="s">
        <v>7071</v>
      </c>
      <c r="E211" s="12" t="s">
        <v>7027</v>
      </c>
      <c r="F211" s="65">
        <v>1200</v>
      </c>
      <c r="G211" s="57">
        <v>136032</v>
      </c>
      <c r="H211" s="12"/>
      <c r="I211" s="8" t="s">
        <v>11723</v>
      </c>
    </row>
    <row r="212" spans="1:9" s="117" customFormat="1" ht="46.5" customHeight="1" x14ac:dyDescent="0.2">
      <c r="A212" s="12" t="s">
        <v>7064</v>
      </c>
      <c r="B212" s="12" t="s">
        <v>6326</v>
      </c>
      <c r="C212" s="667" t="s">
        <v>9613</v>
      </c>
      <c r="D212" s="12" t="s">
        <v>7072</v>
      </c>
      <c r="E212" s="12" t="s">
        <v>7027</v>
      </c>
      <c r="F212" s="65">
        <v>1200</v>
      </c>
      <c r="G212" s="57">
        <v>136032</v>
      </c>
      <c r="H212" s="12"/>
      <c r="I212" s="8" t="s">
        <v>11723</v>
      </c>
    </row>
    <row r="213" spans="1:9" s="117" customFormat="1" ht="46.5" customHeight="1" x14ac:dyDescent="0.2">
      <c r="A213" s="12" t="s">
        <v>7065</v>
      </c>
      <c r="B213" s="12" t="s">
        <v>6326</v>
      </c>
      <c r="C213" s="667" t="s">
        <v>9614</v>
      </c>
      <c r="D213" s="12" t="s">
        <v>7073</v>
      </c>
      <c r="E213" s="12" t="s">
        <v>7027</v>
      </c>
      <c r="F213" s="65">
        <v>1200</v>
      </c>
      <c r="G213" s="57">
        <v>136032</v>
      </c>
      <c r="H213" s="12"/>
      <c r="I213" s="8" t="s">
        <v>11723</v>
      </c>
    </row>
    <row r="214" spans="1:9" s="117" customFormat="1" ht="46.5" customHeight="1" x14ac:dyDescent="0.2">
      <c r="A214" s="12" t="s">
        <v>7066</v>
      </c>
      <c r="B214" s="12" t="s">
        <v>6326</v>
      </c>
      <c r="C214" s="667" t="s">
        <v>9615</v>
      </c>
      <c r="D214" s="12" t="s">
        <v>7074</v>
      </c>
      <c r="E214" s="12" t="s">
        <v>7027</v>
      </c>
      <c r="F214" s="65">
        <v>1200</v>
      </c>
      <c r="G214" s="57">
        <v>136032</v>
      </c>
      <c r="H214" s="12"/>
      <c r="I214" s="8" t="s">
        <v>11723</v>
      </c>
    </row>
    <row r="215" spans="1:9" s="117" customFormat="1" ht="46.5" customHeight="1" x14ac:dyDescent="0.2">
      <c r="A215" s="12" t="s">
        <v>7115</v>
      </c>
      <c r="B215" s="12" t="s">
        <v>6326</v>
      </c>
      <c r="C215" s="667" t="s">
        <v>9616</v>
      </c>
      <c r="D215" s="12" t="s">
        <v>7135</v>
      </c>
      <c r="E215" s="12" t="s">
        <v>7027</v>
      </c>
      <c r="F215" s="65">
        <v>1200</v>
      </c>
      <c r="G215" s="57">
        <v>136032</v>
      </c>
      <c r="H215" s="12"/>
      <c r="I215" s="8" t="s">
        <v>11723</v>
      </c>
    </row>
    <row r="216" spans="1:9" s="117" customFormat="1" ht="46.5" customHeight="1" x14ac:dyDescent="0.2">
      <c r="A216" s="12" t="s">
        <v>7116</v>
      </c>
      <c r="B216" s="12" t="s">
        <v>6326</v>
      </c>
      <c r="C216" s="667" t="s">
        <v>9617</v>
      </c>
      <c r="D216" s="12" t="s">
        <v>7136</v>
      </c>
      <c r="E216" s="12" t="s">
        <v>7027</v>
      </c>
      <c r="F216" s="65">
        <v>1200</v>
      </c>
      <c r="G216" s="57">
        <v>136032</v>
      </c>
      <c r="H216" s="12"/>
      <c r="I216" s="8" t="s">
        <v>11723</v>
      </c>
    </row>
    <row r="217" spans="1:9" s="117" customFormat="1" ht="46.5" customHeight="1" x14ac:dyDescent="0.2">
      <c r="A217" s="12" t="s">
        <v>7117</v>
      </c>
      <c r="B217" s="12" t="s">
        <v>6326</v>
      </c>
      <c r="C217" s="667" t="s">
        <v>9618</v>
      </c>
      <c r="D217" s="12" t="s">
        <v>7137</v>
      </c>
      <c r="E217" s="12" t="s">
        <v>7027</v>
      </c>
      <c r="F217" s="65">
        <v>1200</v>
      </c>
      <c r="G217" s="57">
        <v>136032</v>
      </c>
      <c r="H217" s="12"/>
      <c r="I217" s="8" t="s">
        <v>11723</v>
      </c>
    </row>
    <row r="218" spans="1:9" s="117" customFormat="1" ht="46.5" customHeight="1" x14ac:dyDescent="0.2">
      <c r="A218" s="12" t="s">
        <v>7118</v>
      </c>
      <c r="B218" s="12" t="s">
        <v>6326</v>
      </c>
      <c r="C218" s="667" t="s">
        <v>9619</v>
      </c>
      <c r="D218" s="12" t="s">
        <v>7138</v>
      </c>
      <c r="E218" s="12" t="s">
        <v>7027</v>
      </c>
      <c r="F218" s="65">
        <v>1200</v>
      </c>
      <c r="G218" s="57">
        <v>136032</v>
      </c>
      <c r="H218" s="12"/>
      <c r="I218" s="8" t="s">
        <v>11723</v>
      </c>
    </row>
    <row r="219" spans="1:9" s="117" customFormat="1" ht="46.5" customHeight="1" x14ac:dyDescent="0.2">
      <c r="A219" s="12" t="s">
        <v>7119</v>
      </c>
      <c r="B219" s="12" t="s">
        <v>6326</v>
      </c>
      <c r="C219" s="667" t="s">
        <v>9620</v>
      </c>
      <c r="D219" s="12" t="s">
        <v>7140</v>
      </c>
      <c r="E219" s="12" t="s">
        <v>7027</v>
      </c>
      <c r="F219" s="65">
        <v>1200</v>
      </c>
      <c r="G219" s="57">
        <v>136032</v>
      </c>
      <c r="H219" s="12"/>
      <c r="I219" s="8" t="s">
        <v>11723</v>
      </c>
    </row>
    <row r="220" spans="1:9" s="117" customFormat="1" ht="46.5" customHeight="1" x14ac:dyDescent="0.2">
      <c r="A220" s="12" t="s">
        <v>7120</v>
      </c>
      <c r="B220" s="12" t="s">
        <v>6326</v>
      </c>
      <c r="C220" s="667" t="s">
        <v>9621</v>
      </c>
      <c r="D220" s="12" t="s">
        <v>7139</v>
      </c>
      <c r="E220" s="12" t="s">
        <v>7027</v>
      </c>
      <c r="F220" s="65">
        <v>1200</v>
      </c>
      <c r="G220" s="57">
        <v>136032</v>
      </c>
      <c r="H220" s="12"/>
      <c r="I220" s="8" t="s">
        <v>11723</v>
      </c>
    </row>
    <row r="221" spans="1:9" s="117" customFormat="1" ht="46.5" customHeight="1" x14ac:dyDescent="0.2">
      <c r="A221" s="12" t="s">
        <v>7121</v>
      </c>
      <c r="B221" s="12" t="s">
        <v>6326</v>
      </c>
      <c r="C221" s="667" t="s">
        <v>9622</v>
      </c>
      <c r="D221" s="12" t="s">
        <v>7141</v>
      </c>
      <c r="E221" s="12" t="s">
        <v>7027</v>
      </c>
      <c r="F221" s="65">
        <v>1200</v>
      </c>
      <c r="G221" s="57">
        <v>136032</v>
      </c>
      <c r="H221" s="12"/>
      <c r="I221" s="8" t="s">
        <v>11723</v>
      </c>
    </row>
    <row r="222" spans="1:9" s="117" customFormat="1" ht="46.5" customHeight="1" x14ac:dyDescent="0.2">
      <c r="A222" s="12" t="s">
        <v>7122</v>
      </c>
      <c r="B222" s="12" t="s">
        <v>6326</v>
      </c>
      <c r="C222" s="667" t="s">
        <v>9623</v>
      </c>
      <c r="D222" s="12" t="s">
        <v>7142</v>
      </c>
      <c r="E222" s="12" t="s">
        <v>7027</v>
      </c>
      <c r="F222" s="65">
        <v>1200</v>
      </c>
      <c r="G222" s="57">
        <v>136032</v>
      </c>
      <c r="H222" s="12"/>
      <c r="I222" s="8" t="s">
        <v>11723</v>
      </c>
    </row>
    <row r="223" spans="1:9" s="117" customFormat="1" ht="46.5" customHeight="1" x14ac:dyDescent="0.2">
      <c r="A223" s="12" t="s">
        <v>7123</v>
      </c>
      <c r="B223" s="12" t="s">
        <v>6326</v>
      </c>
      <c r="C223" s="667" t="s">
        <v>9624</v>
      </c>
      <c r="D223" s="12" t="s">
        <v>7143</v>
      </c>
      <c r="E223" s="12" t="s">
        <v>7027</v>
      </c>
      <c r="F223" s="65">
        <v>1200</v>
      </c>
      <c r="G223" s="57">
        <v>136032</v>
      </c>
      <c r="H223" s="12"/>
      <c r="I223" s="8" t="s">
        <v>11723</v>
      </c>
    </row>
    <row r="224" spans="1:9" s="117" customFormat="1" ht="46.5" customHeight="1" x14ac:dyDescent="0.2">
      <c r="A224" s="12" t="s">
        <v>7124</v>
      </c>
      <c r="B224" s="12" t="s">
        <v>6326</v>
      </c>
      <c r="C224" s="667" t="s">
        <v>9625</v>
      </c>
      <c r="D224" s="12" t="s">
        <v>7144</v>
      </c>
      <c r="E224" s="12" t="s">
        <v>7027</v>
      </c>
      <c r="F224" s="65">
        <v>1200</v>
      </c>
      <c r="G224" s="57">
        <v>136032</v>
      </c>
      <c r="H224" s="12"/>
      <c r="I224" s="8" t="s">
        <v>11723</v>
      </c>
    </row>
    <row r="225" spans="1:9" s="117" customFormat="1" ht="46.5" customHeight="1" x14ac:dyDescent="0.2">
      <c r="A225" s="12" t="s">
        <v>7125</v>
      </c>
      <c r="B225" s="12" t="s">
        <v>6326</v>
      </c>
      <c r="C225" s="667" t="s">
        <v>9626</v>
      </c>
      <c r="D225" s="12" t="s">
        <v>7145</v>
      </c>
      <c r="E225" s="12" t="s">
        <v>7027</v>
      </c>
      <c r="F225" s="65">
        <v>1200</v>
      </c>
      <c r="G225" s="57">
        <v>136032</v>
      </c>
      <c r="H225" s="12"/>
      <c r="I225" s="8" t="s">
        <v>11723</v>
      </c>
    </row>
    <row r="226" spans="1:9" s="117" customFormat="1" ht="46.5" customHeight="1" x14ac:dyDescent="0.2">
      <c r="A226" s="12" t="s">
        <v>7126</v>
      </c>
      <c r="B226" s="12" t="s">
        <v>6326</v>
      </c>
      <c r="C226" s="667" t="s">
        <v>9627</v>
      </c>
      <c r="D226" s="12" t="s">
        <v>7146</v>
      </c>
      <c r="E226" s="12" t="s">
        <v>7027</v>
      </c>
      <c r="F226" s="65">
        <v>1200</v>
      </c>
      <c r="G226" s="57">
        <v>136032</v>
      </c>
      <c r="H226" s="12"/>
      <c r="I226" s="8" t="s">
        <v>11723</v>
      </c>
    </row>
    <row r="227" spans="1:9" s="117" customFormat="1" ht="46.5" customHeight="1" x14ac:dyDescent="0.2">
      <c r="A227" s="12" t="s">
        <v>7127</v>
      </c>
      <c r="B227" s="12" t="s">
        <v>6326</v>
      </c>
      <c r="C227" s="667" t="s">
        <v>9628</v>
      </c>
      <c r="D227" s="12" t="s">
        <v>7147</v>
      </c>
      <c r="E227" s="12" t="s">
        <v>7027</v>
      </c>
      <c r="F227" s="65">
        <v>1200</v>
      </c>
      <c r="G227" s="57">
        <v>136032</v>
      </c>
      <c r="H227" s="12"/>
      <c r="I227" s="8" t="s">
        <v>11723</v>
      </c>
    </row>
    <row r="228" spans="1:9" s="117" customFormat="1" ht="46.5" customHeight="1" x14ac:dyDescent="0.2">
      <c r="A228" s="12" t="s">
        <v>7128</v>
      </c>
      <c r="B228" s="12" t="s">
        <v>6326</v>
      </c>
      <c r="C228" s="667" t="s">
        <v>9629</v>
      </c>
      <c r="D228" s="12" t="s">
        <v>7148</v>
      </c>
      <c r="E228" s="12" t="s">
        <v>7027</v>
      </c>
      <c r="F228" s="65">
        <v>1200</v>
      </c>
      <c r="G228" s="57">
        <v>136032</v>
      </c>
      <c r="H228" s="12"/>
      <c r="I228" s="8" t="s">
        <v>11723</v>
      </c>
    </row>
    <row r="229" spans="1:9" s="117" customFormat="1" ht="46.5" customHeight="1" x14ac:dyDescent="0.2">
      <c r="A229" s="12" t="s">
        <v>7129</v>
      </c>
      <c r="B229" s="12" t="s">
        <v>6326</v>
      </c>
      <c r="C229" s="667" t="s">
        <v>9630</v>
      </c>
      <c r="D229" s="12" t="s">
        <v>7149</v>
      </c>
      <c r="E229" s="12" t="s">
        <v>7027</v>
      </c>
      <c r="F229" s="65">
        <v>1200</v>
      </c>
      <c r="G229" s="57">
        <v>136032</v>
      </c>
      <c r="H229" s="12"/>
      <c r="I229" s="8" t="s">
        <v>11723</v>
      </c>
    </row>
    <row r="230" spans="1:9" s="117" customFormat="1" ht="46.5" customHeight="1" x14ac:dyDescent="0.2">
      <c r="A230" s="12" t="s">
        <v>7130</v>
      </c>
      <c r="B230" s="12" t="s">
        <v>6326</v>
      </c>
      <c r="C230" s="667" t="s">
        <v>9631</v>
      </c>
      <c r="D230" s="12" t="s">
        <v>7150</v>
      </c>
      <c r="E230" s="12" t="s">
        <v>7027</v>
      </c>
      <c r="F230" s="65">
        <v>1200</v>
      </c>
      <c r="G230" s="57">
        <v>136032</v>
      </c>
      <c r="H230" s="12"/>
      <c r="I230" s="8" t="s">
        <v>11723</v>
      </c>
    </row>
    <row r="231" spans="1:9" s="117" customFormat="1" ht="46.5" customHeight="1" x14ac:dyDescent="0.2">
      <c r="A231" s="12" t="s">
        <v>7131</v>
      </c>
      <c r="B231" s="12" t="s">
        <v>6326</v>
      </c>
      <c r="C231" s="667" t="s">
        <v>9632</v>
      </c>
      <c r="D231" s="12" t="s">
        <v>7151</v>
      </c>
      <c r="E231" s="12" t="s">
        <v>7027</v>
      </c>
      <c r="F231" s="65">
        <v>1200</v>
      </c>
      <c r="G231" s="57">
        <v>136032</v>
      </c>
      <c r="H231" s="12"/>
      <c r="I231" s="8" t="s">
        <v>11723</v>
      </c>
    </row>
    <row r="232" spans="1:9" s="117" customFormat="1" ht="46.5" customHeight="1" x14ac:dyDescent="0.2">
      <c r="A232" s="12" t="s">
        <v>7132</v>
      </c>
      <c r="B232" s="12" t="s">
        <v>6326</v>
      </c>
      <c r="C232" s="667" t="s">
        <v>9633</v>
      </c>
      <c r="D232" s="12" t="s">
        <v>7152</v>
      </c>
      <c r="E232" s="12" t="s">
        <v>7027</v>
      </c>
      <c r="F232" s="65">
        <v>1200</v>
      </c>
      <c r="G232" s="57">
        <v>136032</v>
      </c>
      <c r="H232" s="12"/>
      <c r="I232" s="8" t="s">
        <v>11723</v>
      </c>
    </row>
    <row r="233" spans="1:9" s="117" customFormat="1" ht="46.5" customHeight="1" x14ac:dyDescent="0.2">
      <c r="A233" s="12" t="s">
        <v>7133</v>
      </c>
      <c r="B233" s="12" t="s">
        <v>6326</v>
      </c>
      <c r="C233" s="667" t="s">
        <v>9634</v>
      </c>
      <c r="D233" s="12" t="s">
        <v>7153</v>
      </c>
      <c r="E233" s="12" t="s">
        <v>7027</v>
      </c>
      <c r="F233" s="65">
        <v>1200</v>
      </c>
      <c r="G233" s="57">
        <v>136032</v>
      </c>
      <c r="H233" s="12"/>
      <c r="I233" s="8" t="s">
        <v>11723</v>
      </c>
    </row>
    <row r="234" spans="1:9" s="117" customFormat="1" ht="46.5" customHeight="1" x14ac:dyDescent="0.2">
      <c r="A234" s="12" t="s">
        <v>7134</v>
      </c>
      <c r="B234" s="12" t="s">
        <v>6326</v>
      </c>
      <c r="C234" s="667" t="s">
        <v>9635</v>
      </c>
      <c r="D234" s="12" t="s">
        <v>7154</v>
      </c>
      <c r="E234" s="12" t="s">
        <v>7027</v>
      </c>
      <c r="F234" s="65">
        <v>1200</v>
      </c>
      <c r="G234" s="57">
        <v>136032</v>
      </c>
      <c r="H234" s="12"/>
      <c r="I234" s="8" t="s">
        <v>11723</v>
      </c>
    </row>
    <row r="235" spans="1:9" s="117" customFormat="1" ht="46.5" customHeight="1" x14ac:dyDescent="0.2">
      <c r="A235" s="12" t="s">
        <v>7183</v>
      </c>
      <c r="B235" s="12" t="s">
        <v>6326</v>
      </c>
      <c r="C235" s="667" t="s">
        <v>9636</v>
      </c>
      <c r="D235" s="4" t="s">
        <v>7227</v>
      </c>
      <c r="E235" s="12" t="s">
        <v>7027</v>
      </c>
      <c r="F235" s="65">
        <v>1200</v>
      </c>
      <c r="G235" s="57">
        <v>136032</v>
      </c>
      <c r="H235" s="12"/>
      <c r="I235" s="8" t="s">
        <v>11723</v>
      </c>
    </row>
    <row r="236" spans="1:9" s="117" customFormat="1" ht="46.5" customHeight="1" x14ac:dyDescent="0.2">
      <c r="A236" s="12" t="s">
        <v>7184</v>
      </c>
      <c r="B236" s="12" t="s">
        <v>6326</v>
      </c>
      <c r="C236" s="667" t="s">
        <v>9637</v>
      </c>
      <c r="D236" s="12" t="s">
        <v>7224</v>
      </c>
      <c r="E236" s="12" t="s">
        <v>7027</v>
      </c>
      <c r="F236" s="65">
        <v>1200</v>
      </c>
      <c r="G236" s="57">
        <v>136032</v>
      </c>
      <c r="H236" s="12"/>
      <c r="I236" s="8" t="s">
        <v>11723</v>
      </c>
    </row>
    <row r="237" spans="1:9" s="117" customFormat="1" ht="46.5" customHeight="1" x14ac:dyDescent="0.2">
      <c r="A237" s="12" t="s">
        <v>7185</v>
      </c>
      <c r="B237" s="12" t="s">
        <v>6326</v>
      </c>
      <c r="C237" s="667" t="s">
        <v>9638</v>
      </c>
      <c r="D237" s="12" t="s">
        <v>7225</v>
      </c>
      <c r="E237" s="12" t="s">
        <v>7027</v>
      </c>
      <c r="F237" s="65">
        <v>1200</v>
      </c>
      <c r="G237" s="57">
        <v>136032</v>
      </c>
      <c r="H237" s="12"/>
      <c r="I237" s="8" t="s">
        <v>11723</v>
      </c>
    </row>
    <row r="238" spans="1:9" s="117" customFormat="1" ht="46.5" customHeight="1" x14ac:dyDescent="0.2">
      <c r="A238" s="12" t="s">
        <v>7186</v>
      </c>
      <c r="B238" s="12" t="s">
        <v>6326</v>
      </c>
      <c r="C238" s="667" t="s">
        <v>9639</v>
      </c>
      <c r="D238" s="12" t="s">
        <v>7226</v>
      </c>
      <c r="E238" s="12" t="s">
        <v>7027</v>
      </c>
      <c r="F238" s="65">
        <v>1200</v>
      </c>
      <c r="G238" s="57">
        <v>136032</v>
      </c>
      <c r="H238" s="12"/>
      <c r="I238" s="8" t="s">
        <v>11723</v>
      </c>
    </row>
    <row r="239" spans="1:9" s="117" customFormat="1" ht="46.5" customHeight="1" x14ac:dyDescent="0.2">
      <c r="A239" s="12" t="s">
        <v>7187</v>
      </c>
      <c r="B239" s="12" t="s">
        <v>6326</v>
      </c>
      <c r="C239" s="667" t="s">
        <v>9640</v>
      </c>
      <c r="D239" s="12" t="s">
        <v>7228</v>
      </c>
      <c r="E239" s="12" t="s">
        <v>7027</v>
      </c>
      <c r="F239" s="65">
        <v>1200</v>
      </c>
      <c r="G239" s="57">
        <v>136032</v>
      </c>
      <c r="H239" s="12"/>
      <c r="I239" s="8" t="s">
        <v>11723</v>
      </c>
    </row>
    <row r="240" spans="1:9" s="117" customFormat="1" ht="46.5" customHeight="1" x14ac:dyDescent="0.2">
      <c r="A240" s="12" t="s">
        <v>7188</v>
      </c>
      <c r="B240" s="12" t="s">
        <v>6326</v>
      </c>
      <c r="C240" s="667" t="s">
        <v>9641</v>
      </c>
      <c r="D240" s="12" t="s">
        <v>7229</v>
      </c>
      <c r="E240" s="12" t="s">
        <v>7027</v>
      </c>
      <c r="F240" s="65">
        <v>1200</v>
      </c>
      <c r="G240" s="57">
        <v>136032</v>
      </c>
      <c r="H240" s="12"/>
      <c r="I240" s="8" t="s">
        <v>11723</v>
      </c>
    </row>
    <row r="241" spans="1:9" s="117" customFormat="1" ht="46.5" customHeight="1" x14ac:dyDescent="0.2">
      <c r="A241" s="12" t="s">
        <v>7189</v>
      </c>
      <c r="B241" s="12" t="s">
        <v>6326</v>
      </c>
      <c r="C241" s="667" t="s">
        <v>9642</v>
      </c>
      <c r="D241" s="12" t="s">
        <v>7230</v>
      </c>
      <c r="E241" s="12" t="s">
        <v>7027</v>
      </c>
      <c r="F241" s="65">
        <v>1200</v>
      </c>
      <c r="G241" s="57">
        <v>136032</v>
      </c>
      <c r="H241" s="12"/>
      <c r="I241" s="8" t="s">
        <v>11723</v>
      </c>
    </row>
    <row r="242" spans="1:9" s="117" customFormat="1" ht="46.5" customHeight="1" x14ac:dyDescent="0.2">
      <c r="A242" s="12" t="s">
        <v>7190</v>
      </c>
      <c r="B242" s="12" t="s">
        <v>6326</v>
      </c>
      <c r="C242" s="667" t="s">
        <v>9643</v>
      </c>
      <c r="D242" s="12" t="s">
        <v>7231</v>
      </c>
      <c r="E242" s="12" t="s">
        <v>7027</v>
      </c>
      <c r="F242" s="65">
        <v>1200</v>
      </c>
      <c r="G242" s="57">
        <v>136032</v>
      </c>
      <c r="H242" s="12"/>
      <c r="I242" s="8" t="s">
        <v>11723</v>
      </c>
    </row>
    <row r="243" spans="1:9" s="117" customFormat="1" ht="46.5" customHeight="1" x14ac:dyDescent="0.2">
      <c r="A243" s="12" t="s">
        <v>7191</v>
      </c>
      <c r="B243" s="12" t="s">
        <v>6326</v>
      </c>
      <c r="C243" s="667" t="s">
        <v>9644</v>
      </c>
      <c r="D243" s="12" t="s">
        <v>7232</v>
      </c>
      <c r="E243" s="12" t="s">
        <v>7027</v>
      </c>
      <c r="F243" s="65">
        <v>1200</v>
      </c>
      <c r="G243" s="57">
        <v>136032</v>
      </c>
      <c r="H243" s="12"/>
      <c r="I243" s="8" t="s">
        <v>11723</v>
      </c>
    </row>
    <row r="244" spans="1:9" s="117" customFormat="1" ht="46.5" customHeight="1" x14ac:dyDescent="0.2">
      <c r="A244" s="12" t="s">
        <v>7192</v>
      </c>
      <c r="B244" s="12" t="s">
        <v>6326</v>
      </c>
      <c r="C244" s="667" t="s">
        <v>9645</v>
      </c>
      <c r="D244" s="12" t="s">
        <v>7233</v>
      </c>
      <c r="E244" s="12" t="s">
        <v>7027</v>
      </c>
      <c r="F244" s="65">
        <v>1200</v>
      </c>
      <c r="G244" s="57">
        <v>136032</v>
      </c>
      <c r="H244" s="12"/>
      <c r="I244" s="8" t="s">
        <v>11723</v>
      </c>
    </row>
    <row r="245" spans="1:9" s="117" customFormat="1" ht="46.5" customHeight="1" x14ac:dyDescent="0.2">
      <c r="A245" s="12" t="s">
        <v>7193</v>
      </c>
      <c r="B245" s="12" t="s">
        <v>6326</v>
      </c>
      <c r="C245" s="667" t="s">
        <v>9646</v>
      </c>
      <c r="D245" s="12" t="s">
        <v>7234</v>
      </c>
      <c r="E245" s="12" t="s">
        <v>7027</v>
      </c>
      <c r="F245" s="65">
        <v>1200</v>
      </c>
      <c r="G245" s="57">
        <v>136032</v>
      </c>
      <c r="H245" s="12"/>
      <c r="I245" s="8" t="s">
        <v>11723</v>
      </c>
    </row>
    <row r="246" spans="1:9" s="117" customFormat="1" ht="46.5" customHeight="1" x14ac:dyDescent="0.2">
      <c r="A246" s="12" t="s">
        <v>7194</v>
      </c>
      <c r="B246" s="12" t="s">
        <v>6326</v>
      </c>
      <c r="C246" s="667" t="s">
        <v>9647</v>
      </c>
      <c r="D246" s="12" t="s">
        <v>7235</v>
      </c>
      <c r="E246" s="12" t="s">
        <v>7027</v>
      </c>
      <c r="F246" s="65">
        <v>1200</v>
      </c>
      <c r="G246" s="57">
        <v>136032</v>
      </c>
      <c r="H246" s="12"/>
      <c r="I246" s="8" t="s">
        <v>11723</v>
      </c>
    </row>
    <row r="247" spans="1:9" s="117" customFormat="1" ht="46.5" customHeight="1" x14ac:dyDescent="0.2">
      <c r="A247" s="12" t="s">
        <v>7195</v>
      </c>
      <c r="B247" s="12" t="s">
        <v>6326</v>
      </c>
      <c r="C247" s="667" t="s">
        <v>9648</v>
      </c>
      <c r="D247" s="12" t="s">
        <v>7236</v>
      </c>
      <c r="E247" s="12" t="s">
        <v>7027</v>
      </c>
      <c r="F247" s="65">
        <v>1200</v>
      </c>
      <c r="G247" s="57">
        <v>136032</v>
      </c>
      <c r="H247" s="12"/>
      <c r="I247" s="8" t="s">
        <v>11723</v>
      </c>
    </row>
    <row r="248" spans="1:9" s="117" customFormat="1" ht="46.5" customHeight="1" x14ac:dyDescent="0.2">
      <c r="A248" s="12" t="s">
        <v>7196</v>
      </c>
      <c r="B248" s="12" t="s">
        <v>6326</v>
      </c>
      <c r="C248" s="667" t="s">
        <v>9649</v>
      </c>
      <c r="D248" s="12" t="s">
        <v>7237</v>
      </c>
      <c r="E248" s="12" t="s">
        <v>7027</v>
      </c>
      <c r="F248" s="65">
        <v>1200</v>
      </c>
      <c r="G248" s="57">
        <v>136032</v>
      </c>
      <c r="H248" s="12"/>
      <c r="I248" s="8" t="s">
        <v>11723</v>
      </c>
    </row>
    <row r="249" spans="1:9" s="117" customFormat="1" ht="46.5" customHeight="1" x14ac:dyDescent="0.2">
      <c r="A249" s="12" t="s">
        <v>7197</v>
      </c>
      <c r="B249" s="12" t="s">
        <v>6326</v>
      </c>
      <c r="C249" s="667" t="s">
        <v>9650</v>
      </c>
      <c r="D249" s="12" t="s">
        <v>7328</v>
      </c>
      <c r="E249" s="12" t="s">
        <v>7027</v>
      </c>
      <c r="F249" s="65">
        <v>1200</v>
      </c>
      <c r="G249" s="57">
        <v>136032</v>
      </c>
      <c r="H249" s="12"/>
      <c r="I249" s="8" t="s">
        <v>11723</v>
      </c>
    </row>
    <row r="250" spans="1:9" s="117" customFormat="1" ht="46.5" customHeight="1" x14ac:dyDescent="0.2">
      <c r="A250" s="12" t="s">
        <v>7198</v>
      </c>
      <c r="B250" s="12" t="s">
        <v>6326</v>
      </c>
      <c r="C250" s="667" t="s">
        <v>9651</v>
      </c>
      <c r="D250" s="12" t="s">
        <v>7329</v>
      </c>
      <c r="E250" s="12" t="s">
        <v>7027</v>
      </c>
      <c r="F250" s="65">
        <v>1200</v>
      </c>
      <c r="G250" s="57">
        <v>136032</v>
      </c>
      <c r="H250" s="12"/>
      <c r="I250" s="8" t="s">
        <v>11723</v>
      </c>
    </row>
    <row r="251" spans="1:9" s="117" customFormat="1" ht="46.5" customHeight="1" x14ac:dyDescent="0.2">
      <c r="A251" s="12" t="s">
        <v>7199</v>
      </c>
      <c r="B251" s="12" t="s">
        <v>6326</v>
      </c>
      <c r="C251" s="667" t="s">
        <v>9652</v>
      </c>
      <c r="D251" s="12" t="s">
        <v>7330</v>
      </c>
      <c r="E251" s="12" t="s">
        <v>7027</v>
      </c>
      <c r="F251" s="65">
        <v>1200</v>
      </c>
      <c r="G251" s="57">
        <v>136032</v>
      </c>
      <c r="H251" s="12"/>
      <c r="I251" s="8" t="s">
        <v>11723</v>
      </c>
    </row>
    <row r="252" spans="1:9" s="117" customFormat="1" ht="46.5" customHeight="1" x14ac:dyDescent="0.2">
      <c r="A252" s="12" t="s">
        <v>7200</v>
      </c>
      <c r="B252" s="12" t="s">
        <v>6326</v>
      </c>
      <c r="C252" s="667" t="s">
        <v>9653</v>
      </c>
      <c r="D252" s="12" t="s">
        <v>7331</v>
      </c>
      <c r="E252" s="12" t="s">
        <v>7027</v>
      </c>
      <c r="F252" s="65">
        <v>1200</v>
      </c>
      <c r="G252" s="57">
        <v>136032</v>
      </c>
      <c r="H252" s="12"/>
      <c r="I252" s="8" t="s">
        <v>11723</v>
      </c>
    </row>
    <row r="253" spans="1:9" s="117" customFormat="1" ht="46.5" customHeight="1" x14ac:dyDescent="0.2">
      <c r="A253" s="12" t="s">
        <v>7201</v>
      </c>
      <c r="B253" s="12" t="s">
        <v>6326</v>
      </c>
      <c r="C253" s="667" t="s">
        <v>9654</v>
      </c>
      <c r="D253" s="12" t="s">
        <v>7332</v>
      </c>
      <c r="E253" s="12" t="s">
        <v>7027</v>
      </c>
      <c r="F253" s="65">
        <v>1200</v>
      </c>
      <c r="G253" s="57">
        <v>136032</v>
      </c>
      <c r="H253" s="12"/>
      <c r="I253" s="8" t="s">
        <v>11723</v>
      </c>
    </row>
    <row r="254" spans="1:9" s="117" customFormat="1" ht="46.5" customHeight="1" x14ac:dyDescent="0.2">
      <c r="A254" s="12" t="s">
        <v>7202</v>
      </c>
      <c r="B254" s="12" t="s">
        <v>6326</v>
      </c>
      <c r="C254" s="667" t="s">
        <v>9655</v>
      </c>
      <c r="D254" s="12" t="s">
        <v>7333</v>
      </c>
      <c r="E254" s="12" t="s">
        <v>7027</v>
      </c>
      <c r="F254" s="65">
        <v>1200</v>
      </c>
      <c r="G254" s="57">
        <v>136032</v>
      </c>
      <c r="H254" s="12"/>
      <c r="I254" s="8" t="s">
        <v>11723</v>
      </c>
    </row>
    <row r="255" spans="1:9" s="117" customFormat="1" ht="46.5" customHeight="1" x14ac:dyDescent="0.2">
      <c r="A255" s="12" t="s">
        <v>7203</v>
      </c>
      <c r="B255" s="12" t="s">
        <v>6326</v>
      </c>
      <c r="C255" s="667" t="s">
        <v>9656</v>
      </c>
      <c r="D255" s="12" t="s">
        <v>7334</v>
      </c>
      <c r="E255" s="12" t="s">
        <v>7027</v>
      </c>
      <c r="F255" s="65">
        <v>1200</v>
      </c>
      <c r="G255" s="57">
        <v>136032</v>
      </c>
      <c r="H255" s="12"/>
      <c r="I255" s="8" t="s">
        <v>11723</v>
      </c>
    </row>
    <row r="256" spans="1:9" s="117" customFormat="1" ht="46.5" customHeight="1" x14ac:dyDescent="0.2">
      <c r="A256" s="12" t="s">
        <v>7204</v>
      </c>
      <c r="B256" s="12" t="s">
        <v>6326</v>
      </c>
      <c r="C256" s="667" t="s">
        <v>9657</v>
      </c>
      <c r="D256" s="12" t="s">
        <v>7335</v>
      </c>
      <c r="E256" s="12" t="s">
        <v>7027</v>
      </c>
      <c r="F256" s="65">
        <v>1200</v>
      </c>
      <c r="G256" s="57">
        <v>136032</v>
      </c>
      <c r="H256" s="12"/>
      <c r="I256" s="8" t="s">
        <v>11723</v>
      </c>
    </row>
    <row r="257" spans="1:9" s="117" customFormat="1" ht="46.5" customHeight="1" x14ac:dyDescent="0.2">
      <c r="A257" s="12" t="s">
        <v>7205</v>
      </c>
      <c r="B257" s="12" t="s">
        <v>6326</v>
      </c>
      <c r="C257" s="667" t="s">
        <v>9658</v>
      </c>
      <c r="D257" s="12" t="s">
        <v>7336</v>
      </c>
      <c r="E257" s="12" t="s">
        <v>7027</v>
      </c>
      <c r="F257" s="65">
        <v>1200</v>
      </c>
      <c r="G257" s="57">
        <v>136032</v>
      </c>
      <c r="H257" s="12"/>
      <c r="I257" s="8" t="s">
        <v>11723</v>
      </c>
    </row>
    <row r="258" spans="1:9" s="117" customFormat="1" ht="46.5" customHeight="1" x14ac:dyDescent="0.2">
      <c r="A258" s="12" t="s">
        <v>7206</v>
      </c>
      <c r="B258" s="12" t="s">
        <v>6326</v>
      </c>
      <c r="C258" s="667" t="s">
        <v>9659</v>
      </c>
      <c r="D258" s="12" t="s">
        <v>7337</v>
      </c>
      <c r="E258" s="12" t="s">
        <v>7027</v>
      </c>
      <c r="F258" s="65">
        <v>1200</v>
      </c>
      <c r="G258" s="57">
        <v>136032</v>
      </c>
      <c r="H258" s="12"/>
      <c r="I258" s="8" t="s">
        <v>11723</v>
      </c>
    </row>
    <row r="259" spans="1:9" s="117" customFormat="1" ht="46.5" customHeight="1" x14ac:dyDescent="0.2">
      <c r="A259" s="12" t="s">
        <v>7207</v>
      </c>
      <c r="B259" s="12" t="s">
        <v>6326</v>
      </c>
      <c r="C259" s="667" t="s">
        <v>9660</v>
      </c>
      <c r="D259" s="12" t="s">
        <v>7338</v>
      </c>
      <c r="E259" s="12" t="s">
        <v>7027</v>
      </c>
      <c r="F259" s="65">
        <v>1200</v>
      </c>
      <c r="G259" s="57">
        <v>136032</v>
      </c>
      <c r="H259" s="12"/>
      <c r="I259" s="8" t="s">
        <v>11723</v>
      </c>
    </row>
    <row r="260" spans="1:9" s="117" customFormat="1" ht="46.5" customHeight="1" x14ac:dyDescent="0.2">
      <c r="A260" s="12" t="s">
        <v>7208</v>
      </c>
      <c r="B260" s="12" t="s">
        <v>6326</v>
      </c>
      <c r="C260" s="667" t="s">
        <v>9661</v>
      </c>
      <c r="D260" s="12" t="s">
        <v>7339</v>
      </c>
      <c r="E260" s="12" t="s">
        <v>7027</v>
      </c>
      <c r="F260" s="65">
        <v>1200</v>
      </c>
      <c r="G260" s="57">
        <v>136032</v>
      </c>
      <c r="H260" s="12"/>
      <c r="I260" s="8" t="s">
        <v>11723</v>
      </c>
    </row>
    <row r="261" spans="1:9" s="117" customFormat="1" ht="46.5" customHeight="1" x14ac:dyDescent="0.2">
      <c r="A261" s="12" t="s">
        <v>7209</v>
      </c>
      <c r="B261" s="12" t="s">
        <v>6326</v>
      </c>
      <c r="C261" s="667" t="s">
        <v>9662</v>
      </c>
      <c r="D261" s="12" t="s">
        <v>7340</v>
      </c>
      <c r="E261" s="12" t="s">
        <v>7027</v>
      </c>
      <c r="F261" s="65">
        <v>1200</v>
      </c>
      <c r="G261" s="57">
        <v>136032</v>
      </c>
      <c r="H261" s="12"/>
      <c r="I261" s="8" t="s">
        <v>11723</v>
      </c>
    </row>
    <row r="262" spans="1:9" s="117" customFormat="1" ht="46.5" customHeight="1" x14ac:dyDescent="0.2">
      <c r="A262" s="12" t="s">
        <v>7210</v>
      </c>
      <c r="B262" s="12" t="s">
        <v>6326</v>
      </c>
      <c r="C262" s="667" t="s">
        <v>9663</v>
      </c>
      <c r="D262" s="12" t="s">
        <v>7341</v>
      </c>
      <c r="E262" s="12" t="s">
        <v>7027</v>
      </c>
      <c r="F262" s="65">
        <v>1200</v>
      </c>
      <c r="G262" s="57">
        <v>136032</v>
      </c>
      <c r="H262" s="12"/>
      <c r="I262" s="8" t="s">
        <v>11723</v>
      </c>
    </row>
    <row r="263" spans="1:9" s="117" customFormat="1" ht="46.5" customHeight="1" x14ac:dyDescent="0.2">
      <c r="A263" s="12" t="s">
        <v>7211</v>
      </c>
      <c r="B263" s="12" t="s">
        <v>6326</v>
      </c>
      <c r="C263" s="667" t="s">
        <v>9664</v>
      </c>
      <c r="D263" s="12" t="s">
        <v>7342</v>
      </c>
      <c r="E263" s="12" t="s">
        <v>7027</v>
      </c>
      <c r="F263" s="65">
        <v>1200</v>
      </c>
      <c r="G263" s="57">
        <v>136032</v>
      </c>
      <c r="H263" s="12"/>
      <c r="I263" s="8" t="s">
        <v>11723</v>
      </c>
    </row>
    <row r="264" spans="1:9" s="117" customFormat="1" ht="46.5" customHeight="1" x14ac:dyDescent="0.2">
      <c r="A264" s="12" t="s">
        <v>7212</v>
      </c>
      <c r="B264" s="12" t="s">
        <v>6326</v>
      </c>
      <c r="C264" s="667" t="s">
        <v>9665</v>
      </c>
      <c r="D264" s="12" t="s">
        <v>7343</v>
      </c>
      <c r="E264" s="12" t="s">
        <v>7027</v>
      </c>
      <c r="F264" s="65">
        <v>1200</v>
      </c>
      <c r="G264" s="57">
        <v>136032</v>
      </c>
      <c r="H264" s="12"/>
      <c r="I264" s="8" t="s">
        <v>11723</v>
      </c>
    </row>
    <row r="265" spans="1:9" s="117" customFormat="1" ht="46.5" customHeight="1" x14ac:dyDescent="0.2">
      <c r="A265" s="12" t="s">
        <v>7213</v>
      </c>
      <c r="B265" s="12" t="s">
        <v>6326</v>
      </c>
      <c r="C265" s="667" t="s">
        <v>9666</v>
      </c>
      <c r="D265" s="12" t="s">
        <v>7344</v>
      </c>
      <c r="E265" s="12" t="s">
        <v>7027</v>
      </c>
      <c r="F265" s="65">
        <v>1200</v>
      </c>
      <c r="G265" s="57">
        <v>136032</v>
      </c>
      <c r="H265" s="12"/>
      <c r="I265" s="8" t="s">
        <v>11723</v>
      </c>
    </row>
    <row r="266" spans="1:9" s="117" customFormat="1" ht="46.5" customHeight="1" x14ac:dyDescent="0.2">
      <c r="A266" s="12" t="s">
        <v>7214</v>
      </c>
      <c r="B266" s="12" t="s">
        <v>6326</v>
      </c>
      <c r="C266" s="667" t="s">
        <v>9667</v>
      </c>
      <c r="D266" s="12" t="s">
        <v>7345</v>
      </c>
      <c r="E266" s="12" t="s">
        <v>7027</v>
      </c>
      <c r="F266" s="65">
        <v>1200</v>
      </c>
      <c r="G266" s="57">
        <v>136032</v>
      </c>
      <c r="H266" s="12"/>
      <c r="I266" s="8" t="s">
        <v>11723</v>
      </c>
    </row>
    <row r="267" spans="1:9" s="117" customFormat="1" ht="46.5" customHeight="1" x14ac:dyDescent="0.2">
      <c r="A267" s="12" t="s">
        <v>7215</v>
      </c>
      <c r="B267" s="12" t="s">
        <v>6326</v>
      </c>
      <c r="C267" s="667" t="s">
        <v>9668</v>
      </c>
      <c r="D267" s="12" t="s">
        <v>7346</v>
      </c>
      <c r="E267" s="12" t="s">
        <v>7027</v>
      </c>
      <c r="F267" s="65">
        <v>1200</v>
      </c>
      <c r="G267" s="57">
        <v>136032</v>
      </c>
      <c r="H267" s="12"/>
      <c r="I267" s="8" t="s">
        <v>11723</v>
      </c>
    </row>
    <row r="268" spans="1:9" s="117" customFormat="1" ht="46.5" customHeight="1" x14ac:dyDescent="0.2">
      <c r="A268" s="12" t="s">
        <v>7216</v>
      </c>
      <c r="B268" s="12" t="s">
        <v>6326</v>
      </c>
      <c r="C268" s="667" t="s">
        <v>9669</v>
      </c>
      <c r="D268" s="12" t="s">
        <v>7347</v>
      </c>
      <c r="E268" s="12" t="s">
        <v>7027</v>
      </c>
      <c r="F268" s="65">
        <v>1200</v>
      </c>
      <c r="G268" s="57">
        <v>136032</v>
      </c>
      <c r="H268" s="12"/>
      <c r="I268" s="8" t="s">
        <v>11723</v>
      </c>
    </row>
    <row r="269" spans="1:9" s="117" customFormat="1" ht="46.5" customHeight="1" x14ac:dyDescent="0.2">
      <c r="A269" s="12" t="s">
        <v>7217</v>
      </c>
      <c r="B269" s="12" t="s">
        <v>6326</v>
      </c>
      <c r="C269" s="667" t="s">
        <v>9670</v>
      </c>
      <c r="D269" s="12" t="s">
        <v>7348</v>
      </c>
      <c r="E269" s="12" t="s">
        <v>7027</v>
      </c>
      <c r="F269" s="65">
        <v>1200</v>
      </c>
      <c r="G269" s="57">
        <v>136032</v>
      </c>
      <c r="H269" s="12"/>
      <c r="I269" s="8" t="s">
        <v>11723</v>
      </c>
    </row>
    <row r="270" spans="1:9" s="117" customFormat="1" ht="46.5" customHeight="1" x14ac:dyDescent="0.2">
      <c r="A270" s="12" t="s">
        <v>7218</v>
      </c>
      <c r="B270" s="12" t="s">
        <v>6326</v>
      </c>
      <c r="C270" s="667" t="s">
        <v>9671</v>
      </c>
      <c r="D270" s="12" t="s">
        <v>7349</v>
      </c>
      <c r="E270" s="12" t="s">
        <v>7027</v>
      </c>
      <c r="F270" s="65">
        <v>1200</v>
      </c>
      <c r="G270" s="57">
        <v>136032</v>
      </c>
      <c r="H270" s="12"/>
      <c r="I270" s="8" t="s">
        <v>11723</v>
      </c>
    </row>
    <row r="271" spans="1:9" s="117" customFormat="1" ht="46.5" customHeight="1" x14ac:dyDescent="0.2">
      <c r="A271" s="12" t="s">
        <v>7219</v>
      </c>
      <c r="B271" s="12" t="s">
        <v>6326</v>
      </c>
      <c r="C271" s="667" t="s">
        <v>9672</v>
      </c>
      <c r="D271" s="12" t="s">
        <v>7350</v>
      </c>
      <c r="E271" s="12" t="s">
        <v>7027</v>
      </c>
      <c r="F271" s="65">
        <v>1200</v>
      </c>
      <c r="G271" s="57">
        <v>136032</v>
      </c>
      <c r="H271" s="12"/>
      <c r="I271" s="8" t="s">
        <v>11723</v>
      </c>
    </row>
    <row r="272" spans="1:9" s="117" customFormat="1" ht="46.5" customHeight="1" x14ac:dyDescent="0.2">
      <c r="A272" s="12" t="s">
        <v>7220</v>
      </c>
      <c r="B272" s="12" t="s">
        <v>6326</v>
      </c>
      <c r="C272" s="667" t="s">
        <v>9673</v>
      </c>
      <c r="D272" s="12" t="s">
        <v>7351</v>
      </c>
      <c r="E272" s="12" t="s">
        <v>7027</v>
      </c>
      <c r="F272" s="65">
        <v>1200</v>
      </c>
      <c r="G272" s="57">
        <v>136032</v>
      </c>
      <c r="H272" s="12"/>
      <c r="I272" s="8" t="s">
        <v>11723</v>
      </c>
    </row>
    <row r="273" spans="1:9" s="117" customFormat="1" ht="46.5" customHeight="1" x14ac:dyDescent="0.2">
      <c r="A273" s="12" t="s">
        <v>7221</v>
      </c>
      <c r="B273" s="12" t="s">
        <v>6326</v>
      </c>
      <c r="C273" s="667" t="s">
        <v>9674</v>
      </c>
      <c r="D273" s="12" t="s">
        <v>7352</v>
      </c>
      <c r="E273" s="12" t="s">
        <v>7027</v>
      </c>
      <c r="F273" s="65">
        <v>1200</v>
      </c>
      <c r="G273" s="57">
        <v>136032</v>
      </c>
      <c r="H273" s="12"/>
      <c r="I273" s="8" t="s">
        <v>11723</v>
      </c>
    </row>
    <row r="274" spans="1:9" s="117" customFormat="1" ht="46.5" customHeight="1" x14ac:dyDescent="0.2">
      <c r="A274" s="12" t="s">
        <v>7222</v>
      </c>
      <c r="B274" s="12" t="s">
        <v>6326</v>
      </c>
      <c r="C274" s="667" t="s">
        <v>9675</v>
      </c>
      <c r="D274" s="12" t="s">
        <v>7353</v>
      </c>
      <c r="E274" s="12" t="s">
        <v>7027</v>
      </c>
      <c r="F274" s="65">
        <v>1200</v>
      </c>
      <c r="G274" s="57">
        <v>136032</v>
      </c>
      <c r="H274" s="12"/>
      <c r="I274" s="8" t="s">
        <v>11723</v>
      </c>
    </row>
    <row r="275" spans="1:9" s="117" customFormat="1" ht="46.5" customHeight="1" x14ac:dyDescent="0.2">
      <c r="A275" s="12" t="s">
        <v>7223</v>
      </c>
      <c r="B275" s="12" t="s">
        <v>6326</v>
      </c>
      <c r="C275" s="667" t="s">
        <v>9676</v>
      </c>
      <c r="D275" s="12" t="s">
        <v>7354</v>
      </c>
      <c r="E275" s="12" t="s">
        <v>7027</v>
      </c>
      <c r="F275" s="65">
        <v>1200</v>
      </c>
      <c r="G275" s="57">
        <v>136032</v>
      </c>
      <c r="H275" s="12"/>
      <c r="I275" s="8" t="s">
        <v>11723</v>
      </c>
    </row>
    <row r="276" spans="1:9" s="117" customFormat="1" ht="46.5" customHeight="1" x14ac:dyDescent="0.2">
      <c r="A276" s="12" t="s">
        <v>7240</v>
      </c>
      <c r="B276" s="12" t="s">
        <v>6326</v>
      </c>
      <c r="C276" s="667" t="s">
        <v>9677</v>
      </c>
      <c r="D276" s="12" t="s">
        <v>7355</v>
      </c>
      <c r="E276" s="12" t="s">
        <v>7027</v>
      </c>
      <c r="F276" s="65">
        <v>1200</v>
      </c>
      <c r="G276" s="57">
        <v>136032</v>
      </c>
      <c r="H276" s="12"/>
      <c r="I276" s="8" t="s">
        <v>11723</v>
      </c>
    </row>
    <row r="277" spans="1:9" s="117" customFormat="1" ht="46.5" customHeight="1" x14ac:dyDescent="0.2">
      <c r="A277" s="12" t="s">
        <v>7241</v>
      </c>
      <c r="B277" s="12" t="s">
        <v>6326</v>
      </c>
      <c r="C277" s="667" t="s">
        <v>9678</v>
      </c>
      <c r="D277" s="12" t="s">
        <v>7356</v>
      </c>
      <c r="E277" s="12" t="s">
        <v>7027</v>
      </c>
      <c r="F277" s="65">
        <v>1200</v>
      </c>
      <c r="G277" s="57">
        <v>136032</v>
      </c>
      <c r="H277" s="12"/>
      <c r="I277" s="8" t="s">
        <v>11723</v>
      </c>
    </row>
    <row r="278" spans="1:9" s="117" customFormat="1" ht="46.5" customHeight="1" x14ac:dyDescent="0.2">
      <c r="A278" s="12" t="s">
        <v>7242</v>
      </c>
      <c r="B278" s="12" t="s">
        <v>6326</v>
      </c>
      <c r="C278" s="667" t="s">
        <v>9679</v>
      </c>
      <c r="D278" s="12" t="s">
        <v>7357</v>
      </c>
      <c r="E278" s="12" t="s">
        <v>7027</v>
      </c>
      <c r="F278" s="65">
        <v>1200</v>
      </c>
      <c r="G278" s="57">
        <v>136032</v>
      </c>
      <c r="H278" s="12"/>
      <c r="I278" s="8" t="s">
        <v>11723</v>
      </c>
    </row>
    <row r="279" spans="1:9" s="117" customFormat="1" ht="46.5" customHeight="1" x14ac:dyDescent="0.2">
      <c r="A279" s="12" t="s">
        <v>7243</v>
      </c>
      <c r="B279" s="12" t="s">
        <v>6326</v>
      </c>
      <c r="C279" s="667" t="s">
        <v>9680</v>
      </c>
      <c r="D279" s="12" t="s">
        <v>7267</v>
      </c>
      <c r="E279" s="12" t="s">
        <v>7027</v>
      </c>
      <c r="F279" s="65">
        <v>1200</v>
      </c>
      <c r="G279" s="57">
        <v>136032</v>
      </c>
      <c r="H279" s="12"/>
      <c r="I279" s="8" t="s">
        <v>11723</v>
      </c>
    </row>
    <row r="280" spans="1:9" s="117" customFormat="1" ht="46.5" customHeight="1" x14ac:dyDescent="0.2">
      <c r="A280" s="12" t="s">
        <v>7244</v>
      </c>
      <c r="B280" s="12" t="s">
        <v>6326</v>
      </c>
      <c r="C280" s="667" t="s">
        <v>9681</v>
      </c>
      <c r="D280" s="12" t="s">
        <v>7359</v>
      </c>
      <c r="E280" s="12" t="s">
        <v>7027</v>
      </c>
      <c r="F280" s="65">
        <v>1200</v>
      </c>
      <c r="G280" s="57">
        <v>136032</v>
      </c>
      <c r="H280" s="12"/>
      <c r="I280" s="8" t="s">
        <v>11723</v>
      </c>
    </row>
    <row r="281" spans="1:9" s="117" customFormat="1" ht="46.5" customHeight="1" x14ac:dyDescent="0.2">
      <c r="A281" s="12" t="s">
        <v>7245</v>
      </c>
      <c r="B281" s="12" t="s">
        <v>6326</v>
      </c>
      <c r="C281" s="667" t="s">
        <v>9682</v>
      </c>
      <c r="D281" s="12" t="s">
        <v>7360</v>
      </c>
      <c r="E281" s="12" t="s">
        <v>7027</v>
      </c>
      <c r="F281" s="65">
        <v>1200</v>
      </c>
      <c r="G281" s="57">
        <v>136032</v>
      </c>
      <c r="H281" s="12"/>
      <c r="I281" s="8" t="s">
        <v>11723</v>
      </c>
    </row>
    <row r="282" spans="1:9" s="117" customFormat="1" ht="46.5" customHeight="1" x14ac:dyDescent="0.2">
      <c r="A282" s="12" t="s">
        <v>7246</v>
      </c>
      <c r="B282" s="12" t="s">
        <v>6326</v>
      </c>
      <c r="C282" s="667" t="s">
        <v>9683</v>
      </c>
      <c r="D282" s="12" t="s">
        <v>7362</v>
      </c>
      <c r="E282" s="12" t="s">
        <v>7027</v>
      </c>
      <c r="F282" s="65">
        <v>1200</v>
      </c>
      <c r="G282" s="57">
        <v>136032</v>
      </c>
      <c r="H282" s="12"/>
      <c r="I282" s="8" t="s">
        <v>11723</v>
      </c>
    </row>
    <row r="283" spans="1:9" s="117" customFormat="1" ht="46.5" customHeight="1" x14ac:dyDescent="0.2">
      <c r="A283" s="12" t="s">
        <v>7247</v>
      </c>
      <c r="B283" s="12" t="s">
        <v>6326</v>
      </c>
      <c r="C283" s="667" t="s">
        <v>9684</v>
      </c>
      <c r="D283" s="12" t="s">
        <v>7363</v>
      </c>
      <c r="E283" s="12" t="s">
        <v>7027</v>
      </c>
      <c r="F283" s="65">
        <v>1200</v>
      </c>
      <c r="G283" s="57">
        <v>136032</v>
      </c>
      <c r="H283" s="12"/>
      <c r="I283" s="8" t="s">
        <v>11723</v>
      </c>
    </row>
    <row r="284" spans="1:9" s="117" customFormat="1" ht="46.5" customHeight="1" x14ac:dyDescent="0.2">
      <c r="A284" s="12" t="s">
        <v>7248</v>
      </c>
      <c r="B284" s="12" t="s">
        <v>6326</v>
      </c>
      <c r="C284" s="667" t="s">
        <v>9685</v>
      </c>
      <c r="D284" s="12" t="s">
        <v>7364</v>
      </c>
      <c r="E284" s="12" t="s">
        <v>7027</v>
      </c>
      <c r="F284" s="65">
        <v>1200</v>
      </c>
      <c r="G284" s="57">
        <v>136032</v>
      </c>
      <c r="H284" s="12"/>
      <c r="I284" s="8" t="s">
        <v>11723</v>
      </c>
    </row>
    <row r="285" spans="1:9" s="117" customFormat="1" ht="46.5" customHeight="1" x14ac:dyDescent="0.2">
      <c r="A285" s="12" t="s">
        <v>7249</v>
      </c>
      <c r="B285" s="12" t="s">
        <v>6326</v>
      </c>
      <c r="C285" s="667" t="s">
        <v>9686</v>
      </c>
      <c r="D285" s="12" t="s">
        <v>7365</v>
      </c>
      <c r="E285" s="12" t="s">
        <v>7027</v>
      </c>
      <c r="F285" s="65">
        <v>1200</v>
      </c>
      <c r="G285" s="57">
        <v>136032</v>
      </c>
      <c r="H285" s="12"/>
      <c r="I285" s="8" t="s">
        <v>11723</v>
      </c>
    </row>
    <row r="286" spans="1:9" s="117" customFormat="1" ht="46.5" customHeight="1" x14ac:dyDescent="0.2">
      <c r="A286" s="12" t="s">
        <v>7250</v>
      </c>
      <c r="B286" s="12" t="s">
        <v>6326</v>
      </c>
      <c r="C286" s="667" t="s">
        <v>9687</v>
      </c>
      <c r="D286" s="12" t="s">
        <v>7366</v>
      </c>
      <c r="E286" s="12" t="s">
        <v>7027</v>
      </c>
      <c r="F286" s="65">
        <v>1200</v>
      </c>
      <c r="G286" s="57">
        <v>136032</v>
      </c>
      <c r="H286" s="12"/>
      <c r="I286" s="8" t="s">
        <v>11723</v>
      </c>
    </row>
    <row r="287" spans="1:9" s="117" customFormat="1" ht="46.5" customHeight="1" x14ac:dyDescent="0.2">
      <c r="A287" s="12" t="s">
        <v>7251</v>
      </c>
      <c r="B287" s="12" t="s">
        <v>6326</v>
      </c>
      <c r="C287" s="667" t="s">
        <v>9688</v>
      </c>
      <c r="D287" s="12" t="s">
        <v>7367</v>
      </c>
      <c r="E287" s="12" t="s">
        <v>7027</v>
      </c>
      <c r="F287" s="65">
        <v>1200</v>
      </c>
      <c r="G287" s="57">
        <v>136032</v>
      </c>
      <c r="H287" s="12"/>
      <c r="I287" s="8" t="s">
        <v>11723</v>
      </c>
    </row>
    <row r="288" spans="1:9" s="117" customFormat="1" ht="46.5" customHeight="1" x14ac:dyDescent="0.2">
      <c r="A288" s="12" t="s">
        <v>7252</v>
      </c>
      <c r="B288" s="12" t="s">
        <v>6326</v>
      </c>
      <c r="C288" s="667" t="s">
        <v>9689</v>
      </c>
      <c r="D288" s="12" t="s">
        <v>7361</v>
      </c>
      <c r="E288" s="12" t="s">
        <v>7027</v>
      </c>
      <c r="F288" s="65">
        <v>1200</v>
      </c>
      <c r="G288" s="57">
        <v>136032</v>
      </c>
      <c r="H288" s="12"/>
      <c r="I288" s="8" t="s">
        <v>11723</v>
      </c>
    </row>
    <row r="289" spans="1:9" s="117" customFormat="1" ht="46.5" customHeight="1" x14ac:dyDescent="0.2">
      <c r="A289" s="12" t="s">
        <v>7253</v>
      </c>
      <c r="B289" s="12" t="s">
        <v>6326</v>
      </c>
      <c r="C289" s="667" t="s">
        <v>9690</v>
      </c>
      <c r="D289" s="12" t="s">
        <v>6773</v>
      </c>
      <c r="E289" s="12" t="s">
        <v>7027</v>
      </c>
      <c r="F289" s="65">
        <v>1200</v>
      </c>
      <c r="G289" s="57">
        <v>136032</v>
      </c>
      <c r="H289" s="12"/>
      <c r="I289" s="8" t="s">
        <v>11723</v>
      </c>
    </row>
    <row r="290" spans="1:9" s="117" customFormat="1" ht="46.5" customHeight="1" x14ac:dyDescent="0.2">
      <c r="A290" s="12" t="s">
        <v>7254</v>
      </c>
      <c r="B290" s="12" t="s">
        <v>6326</v>
      </c>
      <c r="C290" s="667" t="s">
        <v>9691</v>
      </c>
      <c r="D290" s="12" t="s">
        <v>7368</v>
      </c>
      <c r="E290" s="12" t="s">
        <v>7027</v>
      </c>
      <c r="F290" s="65">
        <v>1200</v>
      </c>
      <c r="G290" s="57">
        <v>136032</v>
      </c>
      <c r="H290" s="12"/>
      <c r="I290" s="8" t="s">
        <v>11723</v>
      </c>
    </row>
    <row r="291" spans="1:9" s="117" customFormat="1" ht="46.5" customHeight="1" x14ac:dyDescent="0.2">
      <c r="A291" s="12" t="s">
        <v>7255</v>
      </c>
      <c r="B291" s="12" t="s">
        <v>6326</v>
      </c>
      <c r="C291" s="667" t="s">
        <v>9692</v>
      </c>
      <c r="D291" s="12" t="s">
        <v>7369</v>
      </c>
      <c r="E291" s="12" t="s">
        <v>7027</v>
      </c>
      <c r="F291" s="65">
        <v>1200</v>
      </c>
      <c r="G291" s="57">
        <v>136032</v>
      </c>
      <c r="H291" s="12"/>
      <c r="I291" s="8" t="s">
        <v>11723</v>
      </c>
    </row>
    <row r="292" spans="1:9" s="117" customFormat="1" ht="46.5" customHeight="1" x14ac:dyDescent="0.2">
      <c r="A292" s="12" t="s">
        <v>7256</v>
      </c>
      <c r="B292" s="12" t="s">
        <v>6326</v>
      </c>
      <c r="C292" s="667" t="s">
        <v>9693</v>
      </c>
      <c r="D292" s="12" t="s">
        <v>7370</v>
      </c>
      <c r="E292" s="12" t="s">
        <v>7027</v>
      </c>
      <c r="F292" s="65">
        <v>1200</v>
      </c>
      <c r="G292" s="57">
        <v>136032</v>
      </c>
      <c r="H292" s="12"/>
      <c r="I292" s="8" t="s">
        <v>11723</v>
      </c>
    </row>
    <row r="293" spans="1:9" s="117" customFormat="1" ht="46.5" customHeight="1" x14ac:dyDescent="0.2">
      <c r="A293" s="12" t="s">
        <v>7257</v>
      </c>
      <c r="B293" s="12" t="s">
        <v>6326</v>
      </c>
      <c r="C293" s="667" t="s">
        <v>9694</v>
      </c>
      <c r="D293" s="12" t="s">
        <v>7371</v>
      </c>
      <c r="E293" s="12" t="s">
        <v>7027</v>
      </c>
      <c r="F293" s="65">
        <v>1200</v>
      </c>
      <c r="G293" s="57">
        <v>136032</v>
      </c>
      <c r="H293" s="12"/>
      <c r="I293" s="8" t="s">
        <v>11723</v>
      </c>
    </row>
    <row r="294" spans="1:9" s="117" customFormat="1" ht="46.5" customHeight="1" x14ac:dyDescent="0.2">
      <c r="A294" s="12" t="s">
        <v>7258</v>
      </c>
      <c r="B294" s="12" t="s">
        <v>6326</v>
      </c>
      <c r="C294" s="667" t="s">
        <v>9695</v>
      </c>
      <c r="D294" s="12" t="s">
        <v>7373</v>
      </c>
      <c r="E294" s="12" t="s">
        <v>7027</v>
      </c>
      <c r="F294" s="65">
        <v>1200</v>
      </c>
      <c r="G294" s="57">
        <v>136032</v>
      </c>
      <c r="H294" s="12"/>
      <c r="I294" s="8" t="s">
        <v>11723</v>
      </c>
    </row>
    <row r="295" spans="1:9" s="117" customFormat="1" ht="46.5" customHeight="1" x14ac:dyDescent="0.2">
      <c r="A295" s="12" t="s">
        <v>7259</v>
      </c>
      <c r="B295" s="12" t="s">
        <v>6326</v>
      </c>
      <c r="C295" s="667" t="s">
        <v>9696</v>
      </c>
      <c r="D295" s="12" t="s">
        <v>7372</v>
      </c>
      <c r="E295" s="12" t="s">
        <v>7027</v>
      </c>
      <c r="F295" s="65">
        <v>1200</v>
      </c>
      <c r="G295" s="57">
        <v>136032</v>
      </c>
      <c r="H295" s="12"/>
      <c r="I295" s="8" t="s">
        <v>11723</v>
      </c>
    </row>
    <row r="296" spans="1:9" s="117" customFormat="1" ht="46.5" customHeight="1" x14ac:dyDescent="0.2">
      <c r="A296" s="12" t="s">
        <v>7260</v>
      </c>
      <c r="B296" s="12" t="s">
        <v>6326</v>
      </c>
      <c r="C296" s="667" t="s">
        <v>9697</v>
      </c>
      <c r="D296" s="12" t="s">
        <v>7374</v>
      </c>
      <c r="E296" s="12" t="s">
        <v>7027</v>
      </c>
      <c r="F296" s="65">
        <v>1200</v>
      </c>
      <c r="G296" s="57">
        <v>136032</v>
      </c>
      <c r="H296" s="12"/>
      <c r="I296" s="8" t="s">
        <v>11723</v>
      </c>
    </row>
    <row r="297" spans="1:9" s="117" customFormat="1" ht="46.5" customHeight="1" x14ac:dyDescent="0.2">
      <c r="A297" s="12" t="s">
        <v>7261</v>
      </c>
      <c r="B297" s="12" t="s">
        <v>6326</v>
      </c>
      <c r="C297" s="667" t="s">
        <v>9698</v>
      </c>
      <c r="D297" s="12" t="s">
        <v>7358</v>
      </c>
      <c r="E297" s="12" t="s">
        <v>7027</v>
      </c>
      <c r="F297" s="65">
        <v>1200</v>
      </c>
      <c r="G297" s="57">
        <v>136032</v>
      </c>
      <c r="H297" s="12"/>
      <c r="I297" s="8" t="s">
        <v>11723</v>
      </c>
    </row>
    <row r="298" spans="1:9" s="117" customFormat="1" ht="46.5" customHeight="1" x14ac:dyDescent="0.2">
      <c r="A298" s="12" t="s">
        <v>7262</v>
      </c>
      <c r="B298" s="12" t="s">
        <v>6326</v>
      </c>
      <c r="C298" s="667" t="s">
        <v>9699</v>
      </c>
      <c r="D298" s="12" t="s">
        <v>7375</v>
      </c>
      <c r="E298" s="12" t="s">
        <v>7027</v>
      </c>
      <c r="F298" s="65">
        <v>1200</v>
      </c>
      <c r="G298" s="57">
        <v>136032</v>
      </c>
      <c r="H298" s="12"/>
      <c r="I298" s="8" t="s">
        <v>11723</v>
      </c>
    </row>
    <row r="299" spans="1:9" s="117" customFormat="1" ht="46.5" customHeight="1" x14ac:dyDescent="0.2">
      <c r="A299" s="12" t="s">
        <v>7263</v>
      </c>
      <c r="B299" s="12" t="s">
        <v>6326</v>
      </c>
      <c r="C299" s="667" t="s">
        <v>9700</v>
      </c>
      <c r="D299" s="12" t="s">
        <v>7376</v>
      </c>
      <c r="E299" s="12" t="s">
        <v>7027</v>
      </c>
      <c r="F299" s="65">
        <v>1200</v>
      </c>
      <c r="G299" s="57">
        <v>136032</v>
      </c>
      <c r="H299" s="12"/>
      <c r="I299" s="8" t="s">
        <v>11723</v>
      </c>
    </row>
    <row r="300" spans="1:9" s="117" customFormat="1" ht="46.5" customHeight="1" x14ac:dyDescent="0.2">
      <c r="A300" s="12" t="s">
        <v>7264</v>
      </c>
      <c r="B300" s="12" t="s">
        <v>6326</v>
      </c>
      <c r="C300" s="667" t="s">
        <v>9701</v>
      </c>
      <c r="D300" s="12" t="s">
        <v>7377</v>
      </c>
      <c r="E300" s="12" t="s">
        <v>7027</v>
      </c>
      <c r="F300" s="65">
        <v>1200</v>
      </c>
      <c r="G300" s="57">
        <v>136032</v>
      </c>
      <c r="H300" s="12"/>
      <c r="I300" s="8" t="s">
        <v>11723</v>
      </c>
    </row>
    <row r="301" spans="1:9" s="117" customFormat="1" ht="46.5" customHeight="1" x14ac:dyDescent="0.2">
      <c r="A301" s="12" t="s">
        <v>7265</v>
      </c>
      <c r="B301" s="12" t="s">
        <v>6326</v>
      </c>
      <c r="C301" s="667" t="s">
        <v>9702</v>
      </c>
      <c r="D301" s="12" t="s">
        <v>7378</v>
      </c>
      <c r="E301" s="12" t="s">
        <v>7027</v>
      </c>
      <c r="F301" s="65">
        <v>1200</v>
      </c>
      <c r="G301" s="57">
        <v>136032</v>
      </c>
      <c r="H301" s="12"/>
      <c r="I301" s="8" t="s">
        <v>11723</v>
      </c>
    </row>
    <row r="302" spans="1:9" s="117" customFormat="1" ht="46.5" customHeight="1" x14ac:dyDescent="0.2">
      <c r="A302" s="12" t="s">
        <v>7266</v>
      </c>
      <c r="B302" s="12" t="s">
        <v>6326</v>
      </c>
      <c r="C302" s="667" t="s">
        <v>9703</v>
      </c>
      <c r="D302" s="12" t="s">
        <v>7379</v>
      </c>
      <c r="E302" s="12" t="s">
        <v>7027</v>
      </c>
      <c r="F302" s="65">
        <v>1200</v>
      </c>
      <c r="G302" s="57">
        <v>136032</v>
      </c>
      <c r="H302" s="12"/>
      <c r="I302" s="8" t="s">
        <v>11723</v>
      </c>
    </row>
    <row r="303" spans="1:9" s="117" customFormat="1" ht="46.5" customHeight="1" x14ac:dyDescent="0.2">
      <c r="A303" s="12" t="s">
        <v>7463</v>
      </c>
      <c r="B303" s="12" t="s">
        <v>6326</v>
      </c>
      <c r="C303" s="667" t="s">
        <v>9704</v>
      </c>
      <c r="D303" s="12" t="s">
        <v>7268</v>
      </c>
      <c r="E303" s="12" t="s">
        <v>7027</v>
      </c>
      <c r="F303" s="65">
        <v>1200</v>
      </c>
      <c r="G303" s="57">
        <v>136032</v>
      </c>
      <c r="H303" s="12"/>
      <c r="I303" s="8" t="s">
        <v>11723</v>
      </c>
    </row>
    <row r="304" spans="1:9" s="117" customFormat="1" ht="46.5" customHeight="1" x14ac:dyDescent="0.2">
      <c r="A304" s="12" t="s">
        <v>7464</v>
      </c>
      <c r="B304" s="12" t="s">
        <v>6326</v>
      </c>
      <c r="C304" s="667" t="s">
        <v>9705</v>
      </c>
      <c r="D304" s="12" t="s">
        <v>7269</v>
      </c>
      <c r="E304" s="12" t="s">
        <v>7027</v>
      </c>
      <c r="F304" s="65">
        <v>1200</v>
      </c>
      <c r="G304" s="57">
        <v>136032</v>
      </c>
      <c r="H304" s="12"/>
      <c r="I304" s="8" t="s">
        <v>11723</v>
      </c>
    </row>
    <row r="305" spans="1:9" s="117" customFormat="1" ht="46.5" customHeight="1" x14ac:dyDescent="0.2">
      <c r="A305" s="12" t="s">
        <v>7465</v>
      </c>
      <c r="B305" s="12" t="s">
        <v>6326</v>
      </c>
      <c r="C305" s="667" t="s">
        <v>9706</v>
      </c>
      <c r="D305" s="12" t="s">
        <v>7270</v>
      </c>
      <c r="E305" s="12" t="s">
        <v>7027</v>
      </c>
      <c r="F305" s="65">
        <v>1200</v>
      </c>
      <c r="G305" s="57">
        <v>136032</v>
      </c>
      <c r="H305" s="12"/>
      <c r="I305" s="8" t="s">
        <v>11723</v>
      </c>
    </row>
    <row r="306" spans="1:9" s="117" customFormat="1" ht="46.5" customHeight="1" x14ac:dyDescent="0.2">
      <c r="A306" s="12" t="s">
        <v>7466</v>
      </c>
      <c r="B306" s="12" t="s">
        <v>6326</v>
      </c>
      <c r="C306" s="667" t="s">
        <v>9707</v>
      </c>
      <c r="D306" s="12" t="s">
        <v>7271</v>
      </c>
      <c r="E306" s="12" t="s">
        <v>7027</v>
      </c>
      <c r="F306" s="65">
        <v>1200</v>
      </c>
      <c r="G306" s="57">
        <v>136032</v>
      </c>
      <c r="H306" s="12"/>
      <c r="I306" s="8" t="s">
        <v>11723</v>
      </c>
    </row>
    <row r="307" spans="1:9" s="117" customFormat="1" ht="46.5" customHeight="1" x14ac:dyDescent="0.2">
      <c r="A307" s="12" t="s">
        <v>7467</v>
      </c>
      <c r="B307" s="12" t="s">
        <v>6326</v>
      </c>
      <c r="C307" s="667" t="s">
        <v>9708</v>
      </c>
      <c r="D307" s="12" t="s">
        <v>7273</v>
      </c>
      <c r="E307" s="12" t="s">
        <v>7027</v>
      </c>
      <c r="F307" s="65">
        <v>1200</v>
      </c>
      <c r="G307" s="57">
        <v>136032</v>
      </c>
      <c r="H307" s="12"/>
      <c r="I307" s="8" t="s">
        <v>11723</v>
      </c>
    </row>
    <row r="308" spans="1:9" s="117" customFormat="1" ht="46.5" customHeight="1" x14ac:dyDescent="0.2">
      <c r="A308" s="12" t="s">
        <v>7468</v>
      </c>
      <c r="B308" s="12" t="s">
        <v>6326</v>
      </c>
      <c r="C308" s="667" t="s">
        <v>9709</v>
      </c>
      <c r="D308" s="12" t="s">
        <v>7274</v>
      </c>
      <c r="E308" s="12" t="s">
        <v>7027</v>
      </c>
      <c r="F308" s="65">
        <v>1200</v>
      </c>
      <c r="G308" s="57">
        <v>136032</v>
      </c>
      <c r="H308" s="12"/>
      <c r="I308" s="8" t="s">
        <v>11723</v>
      </c>
    </row>
    <row r="309" spans="1:9" s="117" customFormat="1" ht="46.5" customHeight="1" x14ac:dyDescent="0.2">
      <c r="A309" s="12" t="s">
        <v>7469</v>
      </c>
      <c r="B309" s="12" t="s">
        <v>6326</v>
      </c>
      <c r="C309" s="667" t="s">
        <v>9710</v>
      </c>
      <c r="D309" s="12" t="s">
        <v>7275</v>
      </c>
      <c r="E309" s="12" t="s">
        <v>7027</v>
      </c>
      <c r="F309" s="65">
        <v>1200</v>
      </c>
      <c r="G309" s="57">
        <v>136032</v>
      </c>
      <c r="H309" s="12"/>
      <c r="I309" s="8" t="s">
        <v>11723</v>
      </c>
    </row>
    <row r="310" spans="1:9" s="117" customFormat="1" ht="46.5" customHeight="1" x14ac:dyDescent="0.2">
      <c r="A310" s="12" t="s">
        <v>7470</v>
      </c>
      <c r="B310" s="12" t="s">
        <v>6326</v>
      </c>
      <c r="C310" s="667" t="s">
        <v>9711</v>
      </c>
      <c r="D310" s="12" t="s">
        <v>7276</v>
      </c>
      <c r="E310" s="12" t="s">
        <v>7027</v>
      </c>
      <c r="F310" s="65">
        <v>1200</v>
      </c>
      <c r="G310" s="57">
        <v>136032</v>
      </c>
      <c r="H310" s="12"/>
      <c r="I310" s="8" t="s">
        <v>11723</v>
      </c>
    </row>
    <row r="311" spans="1:9" s="117" customFormat="1" ht="46.5" customHeight="1" x14ac:dyDescent="0.2">
      <c r="A311" s="12" t="s">
        <v>7471</v>
      </c>
      <c r="B311" s="12" t="s">
        <v>6326</v>
      </c>
      <c r="C311" s="667" t="s">
        <v>9712</v>
      </c>
      <c r="D311" s="12" t="s">
        <v>7272</v>
      </c>
      <c r="E311" s="12" t="s">
        <v>7027</v>
      </c>
      <c r="F311" s="65">
        <v>1200</v>
      </c>
      <c r="G311" s="57">
        <v>136032</v>
      </c>
      <c r="H311" s="12"/>
      <c r="I311" s="8" t="s">
        <v>11723</v>
      </c>
    </row>
    <row r="312" spans="1:9" s="117" customFormat="1" ht="46.5" customHeight="1" x14ac:dyDescent="0.2">
      <c r="A312" s="12" t="s">
        <v>7472</v>
      </c>
      <c r="B312" s="12" t="s">
        <v>6326</v>
      </c>
      <c r="C312" s="667" t="s">
        <v>9713</v>
      </c>
      <c r="D312" s="12" t="s">
        <v>7277</v>
      </c>
      <c r="E312" s="12" t="s">
        <v>7027</v>
      </c>
      <c r="F312" s="65">
        <v>1200</v>
      </c>
      <c r="G312" s="57">
        <v>136032</v>
      </c>
      <c r="H312" s="12"/>
      <c r="I312" s="8" t="s">
        <v>11723</v>
      </c>
    </row>
    <row r="313" spans="1:9" s="117" customFormat="1" ht="46.5" customHeight="1" x14ac:dyDescent="0.2">
      <c r="A313" s="12" t="s">
        <v>7473</v>
      </c>
      <c r="B313" s="12" t="s">
        <v>6326</v>
      </c>
      <c r="C313" s="667" t="s">
        <v>9714</v>
      </c>
      <c r="D313" s="12" t="s">
        <v>7279</v>
      </c>
      <c r="E313" s="12" t="s">
        <v>7027</v>
      </c>
      <c r="F313" s="65">
        <v>1200</v>
      </c>
      <c r="G313" s="57">
        <v>136032</v>
      </c>
      <c r="H313" s="12"/>
      <c r="I313" s="8" t="s">
        <v>11723</v>
      </c>
    </row>
    <row r="314" spans="1:9" s="117" customFormat="1" ht="46.5" customHeight="1" x14ac:dyDescent="0.2">
      <c r="A314" s="12" t="s">
        <v>7474</v>
      </c>
      <c r="B314" s="12" t="s">
        <v>6326</v>
      </c>
      <c r="C314" s="667" t="s">
        <v>9715</v>
      </c>
      <c r="D314" s="12" t="s">
        <v>7280</v>
      </c>
      <c r="E314" s="12" t="s">
        <v>7027</v>
      </c>
      <c r="F314" s="65">
        <v>1200</v>
      </c>
      <c r="G314" s="57">
        <v>136032</v>
      </c>
      <c r="H314" s="12"/>
      <c r="I314" s="8" t="s">
        <v>11723</v>
      </c>
    </row>
    <row r="315" spans="1:9" s="117" customFormat="1" ht="46.5" customHeight="1" x14ac:dyDescent="0.2">
      <c r="A315" s="12" t="s">
        <v>7475</v>
      </c>
      <c r="B315" s="12" t="s">
        <v>6326</v>
      </c>
      <c r="C315" s="667" t="s">
        <v>9716</v>
      </c>
      <c r="D315" s="12" t="s">
        <v>7281</v>
      </c>
      <c r="E315" s="12" t="s">
        <v>7027</v>
      </c>
      <c r="F315" s="65">
        <v>1200</v>
      </c>
      <c r="G315" s="57">
        <v>136032</v>
      </c>
      <c r="H315" s="12"/>
      <c r="I315" s="8" t="s">
        <v>11723</v>
      </c>
    </row>
    <row r="316" spans="1:9" s="117" customFormat="1" ht="46.5" customHeight="1" x14ac:dyDescent="0.2">
      <c r="A316" s="12" t="s">
        <v>7476</v>
      </c>
      <c r="B316" s="12" t="s">
        <v>6326</v>
      </c>
      <c r="C316" s="667" t="s">
        <v>9719</v>
      </c>
      <c r="D316" s="12" t="s">
        <v>7282</v>
      </c>
      <c r="E316" s="12" t="s">
        <v>7027</v>
      </c>
      <c r="F316" s="65">
        <v>1200</v>
      </c>
      <c r="G316" s="57">
        <v>136032</v>
      </c>
      <c r="H316" s="12"/>
      <c r="I316" s="8" t="s">
        <v>11723</v>
      </c>
    </row>
    <row r="317" spans="1:9" s="117" customFormat="1" ht="46.5" customHeight="1" x14ac:dyDescent="0.2">
      <c r="A317" s="12" t="s">
        <v>7477</v>
      </c>
      <c r="B317" s="12" t="s">
        <v>6326</v>
      </c>
      <c r="C317" s="667" t="s">
        <v>9717</v>
      </c>
      <c r="D317" s="12" t="s">
        <v>7283</v>
      </c>
      <c r="E317" s="12" t="s">
        <v>7027</v>
      </c>
      <c r="F317" s="65">
        <v>1200</v>
      </c>
      <c r="G317" s="57">
        <v>136032</v>
      </c>
      <c r="H317" s="12"/>
      <c r="I317" s="8" t="s">
        <v>11723</v>
      </c>
    </row>
    <row r="318" spans="1:9" s="117" customFormat="1" ht="46.5" customHeight="1" x14ac:dyDescent="0.2">
      <c r="A318" s="12" t="s">
        <v>7478</v>
      </c>
      <c r="B318" s="12" t="s">
        <v>6326</v>
      </c>
      <c r="C318" s="667" t="s">
        <v>9718</v>
      </c>
      <c r="D318" s="12" t="s">
        <v>7284</v>
      </c>
      <c r="E318" s="12" t="s">
        <v>7027</v>
      </c>
      <c r="F318" s="65">
        <v>1200</v>
      </c>
      <c r="G318" s="57">
        <v>136032</v>
      </c>
      <c r="H318" s="12"/>
      <c r="I318" s="8" t="s">
        <v>11723</v>
      </c>
    </row>
    <row r="319" spans="1:9" s="117" customFormat="1" ht="46.5" customHeight="1" x14ac:dyDescent="0.2">
      <c r="A319" s="12" t="s">
        <v>7479</v>
      </c>
      <c r="B319" s="12" t="s">
        <v>6326</v>
      </c>
      <c r="C319" s="667" t="s">
        <v>9720</v>
      </c>
      <c r="D319" s="12" t="s">
        <v>7285</v>
      </c>
      <c r="E319" s="12" t="s">
        <v>7027</v>
      </c>
      <c r="F319" s="65">
        <v>1200</v>
      </c>
      <c r="G319" s="57">
        <v>136032</v>
      </c>
      <c r="H319" s="12"/>
      <c r="I319" s="8" t="s">
        <v>11723</v>
      </c>
    </row>
    <row r="320" spans="1:9" s="117" customFormat="1" ht="46.5" customHeight="1" x14ac:dyDescent="0.2">
      <c r="A320" s="12" t="s">
        <v>7480</v>
      </c>
      <c r="B320" s="12" t="s">
        <v>6326</v>
      </c>
      <c r="C320" s="667" t="s">
        <v>9721</v>
      </c>
      <c r="D320" s="12" t="s">
        <v>7286</v>
      </c>
      <c r="E320" s="12" t="s">
        <v>7027</v>
      </c>
      <c r="F320" s="65">
        <v>1200</v>
      </c>
      <c r="G320" s="57">
        <v>136032</v>
      </c>
      <c r="H320" s="12"/>
      <c r="I320" s="8" t="s">
        <v>11723</v>
      </c>
    </row>
    <row r="321" spans="1:9" s="117" customFormat="1" ht="46.5" customHeight="1" x14ac:dyDescent="0.2">
      <c r="A321" s="12" t="s">
        <v>7481</v>
      </c>
      <c r="B321" s="12" t="s">
        <v>6326</v>
      </c>
      <c r="C321" s="667" t="s">
        <v>9722</v>
      </c>
      <c r="D321" s="12" t="s">
        <v>7287</v>
      </c>
      <c r="E321" s="12" t="s">
        <v>7027</v>
      </c>
      <c r="F321" s="65">
        <v>1200</v>
      </c>
      <c r="G321" s="57">
        <v>136032</v>
      </c>
      <c r="H321" s="12"/>
      <c r="I321" s="8" t="s">
        <v>11723</v>
      </c>
    </row>
    <row r="322" spans="1:9" s="117" customFormat="1" ht="46.5" customHeight="1" x14ac:dyDescent="0.2">
      <c r="A322" s="12" t="s">
        <v>7482</v>
      </c>
      <c r="B322" s="12" t="s">
        <v>6326</v>
      </c>
      <c r="C322" s="667" t="s">
        <v>9723</v>
      </c>
      <c r="D322" s="12" t="s">
        <v>7288</v>
      </c>
      <c r="E322" s="12" t="s">
        <v>7027</v>
      </c>
      <c r="F322" s="65">
        <v>1200</v>
      </c>
      <c r="G322" s="57">
        <v>136032</v>
      </c>
      <c r="H322" s="12"/>
      <c r="I322" s="8" t="s">
        <v>11723</v>
      </c>
    </row>
    <row r="323" spans="1:9" s="117" customFormat="1" ht="46.5" customHeight="1" x14ac:dyDescent="0.2">
      <c r="A323" s="12" t="s">
        <v>7483</v>
      </c>
      <c r="B323" s="12" t="s">
        <v>6326</v>
      </c>
      <c r="C323" s="667" t="s">
        <v>9724</v>
      </c>
      <c r="D323" s="12" t="s">
        <v>7289</v>
      </c>
      <c r="E323" s="12" t="s">
        <v>7027</v>
      </c>
      <c r="F323" s="65">
        <v>1200</v>
      </c>
      <c r="G323" s="57">
        <v>136032</v>
      </c>
      <c r="H323" s="12"/>
      <c r="I323" s="8" t="s">
        <v>11723</v>
      </c>
    </row>
    <row r="324" spans="1:9" s="117" customFormat="1" ht="46.5" customHeight="1" x14ac:dyDescent="0.2">
      <c r="A324" s="12" t="s">
        <v>7484</v>
      </c>
      <c r="B324" s="12" t="s">
        <v>6326</v>
      </c>
      <c r="C324" s="667" t="s">
        <v>9725</v>
      </c>
      <c r="D324" s="12" t="s">
        <v>7290</v>
      </c>
      <c r="E324" s="12" t="s">
        <v>7027</v>
      </c>
      <c r="F324" s="65">
        <v>1200</v>
      </c>
      <c r="G324" s="57">
        <v>136032</v>
      </c>
      <c r="H324" s="12"/>
      <c r="I324" s="8" t="s">
        <v>11723</v>
      </c>
    </row>
    <row r="325" spans="1:9" s="117" customFormat="1" ht="46.5" customHeight="1" x14ac:dyDescent="0.2">
      <c r="A325" s="12" t="s">
        <v>7485</v>
      </c>
      <c r="B325" s="12" t="s">
        <v>6326</v>
      </c>
      <c r="C325" s="667" t="s">
        <v>9726</v>
      </c>
      <c r="D325" s="12" t="s">
        <v>7291</v>
      </c>
      <c r="E325" s="12" t="s">
        <v>7027</v>
      </c>
      <c r="F325" s="65">
        <v>1200</v>
      </c>
      <c r="G325" s="57">
        <v>136032</v>
      </c>
      <c r="H325" s="12"/>
      <c r="I325" s="8" t="s">
        <v>11723</v>
      </c>
    </row>
    <row r="326" spans="1:9" s="117" customFormat="1" ht="46.5" customHeight="1" x14ac:dyDescent="0.2">
      <c r="A326" s="12" t="s">
        <v>7486</v>
      </c>
      <c r="B326" s="12" t="s">
        <v>6326</v>
      </c>
      <c r="C326" s="667" t="s">
        <v>9727</v>
      </c>
      <c r="D326" s="12" t="s">
        <v>7278</v>
      </c>
      <c r="E326" s="12" t="s">
        <v>7027</v>
      </c>
      <c r="F326" s="65">
        <v>1200</v>
      </c>
      <c r="G326" s="57">
        <v>136032</v>
      </c>
      <c r="H326" s="12"/>
      <c r="I326" s="8" t="s">
        <v>11723</v>
      </c>
    </row>
    <row r="327" spans="1:9" s="117" customFormat="1" ht="46.5" customHeight="1" x14ac:dyDescent="0.2">
      <c r="A327" s="12" t="s">
        <v>7487</v>
      </c>
      <c r="B327" s="12" t="s">
        <v>6326</v>
      </c>
      <c r="C327" s="667" t="s">
        <v>9728</v>
      </c>
      <c r="D327" s="12" t="s">
        <v>7292</v>
      </c>
      <c r="E327" s="12" t="s">
        <v>7027</v>
      </c>
      <c r="F327" s="65">
        <v>1200</v>
      </c>
      <c r="G327" s="57">
        <v>136032</v>
      </c>
      <c r="H327" s="12"/>
      <c r="I327" s="8" t="s">
        <v>11723</v>
      </c>
    </row>
    <row r="328" spans="1:9" s="117" customFormat="1" ht="46.5" customHeight="1" x14ac:dyDescent="0.2">
      <c r="A328" s="12" t="s">
        <v>7488</v>
      </c>
      <c r="B328" s="12" t="s">
        <v>6326</v>
      </c>
      <c r="C328" s="667" t="s">
        <v>9729</v>
      </c>
      <c r="D328" s="12" t="s">
        <v>7293</v>
      </c>
      <c r="E328" s="12" t="s">
        <v>7027</v>
      </c>
      <c r="F328" s="65">
        <v>1200</v>
      </c>
      <c r="G328" s="57">
        <v>136032</v>
      </c>
      <c r="H328" s="12"/>
      <c r="I328" s="8" t="s">
        <v>11723</v>
      </c>
    </row>
    <row r="329" spans="1:9" s="117" customFormat="1" ht="46.5" customHeight="1" x14ac:dyDescent="0.2">
      <c r="A329" s="12" t="s">
        <v>7489</v>
      </c>
      <c r="B329" s="12" t="s">
        <v>6326</v>
      </c>
      <c r="C329" s="667" t="s">
        <v>9730</v>
      </c>
      <c r="D329" s="12" t="s">
        <v>7431</v>
      </c>
      <c r="E329" s="12" t="s">
        <v>7027</v>
      </c>
      <c r="F329" s="65">
        <v>1200</v>
      </c>
      <c r="G329" s="57">
        <v>136032</v>
      </c>
      <c r="H329" s="12"/>
      <c r="I329" s="8" t="s">
        <v>11723</v>
      </c>
    </row>
    <row r="330" spans="1:9" s="117" customFormat="1" ht="46.5" customHeight="1" x14ac:dyDescent="0.2">
      <c r="A330" s="12" t="s">
        <v>7490</v>
      </c>
      <c r="B330" s="12" t="s">
        <v>6326</v>
      </c>
      <c r="C330" s="667" t="s">
        <v>9731</v>
      </c>
      <c r="D330" s="12" t="s">
        <v>7432</v>
      </c>
      <c r="E330" s="12" t="s">
        <v>7027</v>
      </c>
      <c r="F330" s="65">
        <v>1200</v>
      </c>
      <c r="G330" s="57">
        <v>136032</v>
      </c>
      <c r="H330" s="12"/>
      <c r="I330" s="8" t="s">
        <v>11723</v>
      </c>
    </row>
    <row r="331" spans="1:9" s="117" customFormat="1" ht="46.5" customHeight="1" x14ac:dyDescent="0.2">
      <c r="A331" s="12" t="s">
        <v>7491</v>
      </c>
      <c r="B331" s="12" t="s">
        <v>6326</v>
      </c>
      <c r="C331" s="667" t="s">
        <v>9732</v>
      </c>
      <c r="D331" s="12" t="s">
        <v>7433</v>
      </c>
      <c r="E331" s="12" t="s">
        <v>7027</v>
      </c>
      <c r="F331" s="65">
        <v>1200</v>
      </c>
      <c r="G331" s="57">
        <v>136032</v>
      </c>
      <c r="H331" s="12"/>
      <c r="I331" s="8" t="s">
        <v>11723</v>
      </c>
    </row>
    <row r="332" spans="1:9" s="117" customFormat="1" ht="46.5" customHeight="1" x14ac:dyDescent="0.2">
      <c r="A332" s="12" t="s">
        <v>7492</v>
      </c>
      <c r="B332" s="12" t="s">
        <v>6326</v>
      </c>
      <c r="C332" s="667" t="s">
        <v>9733</v>
      </c>
      <c r="D332" s="12" t="s">
        <v>7434</v>
      </c>
      <c r="E332" s="12" t="s">
        <v>7027</v>
      </c>
      <c r="F332" s="65">
        <v>1200</v>
      </c>
      <c r="G332" s="57">
        <v>136032</v>
      </c>
      <c r="H332" s="12"/>
      <c r="I332" s="8" t="s">
        <v>11723</v>
      </c>
    </row>
    <row r="333" spans="1:9" s="117" customFormat="1" ht="46.5" customHeight="1" x14ac:dyDescent="0.2">
      <c r="A333" s="12" t="s">
        <v>7493</v>
      </c>
      <c r="B333" s="12" t="s">
        <v>6326</v>
      </c>
      <c r="C333" s="667" t="s">
        <v>9734</v>
      </c>
      <c r="D333" s="12" t="s">
        <v>7435</v>
      </c>
      <c r="E333" s="12" t="s">
        <v>7027</v>
      </c>
      <c r="F333" s="65">
        <v>1200</v>
      </c>
      <c r="G333" s="57">
        <v>136032</v>
      </c>
      <c r="H333" s="12"/>
      <c r="I333" s="8" t="s">
        <v>11723</v>
      </c>
    </row>
    <row r="334" spans="1:9" s="117" customFormat="1" ht="46.5" customHeight="1" x14ac:dyDescent="0.2">
      <c r="A334" s="12" t="s">
        <v>7494</v>
      </c>
      <c r="B334" s="12" t="s">
        <v>6326</v>
      </c>
      <c r="C334" s="667" t="s">
        <v>9735</v>
      </c>
      <c r="D334" s="12" t="s">
        <v>7437</v>
      </c>
      <c r="E334" s="12" t="s">
        <v>7027</v>
      </c>
      <c r="F334" s="65">
        <v>1200</v>
      </c>
      <c r="G334" s="57">
        <v>136032</v>
      </c>
      <c r="H334" s="12"/>
      <c r="I334" s="8" t="s">
        <v>11723</v>
      </c>
    </row>
    <row r="335" spans="1:9" s="117" customFormat="1" ht="46.5" customHeight="1" x14ac:dyDescent="0.2">
      <c r="A335" s="12" t="s">
        <v>7495</v>
      </c>
      <c r="B335" s="12" t="s">
        <v>6326</v>
      </c>
      <c r="C335" s="667" t="s">
        <v>9736</v>
      </c>
      <c r="D335" s="12" t="s">
        <v>7436</v>
      </c>
      <c r="E335" s="12" t="s">
        <v>7027</v>
      </c>
      <c r="F335" s="65">
        <v>1200</v>
      </c>
      <c r="G335" s="57">
        <v>136032</v>
      </c>
      <c r="H335" s="12"/>
      <c r="I335" s="8" t="s">
        <v>11723</v>
      </c>
    </row>
    <row r="336" spans="1:9" s="117" customFormat="1" ht="46.5" customHeight="1" x14ac:dyDescent="0.2">
      <c r="A336" s="12" t="s">
        <v>7496</v>
      </c>
      <c r="B336" s="12" t="s">
        <v>6326</v>
      </c>
      <c r="C336" s="667" t="s">
        <v>9737</v>
      </c>
      <c r="D336" s="12" t="s">
        <v>7439</v>
      </c>
      <c r="E336" s="12" t="s">
        <v>7027</v>
      </c>
      <c r="F336" s="65">
        <v>1200</v>
      </c>
      <c r="G336" s="57">
        <v>136032</v>
      </c>
      <c r="H336" s="12"/>
      <c r="I336" s="8" t="s">
        <v>11723</v>
      </c>
    </row>
    <row r="337" spans="1:9" s="117" customFormat="1" ht="46.5" customHeight="1" x14ac:dyDescent="0.2">
      <c r="A337" s="12" t="s">
        <v>7497</v>
      </c>
      <c r="B337" s="12" t="s">
        <v>6326</v>
      </c>
      <c r="C337" s="667" t="s">
        <v>9738</v>
      </c>
      <c r="D337" s="12" t="s">
        <v>7438</v>
      </c>
      <c r="E337" s="12" t="s">
        <v>7027</v>
      </c>
      <c r="F337" s="65">
        <v>1200</v>
      </c>
      <c r="G337" s="57">
        <v>136032</v>
      </c>
      <c r="H337" s="12"/>
      <c r="I337" s="8" t="s">
        <v>11723</v>
      </c>
    </row>
    <row r="338" spans="1:9" s="117" customFormat="1" ht="46.5" customHeight="1" x14ac:dyDescent="0.2">
      <c r="A338" s="12" t="s">
        <v>7498</v>
      </c>
      <c r="B338" s="12" t="s">
        <v>6326</v>
      </c>
      <c r="C338" s="667" t="s">
        <v>9739</v>
      </c>
      <c r="D338" s="12" t="s">
        <v>7440</v>
      </c>
      <c r="E338" s="12" t="s">
        <v>7027</v>
      </c>
      <c r="F338" s="65">
        <v>1200</v>
      </c>
      <c r="G338" s="57">
        <v>136032</v>
      </c>
      <c r="H338" s="12"/>
      <c r="I338" s="8" t="s">
        <v>11723</v>
      </c>
    </row>
    <row r="339" spans="1:9" s="117" customFormat="1" ht="46.5" customHeight="1" x14ac:dyDescent="0.2">
      <c r="A339" s="12" t="s">
        <v>7499</v>
      </c>
      <c r="B339" s="12" t="s">
        <v>6326</v>
      </c>
      <c r="C339" s="667" t="s">
        <v>9740</v>
      </c>
      <c r="D339" s="12" t="s">
        <v>7444</v>
      </c>
      <c r="E339" s="12" t="s">
        <v>7027</v>
      </c>
      <c r="F339" s="65">
        <v>1200</v>
      </c>
      <c r="G339" s="57">
        <v>136032</v>
      </c>
      <c r="H339" s="12"/>
      <c r="I339" s="8" t="s">
        <v>11723</v>
      </c>
    </row>
    <row r="340" spans="1:9" s="117" customFormat="1" ht="46.5" customHeight="1" x14ac:dyDescent="0.2">
      <c r="A340" s="12" t="s">
        <v>7500</v>
      </c>
      <c r="B340" s="12" t="s">
        <v>6326</v>
      </c>
      <c r="C340" s="667" t="s">
        <v>9741</v>
      </c>
      <c r="D340" s="12" t="s">
        <v>7445</v>
      </c>
      <c r="E340" s="12" t="s">
        <v>7027</v>
      </c>
      <c r="F340" s="65">
        <v>1200</v>
      </c>
      <c r="G340" s="57">
        <v>136032</v>
      </c>
      <c r="H340" s="12"/>
      <c r="I340" s="8" t="s">
        <v>11723</v>
      </c>
    </row>
    <row r="341" spans="1:9" s="117" customFormat="1" ht="46.5" customHeight="1" x14ac:dyDescent="0.2">
      <c r="A341" s="12" t="s">
        <v>7501</v>
      </c>
      <c r="B341" s="12" t="s">
        <v>6326</v>
      </c>
      <c r="C341" s="667" t="s">
        <v>9742</v>
      </c>
      <c r="D341" s="12" t="s">
        <v>7446</v>
      </c>
      <c r="E341" s="12" t="s">
        <v>7027</v>
      </c>
      <c r="F341" s="65">
        <v>1200</v>
      </c>
      <c r="G341" s="57">
        <v>136032</v>
      </c>
      <c r="H341" s="12"/>
      <c r="I341" s="8" t="s">
        <v>11723</v>
      </c>
    </row>
    <row r="342" spans="1:9" s="117" customFormat="1" ht="46.5" customHeight="1" x14ac:dyDescent="0.2">
      <c r="A342" s="12" t="s">
        <v>7502</v>
      </c>
      <c r="B342" s="12" t="s">
        <v>6326</v>
      </c>
      <c r="C342" s="667" t="s">
        <v>9743</v>
      </c>
      <c r="D342" s="12" t="s">
        <v>7447</v>
      </c>
      <c r="E342" s="12" t="s">
        <v>7027</v>
      </c>
      <c r="F342" s="65">
        <v>1200</v>
      </c>
      <c r="G342" s="57">
        <v>136032</v>
      </c>
      <c r="H342" s="12"/>
      <c r="I342" s="8" t="s">
        <v>11723</v>
      </c>
    </row>
    <row r="343" spans="1:9" s="117" customFormat="1" ht="46.5" customHeight="1" x14ac:dyDescent="0.2">
      <c r="A343" s="12" t="s">
        <v>7503</v>
      </c>
      <c r="B343" s="12" t="s">
        <v>6326</v>
      </c>
      <c r="C343" s="667" t="s">
        <v>9744</v>
      </c>
      <c r="D343" s="12" t="s">
        <v>7448</v>
      </c>
      <c r="E343" s="12" t="s">
        <v>7027</v>
      </c>
      <c r="F343" s="65">
        <v>1200</v>
      </c>
      <c r="G343" s="57">
        <v>136032</v>
      </c>
      <c r="H343" s="12"/>
      <c r="I343" s="8" t="s">
        <v>11723</v>
      </c>
    </row>
    <row r="344" spans="1:9" s="117" customFormat="1" ht="46.5" customHeight="1" x14ac:dyDescent="0.2">
      <c r="A344" s="12" t="s">
        <v>7504</v>
      </c>
      <c r="B344" s="12" t="s">
        <v>6326</v>
      </c>
      <c r="C344" s="667" t="s">
        <v>9745</v>
      </c>
      <c r="D344" s="12" t="s">
        <v>7449</v>
      </c>
      <c r="E344" s="12" t="s">
        <v>7027</v>
      </c>
      <c r="F344" s="65">
        <v>1200</v>
      </c>
      <c r="G344" s="57">
        <v>136032</v>
      </c>
      <c r="H344" s="12"/>
      <c r="I344" s="8" t="s">
        <v>11723</v>
      </c>
    </row>
    <row r="345" spans="1:9" s="117" customFormat="1" ht="46.5" customHeight="1" x14ac:dyDescent="0.2">
      <c r="A345" s="12" t="s">
        <v>7505</v>
      </c>
      <c r="B345" s="12" t="s">
        <v>6326</v>
      </c>
      <c r="C345" s="667" t="s">
        <v>9746</v>
      </c>
      <c r="D345" s="12" t="s">
        <v>7450</v>
      </c>
      <c r="E345" s="12" t="s">
        <v>7027</v>
      </c>
      <c r="F345" s="65">
        <v>1200</v>
      </c>
      <c r="G345" s="57">
        <v>136032</v>
      </c>
      <c r="H345" s="12"/>
      <c r="I345" s="8" t="s">
        <v>11723</v>
      </c>
    </row>
    <row r="346" spans="1:9" s="117" customFormat="1" ht="46.5" customHeight="1" x14ac:dyDescent="0.2">
      <c r="A346" s="12" t="s">
        <v>7506</v>
      </c>
      <c r="B346" s="12" t="s">
        <v>6326</v>
      </c>
      <c r="C346" s="667" t="s">
        <v>9747</v>
      </c>
      <c r="D346" s="12" t="s">
        <v>7451</v>
      </c>
      <c r="E346" s="12" t="s">
        <v>7027</v>
      </c>
      <c r="F346" s="65">
        <v>1200</v>
      </c>
      <c r="G346" s="57">
        <v>136032</v>
      </c>
      <c r="H346" s="12"/>
      <c r="I346" s="8" t="s">
        <v>11723</v>
      </c>
    </row>
    <row r="347" spans="1:9" s="117" customFormat="1" ht="46.5" customHeight="1" x14ac:dyDescent="0.2">
      <c r="A347" s="12" t="s">
        <v>7299</v>
      </c>
      <c r="B347" s="12" t="s">
        <v>6326</v>
      </c>
      <c r="C347" s="667" t="s">
        <v>9748</v>
      </c>
      <c r="D347" s="12" t="s">
        <v>7452</v>
      </c>
      <c r="E347" s="12" t="s">
        <v>7027</v>
      </c>
      <c r="F347" s="65">
        <v>1200</v>
      </c>
      <c r="G347" s="57">
        <v>136032</v>
      </c>
      <c r="H347" s="12"/>
      <c r="I347" s="8" t="s">
        <v>11723</v>
      </c>
    </row>
    <row r="348" spans="1:9" s="117" customFormat="1" ht="46.5" customHeight="1" x14ac:dyDescent="0.2">
      <c r="A348" s="12" t="s">
        <v>7300</v>
      </c>
      <c r="B348" s="12" t="s">
        <v>6326</v>
      </c>
      <c r="C348" s="667" t="s">
        <v>9749</v>
      </c>
      <c r="D348" s="12" t="s">
        <v>7453</v>
      </c>
      <c r="E348" s="12" t="s">
        <v>7027</v>
      </c>
      <c r="F348" s="65">
        <v>1200</v>
      </c>
      <c r="G348" s="57">
        <v>136032</v>
      </c>
      <c r="H348" s="12"/>
      <c r="I348" s="8" t="s">
        <v>11723</v>
      </c>
    </row>
    <row r="349" spans="1:9" s="117" customFormat="1" ht="46.5" customHeight="1" x14ac:dyDescent="0.2">
      <c r="A349" s="12" t="s">
        <v>7301</v>
      </c>
      <c r="B349" s="12" t="s">
        <v>6326</v>
      </c>
      <c r="C349" s="667" t="s">
        <v>9750</v>
      </c>
      <c r="D349" s="12" t="s">
        <v>7454</v>
      </c>
      <c r="E349" s="12" t="s">
        <v>7027</v>
      </c>
      <c r="F349" s="65">
        <v>1200</v>
      </c>
      <c r="G349" s="57">
        <v>136032</v>
      </c>
      <c r="H349" s="12"/>
      <c r="I349" s="8" t="s">
        <v>11723</v>
      </c>
    </row>
    <row r="350" spans="1:9" s="117" customFormat="1" ht="46.5" customHeight="1" x14ac:dyDescent="0.2">
      <c r="A350" s="12" t="s">
        <v>7302</v>
      </c>
      <c r="B350" s="12" t="s">
        <v>6326</v>
      </c>
      <c r="C350" s="667" t="s">
        <v>9751</v>
      </c>
      <c r="D350" s="12" t="s">
        <v>7455</v>
      </c>
      <c r="E350" s="12" t="s">
        <v>7027</v>
      </c>
      <c r="F350" s="65">
        <v>1200</v>
      </c>
      <c r="G350" s="57">
        <v>136032</v>
      </c>
      <c r="H350" s="12"/>
      <c r="I350" s="8" t="s">
        <v>11723</v>
      </c>
    </row>
    <row r="351" spans="1:9" s="117" customFormat="1" ht="46.5" customHeight="1" x14ac:dyDescent="0.2">
      <c r="A351" s="12" t="s">
        <v>7303</v>
      </c>
      <c r="B351" s="12" t="s">
        <v>6326</v>
      </c>
      <c r="C351" s="667" t="s">
        <v>9752</v>
      </c>
      <c r="D351" s="12" t="s">
        <v>7456</v>
      </c>
      <c r="E351" s="12" t="s">
        <v>7027</v>
      </c>
      <c r="F351" s="65">
        <v>1200</v>
      </c>
      <c r="G351" s="57">
        <v>136032</v>
      </c>
      <c r="H351" s="12"/>
      <c r="I351" s="8" t="s">
        <v>11723</v>
      </c>
    </row>
    <row r="352" spans="1:9" s="117" customFormat="1" ht="46.5" customHeight="1" x14ac:dyDescent="0.2">
      <c r="A352" s="12" t="s">
        <v>7304</v>
      </c>
      <c r="B352" s="12" t="s">
        <v>6326</v>
      </c>
      <c r="C352" s="667" t="s">
        <v>9753</v>
      </c>
      <c r="D352" s="12" t="s">
        <v>7457</v>
      </c>
      <c r="E352" s="12" t="s">
        <v>7027</v>
      </c>
      <c r="F352" s="65">
        <v>1200</v>
      </c>
      <c r="G352" s="57">
        <v>136032</v>
      </c>
      <c r="H352" s="12"/>
      <c r="I352" s="8" t="s">
        <v>11723</v>
      </c>
    </row>
    <row r="353" spans="1:9" s="117" customFormat="1" ht="46.5" customHeight="1" x14ac:dyDescent="0.2">
      <c r="A353" s="12" t="s">
        <v>7305</v>
      </c>
      <c r="B353" s="12" t="s">
        <v>6326</v>
      </c>
      <c r="C353" s="667" t="s">
        <v>9754</v>
      </c>
      <c r="D353" s="12" t="s">
        <v>7458</v>
      </c>
      <c r="E353" s="12" t="s">
        <v>7027</v>
      </c>
      <c r="F353" s="65">
        <v>1200</v>
      </c>
      <c r="G353" s="57">
        <v>136032</v>
      </c>
      <c r="H353" s="12"/>
      <c r="I353" s="8" t="s">
        <v>11723</v>
      </c>
    </row>
    <row r="354" spans="1:9" s="117" customFormat="1" ht="46.5" customHeight="1" x14ac:dyDescent="0.2">
      <c r="A354" s="12" t="s">
        <v>7306</v>
      </c>
      <c r="B354" s="12" t="s">
        <v>6326</v>
      </c>
      <c r="C354" s="667" t="s">
        <v>9755</v>
      </c>
      <c r="D354" s="12" t="s">
        <v>7459</v>
      </c>
      <c r="E354" s="12" t="s">
        <v>7027</v>
      </c>
      <c r="F354" s="65">
        <v>1200</v>
      </c>
      <c r="G354" s="57">
        <v>136032</v>
      </c>
      <c r="H354" s="12"/>
      <c r="I354" s="8" t="s">
        <v>11723</v>
      </c>
    </row>
    <row r="355" spans="1:9" s="117" customFormat="1" ht="46.5" customHeight="1" x14ac:dyDescent="0.2">
      <c r="A355" s="12" t="s">
        <v>7307</v>
      </c>
      <c r="B355" s="12" t="s">
        <v>6326</v>
      </c>
      <c r="C355" s="667" t="s">
        <v>9756</v>
      </c>
      <c r="D355" s="12" t="s">
        <v>7460</v>
      </c>
      <c r="E355" s="12" t="s">
        <v>7027</v>
      </c>
      <c r="F355" s="65">
        <v>1200</v>
      </c>
      <c r="G355" s="57">
        <v>136032</v>
      </c>
      <c r="H355" s="12"/>
      <c r="I355" s="8" t="s">
        <v>11723</v>
      </c>
    </row>
    <row r="356" spans="1:9" s="117" customFormat="1" ht="46.5" customHeight="1" x14ac:dyDescent="0.2">
      <c r="A356" s="12" t="s">
        <v>7308</v>
      </c>
      <c r="B356" s="12" t="s">
        <v>6326</v>
      </c>
      <c r="C356" s="667" t="s">
        <v>9757</v>
      </c>
      <c r="D356" s="12" t="s">
        <v>7461</v>
      </c>
      <c r="E356" s="12" t="s">
        <v>7027</v>
      </c>
      <c r="F356" s="65">
        <v>1200</v>
      </c>
      <c r="G356" s="57">
        <v>136032</v>
      </c>
      <c r="H356" s="12"/>
      <c r="I356" s="8" t="s">
        <v>11723</v>
      </c>
    </row>
    <row r="357" spans="1:9" s="117" customFormat="1" ht="46.5" customHeight="1" x14ac:dyDescent="0.2">
      <c r="A357" s="12" t="s">
        <v>7309</v>
      </c>
      <c r="B357" s="12" t="s">
        <v>6326</v>
      </c>
      <c r="C357" s="667" t="s">
        <v>9758</v>
      </c>
      <c r="D357" s="12" t="s">
        <v>7462</v>
      </c>
      <c r="E357" s="12" t="s">
        <v>7027</v>
      </c>
      <c r="F357" s="65">
        <v>1200</v>
      </c>
      <c r="G357" s="57">
        <v>136032</v>
      </c>
      <c r="H357" s="12"/>
      <c r="I357" s="8" t="s">
        <v>11723</v>
      </c>
    </row>
    <row r="358" spans="1:9" s="117" customFormat="1" ht="46.5" customHeight="1" x14ac:dyDescent="0.2">
      <c r="A358" s="12" t="s">
        <v>7310</v>
      </c>
      <c r="B358" s="12" t="s">
        <v>6326</v>
      </c>
      <c r="C358" s="667" t="s">
        <v>9759</v>
      </c>
      <c r="D358" s="12" t="s">
        <v>7507</v>
      </c>
      <c r="E358" s="12" t="s">
        <v>7027</v>
      </c>
      <c r="F358" s="65">
        <v>1200</v>
      </c>
      <c r="G358" s="57">
        <v>136032</v>
      </c>
      <c r="H358" s="12"/>
      <c r="I358" s="8" t="s">
        <v>11723</v>
      </c>
    </row>
    <row r="359" spans="1:9" s="117" customFormat="1" ht="46.5" customHeight="1" x14ac:dyDescent="0.2">
      <c r="A359" s="12" t="s">
        <v>7311</v>
      </c>
      <c r="B359" s="12" t="s">
        <v>6326</v>
      </c>
      <c r="C359" s="667" t="s">
        <v>9760</v>
      </c>
      <c r="D359" s="12" t="s">
        <v>7508</v>
      </c>
      <c r="E359" s="12" t="s">
        <v>7027</v>
      </c>
      <c r="F359" s="65">
        <v>1200</v>
      </c>
      <c r="G359" s="57">
        <v>136032</v>
      </c>
      <c r="H359" s="12"/>
      <c r="I359" s="8" t="s">
        <v>11723</v>
      </c>
    </row>
    <row r="360" spans="1:9" s="117" customFormat="1" ht="46.5" customHeight="1" x14ac:dyDescent="0.2">
      <c r="A360" s="12" t="s">
        <v>7312</v>
      </c>
      <c r="B360" s="12" t="s">
        <v>6326</v>
      </c>
      <c r="C360" s="667" t="s">
        <v>9761</v>
      </c>
      <c r="D360" s="12" t="s">
        <v>7509</v>
      </c>
      <c r="E360" s="12" t="s">
        <v>7027</v>
      </c>
      <c r="F360" s="65">
        <v>1200</v>
      </c>
      <c r="G360" s="57">
        <v>136032</v>
      </c>
      <c r="H360" s="12"/>
      <c r="I360" s="8" t="s">
        <v>11723</v>
      </c>
    </row>
    <row r="361" spans="1:9" s="117" customFormat="1" ht="46.5" customHeight="1" x14ac:dyDescent="0.2">
      <c r="A361" s="12" t="s">
        <v>7313</v>
      </c>
      <c r="B361" s="12" t="s">
        <v>6326</v>
      </c>
      <c r="C361" s="667" t="s">
        <v>9762</v>
      </c>
      <c r="D361" s="12" t="s">
        <v>7510</v>
      </c>
      <c r="E361" s="12" t="s">
        <v>7027</v>
      </c>
      <c r="F361" s="65">
        <v>1200</v>
      </c>
      <c r="G361" s="57">
        <v>136032</v>
      </c>
      <c r="H361" s="12"/>
      <c r="I361" s="8" t="s">
        <v>11723</v>
      </c>
    </row>
    <row r="362" spans="1:9" s="117" customFormat="1" ht="46.5" customHeight="1" x14ac:dyDescent="0.2">
      <c r="A362" s="12" t="s">
        <v>7314</v>
      </c>
      <c r="B362" s="12" t="s">
        <v>6326</v>
      </c>
      <c r="C362" s="667" t="s">
        <v>9763</v>
      </c>
      <c r="D362" s="12" t="s">
        <v>7511</v>
      </c>
      <c r="E362" s="12" t="s">
        <v>7027</v>
      </c>
      <c r="F362" s="65">
        <v>1200</v>
      </c>
      <c r="G362" s="57">
        <v>136032</v>
      </c>
      <c r="H362" s="12"/>
      <c r="I362" s="8" t="s">
        <v>11723</v>
      </c>
    </row>
    <row r="363" spans="1:9" s="117" customFormat="1" ht="46.5" customHeight="1" x14ac:dyDescent="0.2">
      <c r="A363" s="12" t="s">
        <v>7315</v>
      </c>
      <c r="B363" s="12" t="s">
        <v>6326</v>
      </c>
      <c r="C363" s="667" t="s">
        <v>9764</v>
      </c>
      <c r="D363" s="12" t="s">
        <v>7512</v>
      </c>
      <c r="E363" s="12" t="s">
        <v>7027</v>
      </c>
      <c r="F363" s="65">
        <v>1200</v>
      </c>
      <c r="G363" s="57">
        <v>136032</v>
      </c>
      <c r="H363" s="12"/>
      <c r="I363" s="8" t="s">
        <v>11723</v>
      </c>
    </row>
    <row r="364" spans="1:9" s="117" customFormat="1" ht="46.5" customHeight="1" x14ac:dyDescent="0.2">
      <c r="A364" s="12" t="s">
        <v>7316</v>
      </c>
      <c r="B364" s="12" t="s">
        <v>6326</v>
      </c>
      <c r="C364" s="667" t="s">
        <v>9765</v>
      </c>
      <c r="D364" s="12" t="s">
        <v>7513</v>
      </c>
      <c r="E364" s="12" t="s">
        <v>7027</v>
      </c>
      <c r="F364" s="65">
        <v>1200</v>
      </c>
      <c r="G364" s="57">
        <v>136032</v>
      </c>
      <c r="H364" s="12"/>
      <c r="I364" s="8" t="s">
        <v>11723</v>
      </c>
    </row>
    <row r="365" spans="1:9" s="117" customFormat="1" ht="46.5" customHeight="1" x14ac:dyDescent="0.2">
      <c r="A365" s="12" t="s">
        <v>7317</v>
      </c>
      <c r="B365" s="12" t="s">
        <v>6326</v>
      </c>
      <c r="C365" s="667" t="s">
        <v>9766</v>
      </c>
      <c r="D365" s="12" t="s">
        <v>7514</v>
      </c>
      <c r="E365" s="12" t="s">
        <v>7027</v>
      </c>
      <c r="F365" s="65">
        <v>1200</v>
      </c>
      <c r="G365" s="57">
        <v>136032</v>
      </c>
      <c r="H365" s="12"/>
      <c r="I365" s="8" t="s">
        <v>11723</v>
      </c>
    </row>
    <row r="366" spans="1:9" s="117" customFormat="1" ht="46.5" customHeight="1" x14ac:dyDescent="0.2">
      <c r="A366" s="12" t="s">
        <v>7318</v>
      </c>
      <c r="B366" s="12" t="s">
        <v>6326</v>
      </c>
      <c r="C366" s="667" t="s">
        <v>9767</v>
      </c>
      <c r="D366" s="12" t="s">
        <v>7515</v>
      </c>
      <c r="E366" s="12" t="s">
        <v>7027</v>
      </c>
      <c r="F366" s="65">
        <v>1200</v>
      </c>
      <c r="G366" s="57">
        <v>136032</v>
      </c>
      <c r="H366" s="12"/>
      <c r="I366" s="8" t="s">
        <v>11723</v>
      </c>
    </row>
    <row r="367" spans="1:9" s="117" customFormat="1" ht="46.5" customHeight="1" x14ac:dyDescent="0.2">
      <c r="A367" s="12" t="s">
        <v>7319</v>
      </c>
      <c r="B367" s="12" t="s">
        <v>6326</v>
      </c>
      <c r="C367" s="667" t="s">
        <v>9768</v>
      </c>
      <c r="D367" s="12" t="s">
        <v>7516</v>
      </c>
      <c r="E367" s="12" t="s">
        <v>7027</v>
      </c>
      <c r="F367" s="65">
        <v>1200</v>
      </c>
      <c r="G367" s="57">
        <v>136032</v>
      </c>
      <c r="H367" s="12"/>
      <c r="I367" s="8" t="s">
        <v>11723</v>
      </c>
    </row>
    <row r="368" spans="1:9" s="117" customFormat="1" ht="46.5" customHeight="1" x14ac:dyDescent="0.2">
      <c r="A368" s="12" t="s">
        <v>7320</v>
      </c>
      <c r="B368" s="12" t="s">
        <v>6326</v>
      </c>
      <c r="C368" s="667" t="s">
        <v>9769</v>
      </c>
      <c r="D368" s="12" t="s">
        <v>7517</v>
      </c>
      <c r="E368" s="12" t="s">
        <v>7027</v>
      </c>
      <c r="F368" s="65">
        <v>1200</v>
      </c>
      <c r="G368" s="57">
        <v>136032</v>
      </c>
      <c r="H368" s="12"/>
      <c r="I368" s="8" t="s">
        <v>11723</v>
      </c>
    </row>
    <row r="369" spans="1:9" s="117" customFormat="1" ht="46.5" customHeight="1" x14ac:dyDescent="0.2">
      <c r="A369" s="12" t="s">
        <v>7321</v>
      </c>
      <c r="B369" s="12" t="s">
        <v>6326</v>
      </c>
      <c r="C369" s="667" t="s">
        <v>9770</v>
      </c>
      <c r="D369" s="12" t="s">
        <v>7518</v>
      </c>
      <c r="E369" s="12" t="s">
        <v>7027</v>
      </c>
      <c r="F369" s="65">
        <v>1200</v>
      </c>
      <c r="G369" s="57">
        <v>136032</v>
      </c>
      <c r="H369" s="12"/>
      <c r="I369" s="8" t="s">
        <v>11723</v>
      </c>
    </row>
    <row r="370" spans="1:9" s="117" customFormat="1" ht="46.5" customHeight="1" x14ac:dyDescent="0.2">
      <c r="A370" s="12" t="s">
        <v>7322</v>
      </c>
      <c r="B370" s="12" t="s">
        <v>6326</v>
      </c>
      <c r="C370" s="667" t="s">
        <v>9771</v>
      </c>
      <c r="D370" s="12" t="s">
        <v>7520</v>
      </c>
      <c r="E370" s="12" t="s">
        <v>7027</v>
      </c>
      <c r="F370" s="65">
        <v>1200</v>
      </c>
      <c r="G370" s="57">
        <v>136032</v>
      </c>
      <c r="H370" s="12"/>
      <c r="I370" s="8" t="s">
        <v>11723</v>
      </c>
    </row>
    <row r="371" spans="1:9" s="117" customFormat="1" ht="46.5" customHeight="1" x14ac:dyDescent="0.2">
      <c r="A371" s="12" t="s">
        <v>7323</v>
      </c>
      <c r="B371" s="12" t="s">
        <v>6326</v>
      </c>
      <c r="C371" s="667" t="s">
        <v>9772</v>
      </c>
      <c r="D371" s="12" t="s">
        <v>7519</v>
      </c>
      <c r="E371" s="12" t="s">
        <v>7027</v>
      </c>
      <c r="F371" s="65">
        <v>1200</v>
      </c>
      <c r="G371" s="57">
        <v>136032</v>
      </c>
      <c r="H371" s="12"/>
      <c r="I371" s="8" t="s">
        <v>11723</v>
      </c>
    </row>
    <row r="372" spans="1:9" s="117" customFormat="1" ht="46.5" customHeight="1" x14ac:dyDescent="0.2">
      <c r="A372" s="12" t="s">
        <v>7324</v>
      </c>
      <c r="B372" s="12" t="s">
        <v>6326</v>
      </c>
      <c r="C372" s="667" t="s">
        <v>9773</v>
      </c>
      <c r="D372" s="12" t="s">
        <v>7521</v>
      </c>
      <c r="E372" s="12" t="s">
        <v>7027</v>
      </c>
      <c r="F372" s="65">
        <v>1200</v>
      </c>
      <c r="G372" s="57">
        <v>136032</v>
      </c>
      <c r="H372" s="12"/>
      <c r="I372" s="8" t="s">
        <v>11723</v>
      </c>
    </row>
    <row r="373" spans="1:9" s="117" customFormat="1" ht="46.5" customHeight="1" x14ac:dyDescent="0.2">
      <c r="A373" s="12" t="s">
        <v>7325</v>
      </c>
      <c r="B373" s="12" t="s">
        <v>6326</v>
      </c>
      <c r="C373" s="667" t="s">
        <v>9774</v>
      </c>
      <c r="D373" s="12" t="s">
        <v>7522</v>
      </c>
      <c r="E373" s="12" t="s">
        <v>7027</v>
      </c>
      <c r="F373" s="65">
        <v>1200</v>
      </c>
      <c r="G373" s="57">
        <v>136032</v>
      </c>
      <c r="H373" s="12"/>
      <c r="I373" s="8" t="s">
        <v>11723</v>
      </c>
    </row>
    <row r="374" spans="1:9" s="117" customFormat="1" ht="46.5" customHeight="1" x14ac:dyDescent="0.2">
      <c r="A374" s="12" t="s">
        <v>7326</v>
      </c>
      <c r="B374" s="12" t="s">
        <v>6326</v>
      </c>
      <c r="C374" s="667" t="s">
        <v>9775</v>
      </c>
      <c r="D374" s="12" t="s">
        <v>7523</v>
      </c>
      <c r="E374" s="12" t="s">
        <v>7027</v>
      </c>
      <c r="F374" s="65">
        <v>1200</v>
      </c>
      <c r="G374" s="57">
        <v>136032</v>
      </c>
      <c r="H374" s="12"/>
      <c r="I374" s="8" t="s">
        <v>11723</v>
      </c>
    </row>
    <row r="375" spans="1:9" s="117" customFormat="1" ht="46.5" customHeight="1" x14ac:dyDescent="0.2">
      <c r="A375" s="12" t="s">
        <v>7441</v>
      </c>
      <c r="B375" s="12" t="s">
        <v>6326</v>
      </c>
      <c r="C375" s="667" t="s">
        <v>9776</v>
      </c>
      <c r="D375" s="12" t="s">
        <v>7524</v>
      </c>
      <c r="E375" s="12" t="s">
        <v>7027</v>
      </c>
      <c r="F375" s="65">
        <v>1200</v>
      </c>
      <c r="G375" s="57">
        <v>136032</v>
      </c>
      <c r="H375" s="12"/>
      <c r="I375" s="8" t="s">
        <v>11723</v>
      </c>
    </row>
    <row r="376" spans="1:9" s="117" customFormat="1" ht="46.5" customHeight="1" x14ac:dyDescent="0.2">
      <c r="A376" s="12" t="s">
        <v>7442</v>
      </c>
      <c r="B376" s="12" t="s">
        <v>6326</v>
      </c>
      <c r="C376" s="667" t="s">
        <v>9777</v>
      </c>
      <c r="D376" s="12" t="s">
        <v>7525</v>
      </c>
      <c r="E376" s="12" t="s">
        <v>7027</v>
      </c>
      <c r="F376" s="65">
        <v>1200</v>
      </c>
      <c r="G376" s="57">
        <v>136032</v>
      </c>
      <c r="H376" s="12"/>
      <c r="I376" s="8" t="s">
        <v>11723</v>
      </c>
    </row>
    <row r="377" spans="1:9" s="117" customFormat="1" ht="46.5" customHeight="1" x14ac:dyDescent="0.2">
      <c r="A377" s="12" t="s">
        <v>7443</v>
      </c>
      <c r="B377" s="12" t="s">
        <v>6326</v>
      </c>
      <c r="C377" s="667" t="s">
        <v>9778</v>
      </c>
      <c r="D377" s="12" t="s">
        <v>7526</v>
      </c>
      <c r="E377" s="12" t="s">
        <v>7027</v>
      </c>
      <c r="F377" s="65">
        <v>1200</v>
      </c>
      <c r="G377" s="57">
        <v>136032</v>
      </c>
      <c r="H377" s="12"/>
      <c r="I377" s="8" t="s">
        <v>11723</v>
      </c>
    </row>
    <row r="378" spans="1:9" s="117" customFormat="1" ht="46.5" customHeight="1" x14ac:dyDescent="0.2">
      <c r="A378" s="12" t="s">
        <v>7527</v>
      </c>
      <c r="B378" s="12" t="s">
        <v>6326</v>
      </c>
      <c r="C378" s="667" t="s">
        <v>9779</v>
      </c>
      <c r="D378" s="12" t="s">
        <v>7539</v>
      </c>
      <c r="E378" s="12" t="s">
        <v>7027</v>
      </c>
      <c r="F378" s="65">
        <v>1200</v>
      </c>
      <c r="G378" s="57">
        <v>136032</v>
      </c>
      <c r="H378" s="12"/>
      <c r="I378" s="8" t="s">
        <v>11723</v>
      </c>
    </row>
    <row r="379" spans="1:9" s="117" customFormat="1" ht="46.5" customHeight="1" x14ac:dyDescent="0.2">
      <c r="A379" s="12" t="s">
        <v>7528</v>
      </c>
      <c r="B379" s="12" t="s">
        <v>6326</v>
      </c>
      <c r="C379" s="667" t="s">
        <v>9780</v>
      </c>
      <c r="D379" s="12" t="s">
        <v>7540</v>
      </c>
      <c r="E379" s="12" t="s">
        <v>7027</v>
      </c>
      <c r="F379" s="65">
        <v>1200</v>
      </c>
      <c r="G379" s="57">
        <v>136032</v>
      </c>
      <c r="H379" s="12"/>
      <c r="I379" s="8" t="s">
        <v>11723</v>
      </c>
    </row>
    <row r="380" spans="1:9" s="117" customFormat="1" ht="46.5" customHeight="1" x14ac:dyDescent="0.2">
      <c r="A380" s="12" t="s">
        <v>7529</v>
      </c>
      <c r="B380" s="12" t="s">
        <v>6326</v>
      </c>
      <c r="C380" s="667" t="s">
        <v>9781</v>
      </c>
      <c r="D380" s="12" t="s">
        <v>7541</v>
      </c>
      <c r="E380" s="12" t="s">
        <v>7027</v>
      </c>
      <c r="F380" s="65">
        <v>1200</v>
      </c>
      <c r="G380" s="57">
        <v>136032</v>
      </c>
      <c r="H380" s="12"/>
      <c r="I380" s="8" t="s">
        <v>11723</v>
      </c>
    </row>
    <row r="381" spans="1:9" s="117" customFormat="1" ht="46.5" customHeight="1" x14ac:dyDescent="0.2">
      <c r="A381" s="12" t="s">
        <v>7530</v>
      </c>
      <c r="B381" s="12" t="s">
        <v>6326</v>
      </c>
      <c r="C381" s="667" t="s">
        <v>9782</v>
      </c>
      <c r="D381" s="12" t="s">
        <v>7542</v>
      </c>
      <c r="E381" s="12" t="s">
        <v>7027</v>
      </c>
      <c r="F381" s="65">
        <v>1200</v>
      </c>
      <c r="G381" s="57">
        <v>136032</v>
      </c>
      <c r="H381" s="12"/>
      <c r="I381" s="8" t="s">
        <v>11723</v>
      </c>
    </row>
    <row r="382" spans="1:9" s="117" customFormat="1" ht="46.5" customHeight="1" x14ac:dyDescent="0.2">
      <c r="A382" s="12" t="s">
        <v>7531</v>
      </c>
      <c r="B382" s="12" t="s">
        <v>6326</v>
      </c>
      <c r="C382" s="667" t="s">
        <v>9783</v>
      </c>
      <c r="D382" s="12" t="s">
        <v>7543</v>
      </c>
      <c r="E382" s="12" t="s">
        <v>7027</v>
      </c>
      <c r="F382" s="65">
        <v>1200</v>
      </c>
      <c r="G382" s="57">
        <v>136032</v>
      </c>
      <c r="H382" s="12"/>
      <c r="I382" s="8" t="s">
        <v>11723</v>
      </c>
    </row>
    <row r="383" spans="1:9" s="117" customFormat="1" ht="46.5" customHeight="1" x14ac:dyDescent="0.2">
      <c r="A383" s="12" t="s">
        <v>7532</v>
      </c>
      <c r="B383" s="12" t="s">
        <v>6326</v>
      </c>
      <c r="C383" s="667" t="s">
        <v>9784</v>
      </c>
      <c r="D383" s="12" t="s">
        <v>7546</v>
      </c>
      <c r="E383" s="12" t="s">
        <v>7027</v>
      </c>
      <c r="F383" s="65">
        <v>1200</v>
      </c>
      <c r="G383" s="57">
        <v>136032</v>
      </c>
      <c r="H383" s="12"/>
      <c r="I383" s="8" t="s">
        <v>11723</v>
      </c>
    </row>
    <row r="384" spans="1:9" s="117" customFormat="1" ht="46.5" customHeight="1" x14ac:dyDescent="0.2">
      <c r="A384" s="12" t="s">
        <v>7533</v>
      </c>
      <c r="B384" s="12" t="s">
        <v>6326</v>
      </c>
      <c r="C384" s="667" t="s">
        <v>9785</v>
      </c>
      <c r="D384" s="12" t="s">
        <v>7545</v>
      </c>
      <c r="E384" s="12" t="s">
        <v>7027</v>
      </c>
      <c r="F384" s="65">
        <v>1200</v>
      </c>
      <c r="G384" s="57">
        <v>136032</v>
      </c>
      <c r="H384" s="12"/>
      <c r="I384" s="8" t="s">
        <v>11723</v>
      </c>
    </row>
    <row r="385" spans="1:9" s="117" customFormat="1" ht="46.5" customHeight="1" x14ac:dyDescent="0.2">
      <c r="A385" s="12" t="s">
        <v>7534</v>
      </c>
      <c r="B385" s="12" t="s">
        <v>6326</v>
      </c>
      <c r="C385" s="667" t="s">
        <v>9786</v>
      </c>
      <c r="D385" s="12" t="s">
        <v>7547</v>
      </c>
      <c r="E385" s="12" t="s">
        <v>7027</v>
      </c>
      <c r="F385" s="65">
        <v>1200</v>
      </c>
      <c r="G385" s="57">
        <v>136032</v>
      </c>
      <c r="H385" s="12"/>
      <c r="I385" s="8" t="s">
        <v>11723</v>
      </c>
    </row>
    <row r="386" spans="1:9" s="117" customFormat="1" ht="46.5" customHeight="1" x14ac:dyDescent="0.2">
      <c r="A386" s="12" t="s">
        <v>7535</v>
      </c>
      <c r="B386" s="12" t="s">
        <v>6326</v>
      </c>
      <c r="C386" s="667" t="s">
        <v>9787</v>
      </c>
      <c r="D386" s="12" t="s">
        <v>7548</v>
      </c>
      <c r="E386" s="12" t="s">
        <v>7027</v>
      </c>
      <c r="F386" s="65">
        <v>1200</v>
      </c>
      <c r="G386" s="57">
        <v>136032</v>
      </c>
      <c r="H386" s="12"/>
      <c r="I386" s="8" t="s">
        <v>11723</v>
      </c>
    </row>
    <row r="387" spans="1:9" s="117" customFormat="1" ht="46.5" customHeight="1" x14ac:dyDescent="0.2">
      <c r="A387" s="12" t="s">
        <v>7536</v>
      </c>
      <c r="B387" s="12" t="s">
        <v>6326</v>
      </c>
      <c r="C387" s="667" t="s">
        <v>9788</v>
      </c>
      <c r="D387" s="12" t="s">
        <v>7549</v>
      </c>
      <c r="E387" s="12" t="s">
        <v>7027</v>
      </c>
      <c r="F387" s="65">
        <v>1200</v>
      </c>
      <c r="G387" s="57">
        <v>136032</v>
      </c>
      <c r="H387" s="12"/>
      <c r="I387" s="8" t="s">
        <v>11723</v>
      </c>
    </row>
    <row r="388" spans="1:9" s="117" customFormat="1" ht="46.5" customHeight="1" x14ac:dyDescent="0.2">
      <c r="A388" s="12" t="s">
        <v>7537</v>
      </c>
      <c r="B388" s="12" t="s">
        <v>6326</v>
      </c>
      <c r="C388" s="667" t="s">
        <v>9789</v>
      </c>
      <c r="D388" s="12" t="s">
        <v>7550</v>
      </c>
      <c r="E388" s="12" t="s">
        <v>7027</v>
      </c>
      <c r="F388" s="65">
        <v>1200</v>
      </c>
      <c r="G388" s="57">
        <v>136032</v>
      </c>
      <c r="H388" s="12"/>
      <c r="I388" s="8" t="s">
        <v>11723</v>
      </c>
    </row>
    <row r="389" spans="1:9" s="117" customFormat="1" ht="46.5" customHeight="1" x14ac:dyDescent="0.2">
      <c r="A389" s="12" t="s">
        <v>7538</v>
      </c>
      <c r="B389" s="12" t="s">
        <v>6326</v>
      </c>
      <c r="C389" s="667" t="s">
        <v>9790</v>
      </c>
      <c r="D389" s="12" t="s">
        <v>7544</v>
      </c>
      <c r="E389" s="12" t="s">
        <v>7027</v>
      </c>
      <c r="F389" s="65">
        <v>1200</v>
      </c>
      <c r="G389" s="57">
        <v>136032</v>
      </c>
      <c r="H389" s="12"/>
      <c r="I389" s="8" t="s">
        <v>11723</v>
      </c>
    </row>
    <row r="390" spans="1:9" s="117" customFormat="1" ht="46.5" customHeight="1" x14ac:dyDescent="0.2">
      <c r="A390" s="12" t="s">
        <v>7553</v>
      </c>
      <c r="B390" s="12" t="s">
        <v>6326</v>
      </c>
      <c r="C390" s="667" t="s">
        <v>9791</v>
      </c>
      <c r="D390" s="12" t="s">
        <v>7644</v>
      </c>
      <c r="E390" s="12" t="s">
        <v>7027</v>
      </c>
      <c r="F390" s="65">
        <v>1200</v>
      </c>
      <c r="G390" s="57">
        <v>136032</v>
      </c>
      <c r="H390" s="12"/>
      <c r="I390" s="8" t="s">
        <v>11723</v>
      </c>
    </row>
    <row r="391" spans="1:9" s="117" customFormat="1" ht="46.5" customHeight="1" x14ac:dyDescent="0.2">
      <c r="A391" s="12" t="s">
        <v>7554</v>
      </c>
      <c r="B391" s="12" t="s">
        <v>6326</v>
      </c>
      <c r="C391" s="667" t="s">
        <v>9792</v>
      </c>
      <c r="D391" s="12" t="s">
        <v>7645</v>
      </c>
      <c r="E391" s="12" t="s">
        <v>7027</v>
      </c>
      <c r="F391" s="65">
        <v>1200</v>
      </c>
      <c r="G391" s="57">
        <v>136032</v>
      </c>
      <c r="H391" s="12"/>
      <c r="I391" s="8" t="s">
        <v>11723</v>
      </c>
    </row>
    <row r="392" spans="1:9" s="117" customFormat="1" ht="46.5" customHeight="1" x14ac:dyDescent="0.2">
      <c r="A392" s="12" t="s">
        <v>7555</v>
      </c>
      <c r="B392" s="12" t="s">
        <v>6326</v>
      </c>
      <c r="C392" s="667" t="s">
        <v>9793</v>
      </c>
      <c r="D392" s="12" t="s">
        <v>7750</v>
      </c>
      <c r="E392" s="12" t="s">
        <v>7027</v>
      </c>
      <c r="F392" s="65">
        <v>1200</v>
      </c>
      <c r="G392" s="57">
        <v>136032</v>
      </c>
      <c r="H392" s="12"/>
      <c r="I392" s="8" t="s">
        <v>11723</v>
      </c>
    </row>
    <row r="393" spans="1:9" s="117" customFormat="1" ht="46.5" customHeight="1" x14ac:dyDescent="0.2">
      <c r="A393" s="12" t="s">
        <v>7556</v>
      </c>
      <c r="B393" s="12" t="s">
        <v>6326</v>
      </c>
      <c r="C393" s="667" t="s">
        <v>9794</v>
      </c>
      <c r="D393" s="12" t="s">
        <v>7751</v>
      </c>
      <c r="E393" s="12" t="s">
        <v>7027</v>
      </c>
      <c r="F393" s="65">
        <v>1200</v>
      </c>
      <c r="G393" s="57">
        <v>136032</v>
      </c>
      <c r="H393" s="12"/>
      <c r="I393" s="8" t="s">
        <v>11723</v>
      </c>
    </row>
    <row r="394" spans="1:9" s="117" customFormat="1" ht="46.5" customHeight="1" x14ac:dyDescent="0.2">
      <c r="A394" s="12" t="s">
        <v>7557</v>
      </c>
      <c r="B394" s="12" t="s">
        <v>6326</v>
      </c>
      <c r="C394" s="667" t="s">
        <v>9795</v>
      </c>
      <c r="D394" s="12" t="s">
        <v>7752</v>
      </c>
      <c r="E394" s="12" t="s">
        <v>7027</v>
      </c>
      <c r="F394" s="65">
        <v>1200</v>
      </c>
      <c r="G394" s="57">
        <v>136032</v>
      </c>
      <c r="H394" s="12"/>
      <c r="I394" s="8" t="s">
        <v>11723</v>
      </c>
    </row>
    <row r="395" spans="1:9" s="117" customFormat="1" ht="46.5" customHeight="1" x14ac:dyDescent="0.2">
      <c r="A395" s="12" t="s">
        <v>7558</v>
      </c>
      <c r="B395" s="12" t="s">
        <v>6326</v>
      </c>
      <c r="C395" s="667" t="s">
        <v>9796</v>
      </c>
      <c r="D395" s="12" t="s">
        <v>7753</v>
      </c>
      <c r="E395" s="12" t="s">
        <v>7027</v>
      </c>
      <c r="F395" s="65">
        <v>1200</v>
      </c>
      <c r="G395" s="57">
        <v>136032</v>
      </c>
      <c r="H395" s="12"/>
      <c r="I395" s="8" t="s">
        <v>11723</v>
      </c>
    </row>
    <row r="396" spans="1:9" s="117" customFormat="1" ht="46.5" customHeight="1" x14ac:dyDescent="0.2">
      <c r="A396" s="12" t="s">
        <v>7559</v>
      </c>
      <c r="B396" s="12" t="s">
        <v>6326</v>
      </c>
      <c r="C396" s="667" t="s">
        <v>9797</v>
      </c>
      <c r="D396" s="12" t="s">
        <v>7754</v>
      </c>
      <c r="E396" s="12" t="s">
        <v>7027</v>
      </c>
      <c r="F396" s="65">
        <v>1200</v>
      </c>
      <c r="G396" s="57">
        <v>136032</v>
      </c>
      <c r="H396" s="12"/>
      <c r="I396" s="8" t="s">
        <v>11723</v>
      </c>
    </row>
    <row r="397" spans="1:9" s="117" customFormat="1" ht="46.5" customHeight="1" x14ac:dyDescent="0.2">
      <c r="A397" s="12" t="s">
        <v>7560</v>
      </c>
      <c r="B397" s="12" t="s">
        <v>6326</v>
      </c>
      <c r="C397" s="667" t="s">
        <v>9798</v>
      </c>
      <c r="D397" s="12" t="s">
        <v>7599</v>
      </c>
      <c r="E397" s="12" t="s">
        <v>7027</v>
      </c>
      <c r="F397" s="65">
        <v>1200</v>
      </c>
      <c r="G397" s="57">
        <v>136032</v>
      </c>
      <c r="H397" s="12"/>
      <c r="I397" s="8" t="s">
        <v>11723</v>
      </c>
    </row>
    <row r="398" spans="1:9" s="117" customFormat="1" ht="46.5" customHeight="1" x14ac:dyDescent="0.2">
      <c r="A398" s="12" t="s">
        <v>7561</v>
      </c>
      <c r="B398" s="12" t="s">
        <v>6326</v>
      </c>
      <c r="C398" s="667" t="s">
        <v>9799</v>
      </c>
      <c r="D398" s="12" t="s">
        <v>7635</v>
      </c>
      <c r="E398" s="12" t="s">
        <v>7027</v>
      </c>
      <c r="F398" s="65">
        <v>1200</v>
      </c>
      <c r="G398" s="57">
        <v>136032</v>
      </c>
      <c r="H398" s="12"/>
      <c r="I398" s="8" t="s">
        <v>11723</v>
      </c>
    </row>
    <row r="399" spans="1:9" s="117" customFormat="1" ht="46.5" customHeight="1" x14ac:dyDescent="0.2">
      <c r="A399" s="12" t="s">
        <v>7562</v>
      </c>
      <c r="B399" s="12" t="s">
        <v>6326</v>
      </c>
      <c r="C399" s="667" t="s">
        <v>9800</v>
      </c>
      <c r="D399" s="12" t="s">
        <v>7636</v>
      </c>
      <c r="E399" s="12" t="s">
        <v>7027</v>
      </c>
      <c r="F399" s="65">
        <v>1200</v>
      </c>
      <c r="G399" s="57">
        <v>136032</v>
      </c>
      <c r="H399" s="12"/>
      <c r="I399" s="8" t="s">
        <v>11723</v>
      </c>
    </row>
    <row r="400" spans="1:9" s="117" customFormat="1" ht="46.5" customHeight="1" x14ac:dyDescent="0.2">
      <c r="A400" s="12" t="s">
        <v>7563</v>
      </c>
      <c r="B400" s="12" t="s">
        <v>6326</v>
      </c>
      <c r="C400" s="667" t="s">
        <v>9801</v>
      </c>
      <c r="D400" s="12" t="s">
        <v>7637</v>
      </c>
      <c r="E400" s="12" t="s">
        <v>7027</v>
      </c>
      <c r="F400" s="65">
        <v>1200</v>
      </c>
      <c r="G400" s="57">
        <v>136032</v>
      </c>
      <c r="H400" s="12"/>
      <c r="I400" s="8" t="s">
        <v>11723</v>
      </c>
    </row>
    <row r="401" spans="1:9" s="117" customFormat="1" ht="46.5" customHeight="1" x14ac:dyDescent="0.2">
      <c r="A401" s="12" t="s">
        <v>7564</v>
      </c>
      <c r="B401" s="12" t="s">
        <v>6326</v>
      </c>
      <c r="C401" s="667" t="s">
        <v>9802</v>
      </c>
      <c r="D401" s="12" t="s">
        <v>7638</v>
      </c>
      <c r="E401" s="12" t="s">
        <v>7027</v>
      </c>
      <c r="F401" s="65">
        <v>1200</v>
      </c>
      <c r="G401" s="57">
        <v>136032</v>
      </c>
      <c r="H401" s="12"/>
      <c r="I401" s="8" t="s">
        <v>11723</v>
      </c>
    </row>
    <row r="402" spans="1:9" s="117" customFormat="1" ht="46.5" customHeight="1" x14ac:dyDescent="0.2">
      <c r="A402" s="12" t="s">
        <v>7565</v>
      </c>
      <c r="B402" s="12" t="s">
        <v>6326</v>
      </c>
      <c r="C402" s="667" t="s">
        <v>9803</v>
      </c>
      <c r="D402" s="12" t="s">
        <v>7639</v>
      </c>
      <c r="E402" s="12" t="s">
        <v>7027</v>
      </c>
      <c r="F402" s="65">
        <v>1200</v>
      </c>
      <c r="G402" s="57">
        <v>136032</v>
      </c>
      <c r="H402" s="12"/>
      <c r="I402" s="8" t="s">
        <v>11723</v>
      </c>
    </row>
    <row r="403" spans="1:9" s="117" customFormat="1" ht="46.5" customHeight="1" x14ac:dyDescent="0.2">
      <c r="A403" s="12" t="s">
        <v>7566</v>
      </c>
      <c r="B403" s="12" t="s">
        <v>6326</v>
      </c>
      <c r="C403" s="667" t="s">
        <v>9804</v>
      </c>
      <c r="D403" s="12" t="s">
        <v>7640</v>
      </c>
      <c r="E403" s="12" t="s">
        <v>7027</v>
      </c>
      <c r="F403" s="65">
        <v>1200</v>
      </c>
      <c r="G403" s="57">
        <v>136032</v>
      </c>
      <c r="H403" s="12"/>
      <c r="I403" s="8" t="s">
        <v>11723</v>
      </c>
    </row>
    <row r="404" spans="1:9" s="117" customFormat="1" ht="46.5" customHeight="1" x14ac:dyDescent="0.2">
      <c r="A404" s="12" t="s">
        <v>7567</v>
      </c>
      <c r="B404" s="12" t="s">
        <v>6326</v>
      </c>
      <c r="C404" s="667" t="s">
        <v>9805</v>
      </c>
      <c r="D404" s="12" t="s">
        <v>7641</v>
      </c>
      <c r="E404" s="12" t="s">
        <v>7027</v>
      </c>
      <c r="F404" s="65">
        <v>1200</v>
      </c>
      <c r="G404" s="57">
        <v>136032</v>
      </c>
      <c r="H404" s="12"/>
      <c r="I404" s="8" t="s">
        <v>11723</v>
      </c>
    </row>
    <row r="405" spans="1:9" s="117" customFormat="1" ht="46.5" customHeight="1" x14ac:dyDescent="0.2">
      <c r="A405" s="12" t="s">
        <v>7568</v>
      </c>
      <c r="B405" s="12" t="s">
        <v>6326</v>
      </c>
      <c r="C405" s="667" t="s">
        <v>9806</v>
      </c>
      <c r="D405" s="12" t="s">
        <v>7642</v>
      </c>
      <c r="E405" s="12" t="s">
        <v>7027</v>
      </c>
      <c r="F405" s="65">
        <v>1200</v>
      </c>
      <c r="G405" s="57">
        <v>136032</v>
      </c>
      <c r="H405" s="12"/>
      <c r="I405" s="8" t="s">
        <v>11723</v>
      </c>
    </row>
    <row r="406" spans="1:9" s="117" customFormat="1" ht="46.5" customHeight="1" x14ac:dyDescent="0.2">
      <c r="A406" s="12" t="s">
        <v>7569</v>
      </c>
      <c r="B406" s="12" t="s">
        <v>6326</v>
      </c>
      <c r="C406" s="667" t="s">
        <v>9807</v>
      </c>
      <c r="D406" s="12" t="s">
        <v>7643</v>
      </c>
      <c r="E406" s="12" t="s">
        <v>7027</v>
      </c>
      <c r="F406" s="65">
        <v>1200</v>
      </c>
      <c r="G406" s="57">
        <v>136032</v>
      </c>
      <c r="H406" s="12"/>
      <c r="I406" s="8" t="s">
        <v>11723</v>
      </c>
    </row>
    <row r="407" spans="1:9" s="117" customFormat="1" ht="46.5" customHeight="1" x14ac:dyDescent="0.2">
      <c r="A407" s="12" t="s">
        <v>7570</v>
      </c>
      <c r="B407" s="12" t="s">
        <v>6326</v>
      </c>
      <c r="C407" s="667" t="s">
        <v>9808</v>
      </c>
      <c r="D407" s="12" t="s">
        <v>7600</v>
      </c>
      <c r="E407" s="12" t="s">
        <v>7027</v>
      </c>
      <c r="F407" s="65">
        <v>1200</v>
      </c>
      <c r="G407" s="57">
        <v>136032</v>
      </c>
      <c r="H407" s="12"/>
      <c r="I407" s="8" t="s">
        <v>11723</v>
      </c>
    </row>
    <row r="408" spans="1:9" s="117" customFormat="1" ht="46.5" customHeight="1" x14ac:dyDescent="0.2">
      <c r="A408" s="12" t="s">
        <v>7571</v>
      </c>
      <c r="B408" s="12" t="s">
        <v>6326</v>
      </c>
      <c r="C408" s="667" t="s">
        <v>9809</v>
      </c>
      <c r="D408" s="12" t="s">
        <v>7601</v>
      </c>
      <c r="E408" s="12" t="s">
        <v>7027</v>
      </c>
      <c r="F408" s="65">
        <v>1200</v>
      </c>
      <c r="G408" s="57">
        <v>136032</v>
      </c>
      <c r="H408" s="12"/>
      <c r="I408" s="8" t="s">
        <v>11723</v>
      </c>
    </row>
    <row r="409" spans="1:9" s="117" customFormat="1" ht="46.5" customHeight="1" x14ac:dyDescent="0.2">
      <c r="A409" s="12" t="s">
        <v>7572</v>
      </c>
      <c r="B409" s="12" t="s">
        <v>6326</v>
      </c>
      <c r="C409" s="667" t="s">
        <v>9810</v>
      </c>
      <c r="D409" s="12" t="s">
        <v>7602</v>
      </c>
      <c r="E409" s="12" t="s">
        <v>7027</v>
      </c>
      <c r="F409" s="65">
        <v>1200</v>
      </c>
      <c r="G409" s="57">
        <v>136032</v>
      </c>
      <c r="H409" s="12"/>
      <c r="I409" s="8" t="s">
        <v>11723</v>
      </c>
    </row>
    <row r="410" spans="1:9" s="117" customFormat="1" ht="46.5" customHeight="1" x14ac:dyDescent="0.2">
      <c r="A410" s="12" t="s">
        <v>7573</v>
      </c>
      <c r="B410" s="12" t="s">
        <v>6326</v>
      </c>
      <c r="C410" s="667" t="s">
        <v>9811</v>
      </c>
      <c r="D410" s="12" t="s">
        <v>7603</v>
      </c>
      <c r="E410" s="12" t="s">
        <v>7027</v>
      </c>
      <c r="F410" s="65">
        <v>1200</v>
      </c>
      <c r="G410" s="57">
        <v>136032</v>
      </c>
      <c r="H410" s="12"/>
      <c r="I410" s="8" t="s">
        <v>11723</v>
      </c>
    </row>
    <row r="411" spans="1:9" s="117" customFormat="1" ht="46.5" customHeight="1" x14ac:dyDescent="0.2">
      <c r="A411" s="12" t="s">
        <v>7574</v>
      </c>
      <c r="B411" s="12" t="s">
        <v>6326</v>
      </c>
      <c r="C411" s="667" t="s">
        <v>9812</v>
      </c>
      <c r="D411" s="12" t="s">
        <v>7604</v>
      </c>
      <c r="E411" s="12" t="s">
        <v>7027</v>
      </c>
      <c r="F411" s="65">
        <v>1200</v>
      </c>
      <c r="G411" s="57">
        <v>136032</v>
      </c>
      <c r="H411" s="12"/>
      <c r="I411" s="8" t="s">
        <v>11723</v>
      </c>
    </row>
    <row r="412" spans="1:9" s="117" customFormat="1" ht="46.5" customHeight="1" x14ac:dyDescent="0.2">
      <c r="A412" s="12" t="s">
        <v>7575</v>
      </c>
      <c r="B412" s="12" t="s">
        <v>6326</v>
      </c>
      <c r="C412" s="667" t="s">
        <v>9813</v>
      </c>
      <c r="D412" s="12" t="s">
        <v>7606</v>
      </c>
      <c r="E412" s="12" t="s">
        <v>7027</v>
      </c>
      <c r="F412" s="65">
        <v>1200</v>
      </c>
      <c r="G412" s="57">
        <v>136032</v>
      </c>
      <c r="H412" s="12"/>
      <c r="I412" s="8" t="s">
        <v>11723</v>
      </c>
    </row>
    <row r="413" spans="1:9" s="117" customFormat="1" ht="46.5" customHeight="1" x14ac:dyDescent="0.2">
      <c r="A413" s="12" t="s">
        <v>7576</v>
      </c>
      <c r="B413" s="12" t="s">
        <v>6326</v>
      </c>
      <c r="C413" s="667" t="s">
        <v>9814</v>
      </c>
      <c r="D413" s="12" t="s">
        <v>7607</v>
      </c>
      <c r="E413" s="12" t="s">
        <v>7027</v>
      </c>
      <c r="F413" s="65">
        <v>1200</v>
      </c>
      <c r="G413" s="57">
        <v>136032</v>
      </c>
      <c r="H413" s="12"/>
      <c r="I413" s="8" t="s">
        <v>11723</v>
      </c>
    </row>
    <row r="414" spans="1:9" s="117" customFormat="1" ht="46.5" customHeight="1" x14ac:dyDescent="0.2">
      <c r="A414" s="12" t="s">
        <v>7577</v>
      </c>
      <c r="B414" s="12" t="s">
        <v>6326</v>
      </c>
      <c r="C414" s="667" t="s">
        <v>9815</v>
      </c>
      <c r="D414" s="12" t="s">
        <v>7608</v>
      </c>
      <c r="E414" s="12" t="s">
        <v>7027</v>
      </c>
      <c r="F414" s="65">
        <v>1200</v>
      </c>
      <c r="G414" s="57">
        <v>136032</v>
      </c>
      <c r="H414" s="12"/>
      <c r="I414" s="8" t="s">
        <v>11723</v>
      </c>
    </row>
    <row r="415" spans="1:9" s="117" customFormat="1" ht="46.5" customHeight="1" x14ac:dyDescent="0.2">
      <c r="A415" s="12" t="s">
        <v>7578</v>
      </c>
      <c r="B415" s="12" t="s">
        <v>6326</v>
      </c>
      <c r="C415" s="667" t="s">
        <v>9816</v>
      </c>
      <c r="D415" s="12" t="s">
        <v>7609</v>
      </c>
      <c r="E415" s="12" t="s">
        <v>7027</v>
      </c>
      <c r="F415" s="65">
        <v>1200</v>
      </c>
      <c r="G415" s="57">
        <v>136032</v>
      </c>
      <c r="H415" s="12"/>
      <c r="I415" s="8" t="s">
        <v>11723</v>
      </c>
    </row>
    <row r="416" spans="1:9" s="117" customFormat="1" ht="46.5" customHeight="1" x14ac:dyDescent="0.2">
      <c r="A416" s="12" t="s">
        <v>7579</v>
      </c>
      <c r="B416" s="12" t="s">
        <v>6326</v>
      </c>
      <c r="C416" s="667" t="s">
        <v>9817</v>
      </c>
      <c r="D416" s="12" t="s">
        <v>7610</v>
      </c>
      <c r="E416" s="12" t="s">
        <v>7027</v>
      </c>
      <c r="F416" s="65">
        <v>1200</v>
      </c>
      <c r="G416" s="57">
        <v>136032</v>
      </c>
      <c r="H416" s="12"/>
      <c r="I416" s="8" t="s">
        <v>11723</v>
      </c>
    </row>
    <row r="417" spans="1:9" s="117" customFormat="1" ht="46.5" customHeight="1" x14ac:dyDescent="0.2">
      <c r="A417" s="12" t="s">
        <v>7580</v>
      </c>
      <c r="B417" s="12" t="s">
        <v>6326</v>
      </c>
      <c r="C417" s="667" t="s">
        <v>9818</v>
      </c>
      <c r="D417" s="12" t="s">
        <v>7611</v>
      </c>
      <c r="E417" s="12" t="s">
        <v>7027</v>
      </c>
      <c r="F417" s="65">
        <v>1200</v>
      </c>
      <c r="G417" s="57">
        <v>136032</v>
      </c>
      <c r="H417" s="12"/>
      <c r="I417" s="8" t="s">
        <v>11723</v>
      </c>
    </row>
    <row r="418" spans="1:9" s="117" customFormat="1" ht="46.5" customHeight="1" x14ac:dyDescent="0.2">
      <c r="A418" s="12" t="s">
        <v>7581</v>
      </c>
      <c r="B418" s="12" t="s">
        <v>6326</v>
      </c>
      <c r="C418" s="667" t="s">
        <v>9819</v>
      </c>
      <c r="D418" s="12" t="s">
        <v>7612</v>
      </c>
      <c r="E418" s="12" t="s">
        <v>7027</v>
      </c>
      <c r="F418" s="65">
        <v>1200</v>
      </c>
      <c r="G418" s="57">
        <v>136032</v>
      </c>
      <c r="H418" s="12"/>
      <c r="I418" s="8" t="s">
        <v>11723</v>
      </c>
    </row>
    <row r="419" spans="1:9" s="117" customFormat="1" ht="46.5" customHeight="1" x14ac:dyDescent="0.2">
      <c r="A419" s="12" t="s">
        <v>7582</v>
      </c>
      <c r="B419" s="12" t="s">
        <v>6326</v>
      </c>
      <c r="C419" s="667" t="s">
        <v>9820</v>
      </c>
      <c r="D419" s="12" t="s">
        <v>7613</v>
      </c>
      <c r="E419" s="12" t="s">
        <v>7027</v>
      </c>
      <c r="F419" s="65">
        <v>1200</v>
      </c>
      <c r="G419" s="57">
        <v>136032</v>
      </c>
      <c r="H419" s="12"/>
      <c r="I419" s="8" t="s">
        <v>11723</v>
      </c>
    </row>
    <row r="420" spans="1:9" s="117" customFormat="1" ht="46.5" customHeight="1" x14ac:dyDescent="0.2">
      <c r="A420" s="12" t="s">
        <v>7583</v>
      </c>
      <c r="B420" s="12" t="s">
        <v>6326</v>
      </c>
      <c r="C420" s="667" t="s">
        <v>9821</v>
      </c>
      <c r="D420" s="12" t="s">
        <v>7614</v>
      </c>
      <c r="E420" s="12" t="s">
        <v>7027</v>
      </c>
      <c r="F420" s="65">
        <v>1200</v>
      </c>
      <c r="G420" s="57">
        <v>136032</v>
      </c>
      <c r="H420" s="12"/>
      <c r="I420" s="8" t="s">
        <v>11723</v>
      </c>
    </row>
    <row r="421" spans="1:9" s="117" customFormat="1" ht="46.5" customHeight="1" x14ac:dyDescent="0.2">
      <c r="A421" s="12" t="s">
        <v>7584</v>
      </c>
      <c r="B421" s="12" t="s">
        <v>6326</v>
      </c>
      <c r="C421" s="667" t="s">
        <v>9822</v>
      </c>
      <c r="D421" s="12" t="s">
        <v>7615</v>
      </c>
      <c r="E421" s="12" t="s">
        <v>7027</v>
      </c>
      <c r="F421" s="65">
        <v>1200</v>
      </c>
      <c r="G421" s="57">
        <v>136032</v>
      </c>
      <c r="H421" s="12"/>
      <c r="I421" s="8" t="s">
        <v>11723</v>
      </c>
    </row>
    <row r="422" spans="1:9" s="117" customFormat="1" ht="46.5" customHeight="1" x14ac:dyDescent="0.2">
      <c r="A422" s="12" t="s">
        <v>7585</v>
      </c>
      <c r="B422" s="12" t="s">
        <v>6326</v>
      </c>
      <c r="C422" s="667" t="s">
        <v>9823</v>
      </c>
      <c r="D422" s="12" t="s">
        <v>7616</v>
      </c>
      <c r="E422" s="12" t="s">
        <v>7027</v>
      </c>
      <c r="F422" s="65">
        <v>1200</v>
      </c>
      <c r="G422" s="57">
        <v>136032</v>
      </c>
      <c r="H422" s="12"/>
      <c r="I422" s="8" t="s">
        <v>11723</v>
      </c>
    </row>
    <row r="423" spans="1:9" s="117" customFormat="1" ht="46.5" customHeight="1" x14ac:dyDescent="0.2">
      <c r="A423" s="12" t="s">
        <v>7586</v>
      </c>
      <c r="B423" s="12" t="s">
        <v>6326</v>
      </c>
      <c r="C423" s="667" t="s">
        <v>9824</v>
      </c>
      <c r="D423" s="12" t="s">
        <v>7617</v>
      </c>
      <c r="E423" s="12" t="s">
        <v>7027</v>
      </c>
      <c r="F423" s="65">
        <v>1200</v>
      </c>
      <c r="G423" s="57">
        <v>136032</v>
      </c>
      <c r="H423" s="12"/>
      <c r="I423" s="8" t="s">
        <v>11723</v>
      </c>
    </row>
    <row r="424" spans="1:9" s="117" customFormat="1" ht="46.5" customHeight="1" x14ac:dyDescent="0.2">
      <c r="A424" s="12" t="s">
        <v>7587</v>
      </c>
      <c r="B424" s="12" t="s">
        <v>6326</v>
      </c>
      <c r="C424" s="667" t="s">
        <v>9825</v>
      </c>
      <c r="D424" s="12" t="s">
        <v>7618</v>
      </c>
      <c r="E424" s="12" t="s">
        <v>7027</v>
      </c>
      <c r="F424" s="65">
        <v>1200</v>
      </c>
      <c r="G424" s="57">
        <v>136032</v>
      </c>
      <c r="H424" s="12"/>
      <c r="I424" s="8" t="s">
        <v>11723</v>
      </c>
    </row>
    <row r="425" spans="1:9" s="117" customFormat="1" ht="46.5" customHeight="1" x14ac:dyDescent="0.2">
      <c r="A425" s="12" t="s">
        <v>7588</v>
      </c>
      <c r="B425" s="12" t="s">
        <v>6326</v>
      </c>
      <c r="C425" s="667" t="s">
        <v>9826</v>
      </c>
      <c r="D425" s="12" t="s">
        <v>7620</v>
      </c>
      <c r="E425" s="12" t="s">
        <v>7027</v>
      </c>
      <c r="F425" s="65">
        <v>1200</v>
      </c>
      <c r="G425" s="57">
        <v>136032</v>
      </c>
      <c r="H425" s="12"/>
      <c r="I425" s="8" t="s">
        <v>11723</v>
      </c>
    </row>
    <row r="426" spans="1:9" s="117" customFormat="1" ht="46.5" customHeight="1" x14ac:dyDescent="0.2">
      <c r="A426" s="12" t="s">
        <v>7589</v>
      </c>
      <c r="B426" s="12" t="s">
        <v>6326</v>
      </c>
      <c r="C426" s="667" t="s">
        <v>9827</v>
      </c>
      <c r="D426" s="12" t="s">
        <v>7619</v>
      </c>
      <c r="E426" s="12" t="s">
        <v>7027</v>
      </c>
      <c r="F426" s="65">
        <v>1200</v>
      </c>
      <c r="G426" s="57">
        <v>136032</v>
      </c>
      <c r="H426" s="12"/>
      <c r="I426" s="8" t="s">
        <v>11723</v>
      </c>
    </row>
    <row r="427" spans="1:9" s="117" customFormat="1" ht="46.5" customHeight="1" x14ac:dyDescent="0.2">
      <c r="A427" s="12" t="s">
        <v>7590</v>
      </c>
      <c r="B427" s="12" t="s">
        <v>6326</v>
      </c>
      <c r="C427" s="667" t="s">
        <v>9828</v>
      </c>
      <c r="D427" s="12" t="s">
        <v>7621</v>
      </c>
      <c r="E427" s="12" t="s">
        <v>7027</v>
      </c>
      <c r="F427" s="65">
        <v>1200</v>
      </c>
      <c r="G427" s="57">
        <v>136032</v>
      </c>
      <c r="H427" s="12"/>
      <c r="I427" s="8" t="s">
        <v>11723</v>
      </c>
    </row>
    <row r="428" spans="1:9" s="117" customFormat="1" ht="46.5" customHeight="1" x14ac:dyDescent="0.2">
      <c r="A428" s="12" t="s">
        <v>7591</v>
      </c>
      <c r="B428" s="12" t="s">
        <v>6326</v>
      </c>
      <c r="C428" s="667" t="s">
        <v>9829</v>
      </c>
      <c r="D428" s="12" t="s">
        <v>7605</v>
      </c>
      <c r="E428" s="12" t="s">
        <v>7027</v>
      </c>
      <c r="F428" s="65">
        <v>1200</v>
      </c>
      <c r="G428" s="57">
        <v>136032</v>
      </c>
      <c r="H428" s="12"/>
      <c r="I428" s="8" t="s">
        <v>11723</v>
      </c>
    </row>
    <row r="429" spans="1:9" s="117" customFormat="1" ht="46.5" customHeight="1" x14ac:dyDescent="0.2">
      <c r="A429" s="12" t="s">
        <v>7592</v>
      </c>
      <c r="B429" s="12" t="s">
        <v>6326</v>
      </c>
      <c r="C429" s="667" t="s">
        <v>9830</v>
      </c>
      <c r="D429" s="12" t="s">
        <v>7622</v>
      </c>
      <c r="E429" s="12" t="s">
        <v>7027</v>
      </c>
      <c r="F429" s="65">
        <v>1200</v>
      </c>
      <c r="G429" s="57">
        <v>136032</v>
      </c>
      <c r="H429" s="12"/>
      <c r="I429" s="8" t="s">
        <v>11723</v>
      </c>
    </row>
    <row r="430" spans="1:9" s="117" customFormat="1" ht="46.5" customHeight="1" x14ac:dyDescent="0.2">
      <c r="A430" s="12" t="s">
        <v>7593</v>
      </c>
      <c r="B430" s="12" t="s">
        <v>6326</v>
      </c>
      <c r="C430" s="667" t="s">
        <v>9831</v>
      </c>
      <c r="D430" s="12" t="s">
        <v>7623</v>
      </c>
      <c r="E430" s="12" t="s">
        <v>7027</v>
      </c>
      <c r="F430" s="65">
        <v>1200</v>
      </c>
      <c r="G430" s="57">
        <v>136032</v>
      </c>
      <c r="H430" s="12"/>
      <c r="I430" s="8" t="s">
        <v>11723</v>
      </c>
    </row>
    <row r="431" spans="1:9" s="117" customFormat="1" ht="46.5" customHeight="1" x14ac:dyDescent="0.2">
      <c r="A431" s="12" t="s">
        <v>7594</v>
      </c>
      <c r="B431" s="12" t="s">
        <v>6326</v>
      </c>
      <c r="C431" s="667" t="s">
        <v>9832</v>
      </c>
      <c r="D431" s="12" t="s">
        <v>7624</v>
      </c>
      <c r="E431" s="12" t="s">
        <v>7027</v>
      </c>
      <c r="F431" s="65">
        <v>1200</v>
      </c>
      <c r="G431" s="57">
        <v>136032</v>
      </c>
      <c r="H431" s="12"/>
      <c r="I431" s="8" t="s">
        <v>11723</v>
      </c>
    </row>
    <row r="432" spans="1:9" s="117" customFormat="1" ht="46.5" customHeight="1" x14ac:dyDescent="0.2">
      <c r="A432" s="12" t="s">
        <v>7595</v>
      </c>
      <c r="B432" s="12" t="s">
        <v>6326</v>
      </c>
      <c r="C432" s="667" t="s">
        <v>9833</v>
      </c>
      <c r="D432" s="12" t="s">
        <v>7625</v>
      </c>
      <c r="E432" s="12" t="s">
        <v>7027</v>
      </c>
      <c r="F432" s="65">
        <v>1200</v>
      </c>
      <c r="G432" s="57">
        <v>136032</v>
      </c>
      <c r="H432" s="12"/>
      <c r="I432" s="8" t="s">
        <v>11723</v>
      </c>
    </row>
    <row r="433" spans="1:9" s="117" customFormat="1" ht="46.5" customHeight="1" x14ac:dyDescent="0.2">
      <c r="A433" s="12" t="s">
        <v>7596</v>
      </c>
      <c r="B433" s="12" t="s">
        <v>6326</v>
      </c>
      <c r="C433" s="667" t="s">
        <v>9834</v>
      </c>
      <c r="D433" s="12" t="s">
        <v>7626</v>
      </c>
      <c r="E433" s="12" t="s">
        <v>7027</v>
      </c>
      <c r="F433" s="65">
        <v>1200</v>
      </c>
      <c r="G433" s="57">
        <v>136032</v>
      </c>
      <c r="H433" s="12"/>
      <c r="I433" s="8" t="s">
        <v>11723</v>
      </c>
    </row>
    <row r="434" spans="1:9" s="117" customFormat="1" ht="46.5" customHeight="1" x14ac:dyDescent="0.2">
      <c r="A434" s="12" t="s">
        <v>7597</v>
      </c>
      <c r="B434" s="12" t="s">
        <v>6326</v>
      </c>
      <c r="C434" s="667" t="s">
        <v>9835</v>
      </c>
      <c r="D434" s="12" t="s">
        <v>7627</v>
      </c>
      <c r="E434" s="12" t="s">
        <v>7027</v>
      </c>
      <c r="F434" s="65">
        <v>1200</v>
      </c>
      <c r="G434" s="57">
        <v>136032</v>
      </c>
      <c r="H434" s="12"/>
      <c r="I434" s="8" t="s">
        <v>11723</v>
      </c>
    </row>
    <row r="435" spans="1:9" s="117" customFormat="1" ht="46.5" customHeight="1" x14ac:dyDescent="0.2">
      <c r="A435" s="12" t="s">
        <v>7598</v>
      </c>
      <c r="B435" s="12" t="s">
        <v>6326</v>
      </c>
      <c r="C435" s="667" t="s">
        <v>9836</v>
      </c>
      <c r="D435" s="12" t="s">
        <v>7628</v>
      </c>
      <c r="E435" s="12" t="s">
        <v>7027</v>
      </c>
      <c r="F435" s="65">
        <v>1200</v>
      </c>
      <c r="G435" s="57">
        <v>136032</v>
      </c>
      <c r="H435" s="12"/>
      <c r="I435" s="8" t="s">
        <v>11723</v>
      </c>
    </row>
    <row r="436" spans="1:9" s="117" customFormat="1" ht="46.5" customHeight="1" x14ac:dyDescent="0.2">
      <c r="A436" s="12" t="s">
        <v>7666</v>
      </c>
      <c r="B436" s="12" t="s">
        <v>6326</v>
      </c>
      <c r="C436" s="667" t="s">
        <v>9837</v>
      </c>
      <c r="D436" s="12" t="s">
        <v>7629</v>
      </c>
      <c r="E436" s="12" t="s">
        <v>7027</v>
      </c>
      <c r="F436" s="65">
        <v>1200</v>
      </c>
      <c r="G436" s="57">
        <v>136032</v>
      </c>
      <c r="H436" s="12"/>
      <c r="I436" s="8" t="s">
        <v>11723</v>
      </c>
    </row>
    <row r="437" spans="1:9" s="117" customFormat="1" ht="46.5" customHeight="1" x14ac:dyDescent="0.2">
      <c r="A437" s="12" t="s">
        <v>7667</v>
      </c>
      <c r="B437" s="12" t="s">
        <v>6326</v>
      </c>
      <c r="C437" s="667" t="s">
        <v>9838</v>
      </c>
      <c r="D437" s="12" t="s">
        <v>7630</v>
      </c>
      <c r="E437" s="12" t="s">
        <v>7027</v>
      </c>
      <c r="F437" s="65">
        <v>1200</v>
      </c>
      <c r="G437" s="57">
        <v>136032</v>
      </c>
      <c r="H437" s="12"/>
      <c r="I437" s="8" t="s">
        <v>11723</v>
      </c>
    </row>
    <row r="438" spans="1:9" s="117" customFormat="1" ht="46.5" customHeight="1" x14ac:dyDescent="0.2">
      <c r="A438" s="12" t="s">
        <v>7668</v>
      </c>
      <c r="B438" s="12" t="s">
        <v>6326</v>
      </c>
      <c r="C438" s="667" t="s">
        <v>9839</v>
      </c>
      <c r="D438" s="12" t="s">
        <v>7631</v>
      </c>
      <c r="E438" s="12" t="s">
        <v>7027</v>
      </c>
      <c r="F438" s="65">
        <v>1200</v>
      </c>
      <c r="G438" s="57">
        <v>136032</v>
      </c>
      <c r="H438" s="12"/>
      <c r="I438" s="8" t="s">
        <v>11723</v>
      </c>
    </row>
    <row r="439" spans="1:9" s="117" customFormat="1" ht="46.5" customHeight="1" x14ac:dyDescent="0.2">
      <c r="A439" s="12" t="s">
        <v>7669</v>
      </c>
      <c r="B439" s="12" t="s">
        <v>6326</v>
      </c>
      <c r="C439" s="667" t="s">
        <v>9840</v>
      </c>
      <c r="D439" s="12" t="s">
        <v>7632</v>
      </c>
      <c r="E439" s="12" t="s">
        <v>7027</v>
      </c>
      <c r="F439" s="65">
        <v>1200</v>
      </c>
      <c r="G439" s="57">
        <v>136032</v>
      </c>
      <c r="H439" s="12"/>
      <c r="I439" s="8" t="s">
        <v>11723</v>
      </c>
    </row>
    <row r="440" spans="1:9" s="117" customFormat="1" ht="46.5" customHeight="1" x14ac:dyDescent="0.2">
      <c r="A440" s="12" t="s">
        <v>7670</v>
      </c>
      <c r="B440" s="12" t="s">
        <v>6326</v>
      </c>
      <c r="C440" s="667" t="s">
        <v>9841</v>
      </c>
      <c r="D440" s="12" t="s">
        <v>7633</v>
      </c>
      <c r="E440" s="12" t="s">
        <v>7027</v>
      </c>
      <c r="F440" s="65">
        <v>1200</v>
      </c>
      <c r="G440" s="57">
        <v>136032</v>
      </c>
      <c r="H440" s="12"/>
      <c r="I440" s="8" t="s">
        <v>11723</v>
      </c>
    </row>
    <row r="441" spans="1:9" s="117" customFormat="1" ht="46.5" customHeight="1" x14ac:dyDescent="0.2">
      <c r="A441" s="12" t="s">
        <v>7671</v>
      </c>
      <c r="B441" s="12" t="s">
        <v>6326</v>
      </c>
      <c r="C441" s="669" t="s">
        <v>9842</v>
      </c>
      <c r="D441" s="12" t="s">
        <v>7634</v>
      </c>
      <c r="E441" s="12" t="s">
        <v>7027</v>
      </c>
      <c r="F441" s="65">
        <v>1200</v>
      </c>
      <c r="G441" s="57">
        <v>136032</v>
      </c>
      <c r="H441" s="12"/>
      <c r="I441" s="8" t="s">
        <v>11723</v>
      </c>
    </row>
    <row r="442" spans="1:9" s="117" customFormat="1" ht="46.5" customHeight="1" x14ac:dyDescent="0.2">
      <c r="A442" s="12" t="s">
        <v>7672</v>
      </c>
      <c r="B442" s="12" t="s">
        <v>6326</v>
      </c>
      <c r="C442" s="667" t="s">
        <v>9843</v>
      </c>
      <c r="D442" s="12" t="s">
        <v>7717</v>
      </c>
      <c r="E442" s="12" t="s">
        <v>7027</v>
      </c>
      <c r="F442" s="65">
        <v>1200</v>
      </c>
      <c r="G442" s="57">
        <v>136032</v>
      </c>
      <c r="H442" s="12"/>
      <c r="I442" s="8" t="s">
        <v>11723</v>
      </c>
    </row>
    <row r="443" spans="1:9" s="117" customFormat="1" ht="46.5" customHeight="1" x14ac:dyDescent="0.2">
      <c r="A443" s="12" t="s">
        <v>7673</v>
      </c>
      <c r="B443" s="12" t="s">
        <v>6326</v>
      </c>
      <c r="C443" s="667" t="s">
        <v>9844</v>
      </c>
      <c r="D443" s="12" t="s">
        <v>7718</v>
      </c>
      <c r="E443" s="12" t="s">
        <v>7027</v>
      </c>
      <c r="F443" s="65">
        <v>1200</v>
      </c>
      <c r="G443" s="57">
        <v>136032</v>
      </c>
      <c r="H443" s="12"/>
      <c r="I443" s="8" t="s">
        <v>11723</v>
      </c>
    </row>
    <row r="444" spans="1:9" s="117" customFormat="1" ht="46.5" customHeight="1" x14ac:dyDescent="0.2">
      <c r="A444" s="12" t="s">
        <v>7674</v>
      </c>
      <c r="B444" s="12" t="s">
        <v>6326</v>
      </c>
      <c r="C444" s="667" t="s">
        <v>9845</v>
      </c>
      <c r="D444" s="12" t="s">
        <v>7719</v>
      </c>
      <c r="E444" s="12" t="s">
        <v>7027</v>
      </c>
      <c r="F444" s="65">
        <v>1200</v>
      </c>
      <c r="G444" s="57">
        <v>136032</v>
      </c>
      <c r="H444" s="12"/>
      <c r="I444" s="8" t="s">
        <v>11723</v>
      </c>
    </row>
    <row r="445" spans="1:9" s="117" customFormat="1" ht="46.5" customHeight="1" x14ac:dyDescent="0.2">
      <c r="A445" s="12" t="s">
        <v>7675</v>
      </c>
      <c r="B445" s="12" t="s">
        <v>6326</v>
      </c>
      <c r="C445" s="667" t="s">
        <v>9846</v>
      </c>
      <c r="D445" s="12" t="s">
        <v>7768</v>
      </c>
      <c r="E445" s="12" t="s">
        <v>7027</v>
      </c>
      <c r="F445" s="65">
        <v>1200</v>
      </c>
      <c r="G445" s="57">
        <v>136032</v>
      </c>
      <c r="H445" s="12"/>
      <c r="I445" s="8" t="s">
        <v>11723</v>
      </c>
    </row>
    <row r="446" spans="1:9" s="117" customFormat="1" ht="46.5" customHeight="1" x14ac:dyDescent="0.2">
      <c r="A446" s="12" t="s">
        <v>7676</v>
      </c>
      <c r="B446" s="12" t="s">
        <v>6326</v>
      </c>
      <c r="C446" s="667" t="s">
        <v>9847</v>
      </c>
      <c r="D446" s="12" t="s">
        <v>7769</v>
      </c>
      <c r="E446" s="12" t="s">
        <v>7027</v>
      </c>
      <c r="F446" s="65">
        <v>1200</v>
      </c>
      <c r="G446" s="57">
        <v>136032</v>
      </c>
      <c r="H446" s="12"/>
      <c r="I446" s="8" t="s">
        <v>11723</v>
      </c>
    </row>
    <row r="447" spans="1:9" s="117" customFormat="1" ht="46.5" customHeight="1" x14ac:dyDescent="0.2">
      <c r="A447" s="12" t="s">
        <v>7677</v>
      </c>
      <c r="B447" s="12" t="s">
        <v>6326</v>
      </c>
      <c r="C447" s="667" t="s">
        <v>9848</v>
      </c>
      <c r="D447" s="12" t="s">
        <v>7770</v>
      </c>
      <c r="E447" s="12" t="s">
        <v>7027</v>
      </c>
      <c r="F447" s="65">
        <v>1200</v>
      </c>
      <c r="G447" s="57">
        <v>136032</v>
      </c>
      <c r="H447" s="12"/>
      <c r="I447" s="8" t="s">
        <v>11723</v>
      </c>
    </row>
    <row r="448" spans="1:9" s="117" customFormat="1" ht="46.5" customHeight="1" x14ac:dyDescent="0.2">
      <c r="A448" s="12" t="s">
        <v>7678</v>
      </c>
      <c r="B448" s="12" t="s">
        <v>6326</v>
      </c>
      <c r="C448" s="667" t="s">
        <v>9849</v>
      </c>
      <c r="D448" s="12" t="s">
        <v>7771</v>
      </c>
      <c r="E448" s="12" t="s">
        <v>7027</v>
      </c>
      <c r="F448" s="65">
        <v>1200</v>
      </c>
      <c r="G448" s="57">
        <v>136032</v>
      </c>
      <c r="H448" s="12"/>
      <c r="I448" s="8" t="s">
        <v>11723</v>
      </c>
    </row>
    <row r="449" spans="1:9" s="117" customFormat="1" ht="46.5" customHeight="1" x14ac:dyDescent="0.2">
      <c r="A449" s="12" t="s">
        <v>7679</v>
      </c>
      <c r="B449" s="12" t="s">
        <v>6326</v>
      </c>
      <c r="C449" s="667" t="s">
        <v>9850</v>
      </c>
      <c r="D449" s="12" t="s">
        <v>7772</v>
      </c>
      <c r="E449" s="12" t="s">
        <v>7027</v>
      </c>
      <c r="F449" s="65">
        <v>1200</v>
      </c>
      <c r="G449" s="57">
        <v>136032</v>
      </c>
      <c r="H449" s="12"/>
      <c r="I449" s="8" t="s">
        <v>11723</v>
      </c>
    </row>
    <row r="450" spans="1:9" s="117" customFormat="1" ht="46.5" customHeight="1" x14ac:dyDescent="0.2">
      <c r="A450" s="12" t="s">
        <v>7680</v>
      </c>
      <c r="B450" s="12" t="s">
        <v>6326</v>
      </c>
      <c r="C450" s="667" t="s">
        <v>9851</v>
      </c>
      <c r="D450" s="12" t="s">
        <v>7773</v>
      </c>
      <c r="E450" s="12" t="s">
        <v>7027</v>
      </c>
      <c r="F450" s="65">
        <v>1200</v>
      </c>
      <c r="G450" s="57">
        <v>136032</v>
      </c>
      <c r="H450" s="12"/>
      <c r="I450" s="8" t="s">
        <v>11723</v>
      </c>
    </row>
    <row r="451" spans="1:9" s="117" customFormat="1" ht="46.5" customHeight="1" x14ac:dyDescent="0.2">
      <c r="A451" s="12" t="s">
        <v>7681</v>
      </c>
      <c r="B451" s="12" t="s">
        <v>6326</v>
      </c>
      <c r="C451" s="667" t="s">
        <v>9852</v>
      </c>
      <c r="D451" s="12" t="s">
        <v>7774</v>
      </c>
      <c r="E451" s="12" t="s">
        <v>7027</v>
      </c>
      <c r="F451" s="65">
        <v>1200</v>
      </c>
      <c r="G451" s="57">
        <v>136032</v>
      </c>
      <c r="H451" s="12"/>
      <c r="I451" s="8" t="s">
        <v>11723</v>
      </c>
    </row>
    <row r="452" spans="1:9" s="117" customFormat="1" ht="46.5" customHeight="1" x14ac:dyDescent="0.2">
      <c r="A452" s="12" t="s">
        <v>7682</v>
      </c>
      <c r="B452" s="12" t="s">
        <v>6326</v>
      </c>
      <c r="C452" s="667" t="s">
        <v>9853</v>
      </c>
      <c r="D452" s="12" t="s">
        <v>7775</v>
      </c>
      <c r="E452" s="12" t="s">
        <v>7027</v>
      </c>
      <c r="F452" s="65">
        <v>1200</v>
      </c>
      <c r="G452" s="57">
        <v>136032</v>
      </c>
      <c r="H452" s="12"/>
      <c r="I452" s="8" t="s">
        <v>11723</v>
      </c>
    </row>
    <row r="453" spans="1:9" s="117" customFormat="1" ht="46.5" customHeight="1" x14ac:dyDescent="0.2">
      <c r="A453" s="12" t="s">
        <v>7683</v>
      </c>
      <c r="B453" s="12" t="s">
        <v>6326</v>
      </c>
      <c r="C453" s="667" t="s">
        <v>9854</v>
      </c>
      <c r="D453" s="12" t="s">
        <v>7720</v>
      </c>
      <c r="E453" s="12" t="s">
        <v>7027</v>
      </c>
      <c r="F453" s="65">
        <v>1200</v>
      </c>
      <c r="G453" s="57">
        <v>136032</v>
      </c>
      <c r="H453" s="12"/>
      <c r="I453" s="8" t="s">
        <v>11723</v>
      </c>
    </row>
    <row r="454" spans="1:9" s="117" customFormat="1" ht="46.5" customHeight="1" x14ac:dyDescent="0.2">
      <c r="A454" s="12" t="s">
        <v>7684</v>
      </c>
      <c r="B454" s="12" t="s">
        <v>6326</v>
      </c>
      <c r="C454" s="667" t="s">
        <v>9855</v>
      </c>
      <c r="D454" s="12" t="s">
        <v>7721</v>
      </c>
      <c r="E454" s="12" t="s">
        <v>7027</v>
      </c>
      <c r="F454" s="65">
        <v>1200</v>
      </c>
      <c r="G454" s="57">
        <v>136032</v>
      </c>
      <c r="H454" s="12"/>
      <c r="I454" s="8" t="s">
        <v>11723</v>
      </c>
    </row>
    <row r="455" spans="1:9" s="117" customFormat="1" ht="46.5" customHeight="1" x14ac:dyDescent="0.2">
      <c r="A455" s="12" t="s">
        <v>7685</v>
      </c>
      <c r="B455" s="12" t="s">
        <v>6326</v>
      </c>
      <c r="C455" s="667" t="s">
        <v>9856</v>
      </c>
      <c r="D455" s="12" t="s">
        <v>7722</v>
      </c>
      <c r="E455" s="12" t="s">
        <v>7027</v>
      </c>
      <c r="F455" s="65">
        <v>1200</v>
      </c>
      <c r="G455" s="57">
        <v>136032</v>
      </c>
      <c r="H455" s="12"/>
      <c r="I455" s="8" t="s">
        <v>11723</v>
      </c>
    </row>
    <row r="456" spans="1:9" s="117" customFormat="1" ht="46.5" customHeight="1" x14ac:dyDescent="0.2">
      <c r="A456" s="12" t="s">
        <v>7686</v>
      </c>
      <c r="B456" s="12" t="s">
        <v>6326</v>
      </c>
      <c r="C456" s="667" t="s">
        <v>9857</v>
      </c>
      <c r="D456" s="12" t="s">
        <v>7724</v>
      </c>
      <c r="E456" s="12" t="s">
        <v>7027</v>
      </c>
      <c r="F456" s="65">
        <v>1200</v>
      </c>
      <c r="G456" s="57">
        <v>136032</v>
      </c>
      <c r="H456" s="12"/>
      <c r="I456" s="8" t="s">
        <v>11723</v>
      </c>
    </row>
    <row r="457" spans="1:9" s="117" customFormat="1" ht="46.5" customHeight="1" x14ac:dyDescent="0.2">
      <c r="A457" s="12" t="s">
        <v>7687</v>
      </c>
      <c r="B457" s="12" t="s">
        <v>6326</v>
      </c>
      <c r="C457" s="667" t="s">
        <v>9858</v>
      </c>
      <c r="D457" s="12" t="s">
        <v>7725</v>
      </c>
      <c r="E457" s="12" t="s">
        <v>7027</v>
      </c>
      <c r="F457" s="65">
        <v>1200</v>
      </c>
      <c r="G457" s="57">
        <v>136032</v>
      </c>
      <c r="H457" s="12"/>
      <c r="I457" s="8" t="s">
        <v>11723</v>
      </c>
    </row>
    <row r="458" spans="1:9" s="117" customFormat="1" ht="46.5" customHeight="1" x14ac:dyDescent="0.2">
      <c r="A458" s="12" t="s">
        <v>7688</v>
      </c>
      <c r="B458" s="12" t="s">
        <v>6326</v>
      </c>
      <c r="C458" s="667" t="s">
        <v>9859</v>
      </c>
      <c r="D458" s="12" t="s">
        <v>7726</v>
      </c>
      <c r="E458" s="12" t="s">
        <v>7027</v>
      </c>
      <c r="F458" s="65">
        <v>1200</v>
      </c>
      <c r="G458" s="57">
        <v>136032</v>
      </c>
      <c r="H458" s="12"/>
      <c r="I458" s="8" t="s">
        <v>11723</v>
      </c>
    </row>
    <row r="459" spans="1:9" s="117" customFormat="1" ht="46.5" customHeight="1" x14ac:dyDescent="0.2">
      <c r="A459" s="12" t="s">
        <v>7689</v>
      </c>
      <c r="B459" s="12" t="s">
        <v>6326</v>
      </c>
      <c r="C459" s="667" t="s">
        <v>9860</v>
      </c>
      <c r="D459" s="12" t="s">
        <v>7727</v>
      </c>
      <c r="E459" s="12" t="s">
        <v>7027</v>
      </c>
      <c r="F459" s="65">
        <v>1200</v>
      </c>
      <c r="G459" s="57">
        <v>136032</v>
      </c>
      <c r="H459" s="12"/>
      <c r="I459" s="8" t="s">
        <v>11723</v>
      </c>
    </row>
    <row r="460" spans="1:9" s="117" customFormat="1" ht="46.5" customHeight="1" x14ac:dyDescent="0.2">
      <c r="A460" s="12" t="s">
        <v>7690</v>
      </c>
      <c r="B460" s="12" t="s">
        <v>6326</v>
      </c>
      <c r="C460" s="667" t="s">
        <v>9861</v>
      </c>
      <c r="D460" s="12" t="s">
        <v>7728</v>
      </c>
      <c r="E460" s="12" t="s">
        <v>7027</v>
      </c>
      <c r="F460" s="65">
        <v>1200</v>
      </c>
      <c r="G460" s="57">
        <v>136032</v>
      </c>
      <c r="H460" s="12"/>
      <c r="I460" s="8" t="s">
        <v>11723</v>
      </c>
    </row>
    <row r="461" spans="1:9" s="117" customFormat="1" ht="46.5" customHeight="1" x14ac:dyDescent="0.2">
      <c r="A461" s="12" t="s">
        <v>7691</v>
      </c>
      <c r="B461" s="12" t="s">
        <v>6326</v>
      </c>
      <c r="C461" s="667" t="s">
        <v>9862</v>
      </c>
      <c r="D461" s="12" t="s">
        <v>7729</v>
      </c>
      <c r="E461" s="12" t="s">
        <v>7027</v>
      </c>
      <c r="F461" s="65">
        <v>1200</v>
      </c>
      <c r="G461" s="57">
        <v>136032</v>
      </c>
      <c r="H461" s="12"/>
      <c r="I461" s="8" t="s">
        <v>11723</v>
      </c>
    </row>
    <row r="462" spans="1:9" s="117" customFormat="1" ht="46.5" customHeight="1" x14ac:dyDescent="0.2">
      <c r="A462" s="12" t="s">
        <v>7692</v>
      </c>
      <c r="B462" s="12" t="s">
        <v>6326</v>
      </c>
      <c r="C462" s="667" t="s">
        <v>9863</v>
      </c>
      <c r="D462" s="12" t="s">
        <v>7730</v>
      </c>
      <c r="E462" s="12" t="s">
        <v>7027</v>
      </c>
      <c r="F462" s="65">
        <v>1200</v>
      </c>
      <c r="G462" s="57">
        <v>136032</v>
      </c>
      <c r="H462" s="12"/>
      <c r="I462" s="8" t="s">
        <v>11723</v>
      </c>
    </row>
    <row r="463" spans="1:9" s="117" customFormat="1" ht="46.5" customHeight="1" x14ac:dyDescent="0.2">
      <c r="A463" s="12" t="s">
        <v>7693</v>
      </c>
      <c r="B463" s="12" t="s">
        <v>6326</v>
      </c>
      <c r="C463" s="667" t="s">
        <v>9864</v>
      </c>
      <c r="D463" s="12" t="s">
        <v>7731</v>
      </c>
      <c r="E463" s="12" t="s">
        <v>7027</v>
      </c>
      <c r="F463" s="65">
        <v>1200</v>
      </c>
      <c r="G463" s="57">
        <v>136032</v>
      </c>
      <c r="H463" s="12"/>
      <c r="I463" s="8" t="s">
        <v>11723</v>
      </c>
    </row>
    <row r="464" spans="1:9" s="117" customFormat="1" ht="46.5" customHeight="1" x14ac:dyDescent="0.2">
      <c r="A464" s="12" t="s">
        <v>7694</v>
      </c>
      <c r="B464" s="12" t="s">
        <v>6326</v>
      </c>
      <c r="C464" s="667" t="s">
        <v>9865</v>
      </c>
      <c r="D464" s="12" t="s">
        <v>7732</v>
      </c>
      <c r="E464" s="12" t="s">
        <v>7027</v>
      </c>
      <c r="F464" s="65">
        <v>1200</v>
      </c>
      <c r="G464" s="57">
        <v>136032</v>
      </c>
      <c r="H464" s="12"/>
      <c r="I464" s="8" t="s">
        <v>11723</v>
      </c>
    </row>
    <row r="465" spans="1:9" s="117" customFormat="1" ht="46.5" customHeight="1" x14ac:dyDescent="0.2">
      <c r="A465" s="12" t="s">
        <v>7695</v>
      </c>
      <c r="B465" s="12" t="s">
        <v>6326</v>
      </c>
      <c r="C465" s="667" t="s">
        <v>9866</v>
      </c>
      <c r="D465" s="12" t="s">
        <v>7733</v>
      </c>
      <c r="E465" s="12" t="s">
        <v>7027</v>
      </c>
      <c r="F465" s="65">
        <v>1200</v>
      </c>
      <c r="G465" s="57">
        <v>136032</v>
      </c>
      <c r="H465" s="12"/>
      <c r="I465" s="8" t="s">
        <v>11723</v>
      </c>
    </row>
    <row r="466" spans="1:9" s="117" customFormat="1" ht="46.5" customHeight="1" x14ac:dyDescent="0.2">
      <c r="A466" s="12" t="s">
        <v>7696</v>
      </c>
      <c r="B466" s="12" t="s">
        <v>6326</v>
      </c>
      <c r="C466" s="667" t="s">
        <v>9867</v>
      </c>
      <c r="D466" s="12" t="s">
        <v>7734</v>
      </c>
      <c r="E466" s="12" t="s">
        <v>7027</v>
      </c>
      <c r="F466" s="65">
        <v>1200</v>
      </c>
      <c r="G466" s="57">
        <v>136032</v>
      </c>
      <c r="H466" s="12"/>
      <c r="I466" s="8" t="s">
        <v>11723</v>
      </c>
    </row>
    <row r="467" spans="1:9" s="117" customFormat="1" ht="46.5" customHeight="1" x14ac:dyDescent="0.2">
      <c r="A467" s="12" t="s">
        <v>7697</v>
      </c>
      <c r="B467" s="12" t="s">
        <v>6326</v>
      </c>
      <c r="C467" s="667" t="s">
        <v>9868</v>
      </c>
      <c r="D467" s="12" t="s">
        <v>7735</v>
      </c>
      <c r="E467" s="12" t="s">
        <v>7027</v>
      </c>
      <c r="F467" s="65">
        <v>1200</v>
      </c>
      <c r="G467" s="57">
        <v>136032</v>
      </c>
      <c r="H467" s="12"/>
      <c r="I467" s="8" t="s">
        <v>11723</v>
      </c>
    </row>
    <row r="468" spans="1:9" s="117" customFormat="1" ht="46.5" customHeight="1" x14ac:dyDescent="0.2">
      <c r="A468" s="12" t="s">
        <v>7698</v>
      </c>
      <c r="B468" s="12" t="s">
        <v>6326</v>
      </c>
      <c r="C468" s="667" t="s">
        <v>9869</v>
      </c>
      <c r="D468" s="12" t="s">
        <v>7736</v>
      </c>
      <c r="E468" s="12" t="s">
        <v>7027</v>
      </c>
      <c r="F468" s="65">
        <v>1200</v>
      </c>
      <c r="G468" s="57">
        <v>136032</v>
      </c>
      <c r="H468" s="12"/>
      <c r="I468" s="8" t="s">
        <v>11723</v>
      </c>
    </row>
    <row r="469" spans="1:9" s="117" customFormat="1" ht="46.5" customHeight="1" x14ac:dyDescent="0.2">
      <c r="A469" s="12" t="s">
        <v>7699</v>
      </c>
      <c r="B469" s="12" t="s">
        <v>6326</v>
      </c>
      <c r="C469" s="667" t="s">
        <v>9870</v>
      </c>
      <c r="D469" s="12" t="s">
        <v>7737</v>
      </c>
      <c r="E469" s="12" t="s">
        <v>7027</v>
      </c>
      <c r="F469" s="65">
        <v>1200</v>
      </c>
      <c r="G469" s="57">
        <v>136032</v>
      </c>
      <c r="H469" s="12"/>
      <c r="I469" s="8" t="s">
        <v>11723</v>
      </c>
    </row>
    <row r="470" spans="1:9" s="117" customFormat="1" ht="46.5" customHeight="1" x14ac:dyDescent="0.2">
      <c r="A470" s="12" t="s">
        <v>7700</v>
      </c>
      <c r="B470" s="12" t="s">
        <v>6326</v>
      </c>
      <c r="C470" s="667" t="s">
        <v>9871</v>
      </c>
      <c r="D470" s="12" t="s">
        <v>7738</v>
      </c>
      <c r="E470" s="12" t="s">
        <v>7027</v>
      </c>
      <c r="F470" s="65">
        <v>1200</v>
      </c>
      <c r="G470" s="57">
        <v>136032</v>
      </c>
      <c r="H470" s="12"/>
      <c r="I470" s="8" t="s">
        <v>11723</v>
      </c>
    </row>
    <row r="471" spans="1:9" s="117" customFormat="1" ht="46.5" customHeight="1" x14ac:dyDescent="0.2">
      <c r="A471" s="12" t="s">
        <v>7701</v>
      </c>
      <c r="B471" s="12" t="s">
        <v>6326</v>
      </c>
      <c r="C471" s="667" t="s">
        <v>9872</v>
      </c>
      <c r="D471" s="12" t="s">
        <v>7739</v>
      </c>
      <c r="E471" s="12" t="s">
        <v>7027</v>
      </c>
      <c r="F471" s="65">
        <v>1200</v>
      </c>
      <c r="G471" s="57">
        <v>136032</v>
      </c>
      <c r="H471" s="12"/>
      <c r="I471" s="8" t="s">
        <v>11723</v>
      </c>
    </row>
    <row r="472" spans="1:9" s="117" customFormat="1" ht="46.5" customHeight="1" x14ac:dyDescent="0.2">
      <c r="A472" s="12" t="s">
        <v>7702</v>
      </c>
      <c r="B472" s="12" t="s">
        <v>6326</v>
      </c>
      <c r="C472" s="667" t="s">
        <v>9873</v>
      </c>
      <c r="D472" s="12" t="s">
        <v>7723</v>
      </c>
      <c r="E472" s="12" t="s">
        <v>7027</v>
      </c>
      <c r="F472" s="65">
        <v>1200</v>
      </c>
      <c r="G472" s="57">
        <v>136032</v>
      </c>
      <c r="H472" s="12"/>
      <c r="I472" s="8" t="s">
        <v>11723</v>
      </c>
    </row>
    <row r="473" spans="1:9" s="117" customFormat="1" ht="46.5" customHeight="1" x14ac:dyDescent="0.2">
      <c r="A473" s="12" t="s">
        <v>7703</v>
      </c>
      <c r="B473" s="12" t="s">
        <v>6326</v>
      </c>
      <c r="C473" s="667" t="s">
        <v>9874</v>
      </c>
      <c r="D473" s="12" t="s">
        <v>7740</v>
      </c>
      <c r="E473" s="12" t="s">
        <v>7027</v>
      </c>
      <c r="F473" s="65">
        <v>1200</v>
      </c>
      <c r="G473" s="57">
        <v>136032</v>
      </c>
      <c r="H473" s="12"/>
      <c r="I473" s="8" t="s">
        <v>11723</v>
      </c>
    </row>
    <row r="474" spans="1:9" s="117" customFormat="1" ht="46.5" customHeight="1" x14ac:dyDescent="0.2">
      <c r="A474" s="12" t="s">
        <v>7704</v>
      </c>
      <c r="B474" s="12" t="s">
        <v>6326</v>
      </c>
      <c r="C474" s="667" t="s">
        <v>9875</v>
      </c>
      <c r="D474" s="12" t="s">
        <v>7741</v>
      </c>
      <c r="E474" s="12" t="s">
        <v>7027</v>
      </c>
      <c r="F474" s="65">
        <v>1200</v>
      </c>
      <c r="G474" s="57">
        <v>136032</v>
      </c>
      <c r="H474" s="12"/>
      <c r="I474" s="8" t="s">
        <v>11723</v>
      </c>
    </row>
    <row r="475" spans="1:9" s="117" customFormat="1" ht="46.5" customHeight="1" x14ac:dyDescent="0.2">
      <c r="A475" s="12" t="s">
        <v>7705</v>
      </c>
      <c r="B475" s="12" t="s">
        <v>6326</v>
      </c>
      <c r="C475" s="667" t="s">
        <v>9876</v>
      </c>
      <c r="D475" s="12" t="s">
        <v>7742</v>
      </c>
      <c r="E475" s="12" t="s">
        <v>7027</v>
      </c>
      <c r="F475" s="65">
        <v>1200</v>
      </c>
      <c r="G475" s="57">
        <v>136032</v>
      </c>
      <c r="H475" s="12"/>
      <c r="I475" s="8" t="s">
        <v>11723</v>
      </c>
    </row>
    <row r="476" spans="1:9" s="117" customFormat="1" ht="46.5" customHeight="1" x14ac:dyDescent="0.2">
      <c r="A476" s="12" t="s">
        <v>7706</v>
      </c>
      <c r="B476" s="12" t="s">
        <v>6326</v>
      </c>
      <c r="C476" s="667" t="s">
        <v>9877</v>
      </c>
      <c r="D476" s="12" t="s">
        <v>7743</v>
      </c>
      <c r="E476" s="12" t="s">
        <v>7027</v>
      </c>
      <c r="F476" s="65">
        <v>1200</v>
      </c>
      <c r="G476" s="57">
        <v>136032</v>
      </c>
      <c r="H476" s="12"/>
      <c r="I476" s="8" t="s">
        <v>11723</v>
      </c>
    </row>
    <row r="477" spans="1:9" s="117" customFormat="1" ht="46.5" customHeight="1" x14ac:dyDescent="0.2">
      <c r="A477" s="12" t="s">
        <v>7707</v>
      </c>
      <c r="B477" s="12" t="s">
        <v>6326</v>
      </c>
      <c r="C477" s="667" t="s">
        <v>9878</v>
      </c>
      <c r="D477" s="12" t="s">
        <v>7776</v>
      </c>
      <c r="E477" s="12" t="s">
        <v>7027</v>
      </c>
      <c r="F477" s="65">
        <v>1200</v>
      </c>
      <c r="G477" s="57">
        <v>136032</v>
      </c>
      <c r="H477" s="12"/>
      <c r="I477" s="8" t="s">
        <v>11723</v>
      </c>
    </row>
    <row r="478" spans="1:9" s="117" customFormat="1" ht="46.5" customHeight="1" x14ac:dyDescent="0.2">
      <c r="A478" s="12" t="s">
        <v>7708</v>
      </c>
      <c r="B478" s="12" t="s">
        <v>6326</v>
      </c>
      <c r="C478" s="667" t="s">
        <v>9879</v>
      </c>
      <c r="D478" s="12" t="s">
        <v>7777</v>
      </c>
      <c r="E478" s="12" t="s">
        <v>7027</v>
      </c>
      <c r="F478" s="65">
        <v>1200</v>
      </c>
      <c r="G478" s="57">
        <v>136032</v>
      </c>
      <c r="H478" s="12"/>
      <c r="I478" s="8" t="s">
        <v>11723</v>
      </c>
    </row>
    <row r="479" spans="1:9" s="117" customFormat="1" ht="46.5" customHeight="1" x14ac:dyDescent="0.2">
      <c r="A479" s="12" t="s">
        <v>7709</v>
      </c>
      <c r="B479" s="12" t="s">
        <v>6326</v>
      </c>
      <c r="C479" s="667" t="s">
        <v>9880</v>
      </c>
      <c r="D479" s="12" t="s">
        <v>7744</v>
      </c>
      <c r="E479" s="12" t="s">
        <v>7027</v>
      </c>
      <c r="F479" s="65">
        <v>1200</v>
      </c>
      <c r="G479" s="57">
        <v>136032</v>
      </c>
      <c r="H479" s="12"/>
      <c r="I479" s="8" t="s">
        <v>11723</v>
      </c>
    </row>
    <row r="480" spans="1:9" s="117" customFormat="1" ht="46.5" customHeight="1" x14ac:dyDescent="0.2">
      <c r="A480" s="12" t="s">
        <v>7710</v>
      </c>
      <c r="B480" s="12" t="s">
        <v>6326</v>
      </c>
      <c r="C480" s="667" t="s">
        <v>9881</v>
      </c>
      <c r="D480" s="12" t="s">
        <v>7745</v>
      </c>
      <c r="E480" s="12" t="s">
        <v>7027</v>
      </c>
      <c r="F480" s="65">
        <v>1200</v>
      </c>
      <c r="G480" s="57">
        <v>136032</v>
      </c>
      <c r="H480" s="12"/>
      <c r="I480" s="8" t="s">
        <v>11723</v>
      </c>
    </row>
    <row r="481" spans="1:9" s="117" customFormat="1" ht="46.5" customHeight="1" x14ac:dyDescent="0.2">
      <c r="A481" s="12" t="s">
        <v>7711</v>
      </c>
      <c r="B481" s="12" t="s">
        <v>6326</v>
      </c>
      <c r="C481" s="667" t="s">
        <v>9882</v>
      </c>
      <c r="D481" s="12" t="s">
        <v>7778</v>
      </c>
      <c r="E481" s="12" t="s">
        <v>7027</v>
      </c>
      <c r="F481" s="65">
        <v>1200</v>
      </c>
      <c r="G481" s="57">
        <v>136032</v>
      </c>
      <c r="H481" s="12"/>
      <c r="I481" s="8" t="s">
        <v>11723</v>
      </c>
    </row>
    <row r="482" spans="1:9" s="117" customFormat="1" ht="46.5" customHeight="1" x14ac:dyDescent="0.2">
      <c r="A482" s="12" t="s">
        <v>7712</v>
      </c>
      <c r="B482" s="12" t="s">
        <v>6326</v>
      </c>
      <c r="C482" s="667" t="s">
        <v>9883</v>
      </c>
      <c r="D482" s="12" t="s">
        <v>7779</v>
      </c>
      <c r="E482" s="12" t="s">
        <v>7027</v>
      </c>
      <c r="F482" s="65">
        <v>1200</v>
      </c>
      <c r="G482" s="57">
        <v>136032</v>
      </c>
      <c r="H482" s="12"/>
      <c r="I482" s="8" t="s">
        <v>11723</v>
      </c>
    </row>
    <row r="483" spans="1:9" s="117" customFormat="1" ht="46.5" customHeight="1" x14ac:dyDescent="0.2">
      <c r="A483" s="12" t="s">
        <v>7713</v>
      </c>
      <c r="B483" s="12" t="s">
        <v>6326</v>
      </c>
      <c r="C483" s="667" t="s">
        <v>9884</v>
      </c>
      <c r="D483" s="12" t="s">
        <v>7780</v>
      </c>
      <c r="E483" s="12" t="s">
        <v>7027</v>
      </c>
      <c r="F483" s="65">
        <v>1200</v>
      </c>
      <c r="G483" s="57">
        <v>136032</v>
      </c>
      <c r="H483" s="12"/>
      <c r="I483" s="8" t="s">
        <v>11723</v>
      </c>
    </row>
    <row r="484" spans="1:9" s="117" customFormat="1" ht="46.5" customHeight="1" x14ac:dyDescent="0.2">
      <c r="A484" s="12" t="s">
        <v>7714</v>
      </c>
      <c r="B484" s="12" t="s">
        <v>6326</v>
      </c>
      <c r="C484" s="667" t="s">
        <v>9885</v>
      </c>
      <c r="D484" s="12" t="s">
        <v>7746</v>
      </c>
      <c r="E484" s="12" t="s">
        <v>7027</v>
      </c>
      <c r="F484" s="65">
        <v>1200</v>
      </c>
      <c r="G484" s="57">
        <v>136032</v>
      </c>
      <c r="H484" s="12"/>
      <c r="I484" s="8" t="s">
        <v>11723</v>
      </c>
    </row>
    <row r="485" spans="1:9" s="117" customFormat="1" ht="46.5" customHeight="1" x14ac:dyDescent="0.2">
      <c r="A485" s="12" t="s">
        <v>7715</v>
      </c>
      <c r="B485" s="12" t="s">
        <v>6326</v>
      </c>
      <c r="C485" s="667" t="s">
        <v>9886</v>
      </c>
      <c r="D485" s="12" t="s">
        <v>7747</v>
      </c>
      <c r="E485" s="12" t="s">
        <v>7027</v>
      </c>
      <c r="F485" s="65">
        <v>1200</v>
      </c>
      <c r="G485" s="57">
        <v>136032</v>
      </c>
      <c r="H485" s="12"/>
      <c r="I485" s="8" t="s">
        <v>11723</v>
      </c>
    </row>
    <row r="486" spans="1:9" s="117" customFormat="1" ht="46.5" customHeight="1" x14ac:dyDescent="0.2">
      <c r="A486" s="12" t="s">
        <v>7716</v>
      </c>
      <c r="B486" s="12" t="s">
        <v>6326</v>
      </c>
      <c r="C486" s="667" t="s">
        <v>9887</v>
      </c>
      <c r="D486" s="12" t="s">
        <v>7781</v>
      </c>
      <c r="E486" s="12" t="s">
        <v>7027</v>
      </c>
      <c r="F486" s="65">
        <v>1200</v>
      </c>
      <c r="G486" s="57">
        <v>136032</v>
      </c>
      <c r="H486" s="12"/>
      <c r="I486" s="8" t="s">
        <v>11723</v>
      </c>
    </row>
    <row r="487" spans="1:9" s="117" customFormat="1" ht="46.5" customHeight="1" x14ac:dyDescent="0.2">
      <c r="A487" s="12" t="s">
        <v>7755</v>
      </c>
      <c r="B487" s="12" t="s">
        <v>6326</v>
      </c>
      <c r="C487" s="667" t="s">
        <v>9888</v>
      </c>
      <c r="D487" s="12" t="s">
        <v>7748</v>
      </c>
      <c r="E487" s="12" t="s">
        <v>7027</v>
      </c>
      <c r="F487" s="65">
        <v>1200</v>
      </c>
      <c r="G487" s="57">
        <v>136032</v>
      </c>
      <c r="H487" s="12"/>
      <c r="I487" s="8" t="s">
        <v>11723</v>
      </c>
    </row>
    <row r="488" spans="1:9" s="117" customFormat="1" ht="46.5" customHeight="1" x14ac:dyDescent="0.2">
      <c r="A488" s="12" t="s">
        <v>7756</v>
      </c>
      <c r="B488" s="12" t="s">
        <v>6326</v>
      </c>
      <c r="C488" s="667" t="s">
        <v>9889</v>
      </c>
      <c r="D488" s="12" t="s">
        <v>7782</v>
      </c>
      <c r="E488" s="12" t="s">
        <v>7027</v>
      </c>
      <c r="F488" s="65">
        <v>1200</v>
      </c>
      <c r="G488" s="57">
        <v>136032</v>
      </c>
      <c r="H488" s="12"/>
      <c r="I488" s="8" t="s">
        <v>11723</v>
      </c>
    </row>
    <row r="489" spans="1:9" s="117" customFormat="1" ht="46.5" customHeight="1" x14ac:dyDescent="0.2">
      <c r="A489" s="12" t="s">
        <v>7757</v>
      </c>
      <c r="B489" s="12" t="s">
        <v>6326</v>
      </c>
      <c r="C489" s="667" t="s">
        <v>9890</v>
      </c>
      <c r="D489" s="12" t="s">
        <v>7749</v>
      </c>
      <c r="E489" s="12" t="s">
        <v>7027</v>
      </c>
      <c r="F489" s="65">
        <v>1200</v>
      </c>
      <c r="G489" s="57">
        <v>136032</v>
      </c>
      <c r="H489" s="12"/>
      <c r="I489" s="8" t="s">
        <v>11723</v>
      </c>
    </row>
    <row r="490" spans="1:9" s="117" customFormat="1" ht="46.5" customHeight="1" x14ac:dyDescent="0.2">
      <c r="A490" s="12" t="s">
        <v>7758</v>
      </c>
      <c r="B490" s="12" t="s">
        <v>6326</v>
      </c>
      <c r="C490" s="667" t="s">
        <v>9891</v>
      </c>
      <c r="D490" s="12" t="s">
        <v>7783</v>
      </c>
      <c r="E490" s="12" t="s">
        <v>7027</v>
      </c>
      <c r="F490" s="65">
        <v>1200</v>
      </c>
      <c r="G490" s="57">
        <v>136032</v>
      </c>
      <c r="H490" s="12"/>
      <c r="I490" s="8" t="s">
        <v>11723</v>
      </c>
    </row>
    <row r="491" spans="1:9" s="117" customFormat="1" ht="46.5" customHeight="1" x14ac:dyDescent="0.2">
      <c r="A491" s="12" t="s">
        <v>7759</v>
      </c>
      <c r="B491" s="12" t="s">
        <v>6326</v>
      </c>
      <c r="C491" s="667" t="s">
        <v>9892</v>
      </c>
      <c r="D491" s="12" t="s">
        <v>7784</v>
      </c>
      <c r="E491" s="12" t="s">
        <v>7027</v>
      </c>
      <c r="F491" s="65">
        <v>1200</v>
      </c>
      <c r="G491" s="57">
        <v>136032</v>
      </c>
      <c r="H491" s="12"/>
      <c r="I491" s="8" t="s">
        <v>11723</v>
      </c>
    </row>
    <row r="492" spans="1:9" s="117" customFormat="1" ht="46.5" customHeight="1" x14ac:dyDescent="0.2">
      <c r="A492" s="12" t="s">
        <v>7760</v>
      </c>
      <c r="B492" s="12" t="s">
        <v>6326</v>
      </c>
      <c r="C492" s="667" t="s">
        <v>9893</v>
      </c>
      <c r="D492" s="12" t="s">
        <v>7785</v>
      </c>
      <c r="E492" s="12" t="s">
        <v>7027</v>
      </c>
      <c r="F492" s="65">
        <v>1200</v>
      </c>
      <c r="G492" s="57">
        <v>136032</v>
      </c>
      <c r="H492" s="12"/>
      <c r="I492" s="8" t="s">
        <v>11723</v>
      </c>
    </row>
    <row r="493" spans="1:9" s="117" customFormat="1" ht="46.5" customHeight="1" x14ac:dyDescent="0.2">
      <c r="A493" s="12" t="s">
        <v>7789</v>
      </c>
      <c r="B493" s="12" t="s">
        <v>6326</v>
      </c>
      <c r="C493" s="667" t="s">
        <v>9894</v>
      </c>
      <c r="D493" s="12" t="s">
        <v>7786</v>
      </c>
      <c r="E493" s="12" t="s">
        <v>7027</v>
      </c>
      <c r="F493" s="65">
        <v>1200</v>
      </c>
      <c r="G493" s="57">
        <v>136032</v>
      </c>
      <c r="H493" s="12"/>
      <c r="I493" s="8" t="s">
        <v>11723</v>
      </c>
    </row>
    <row r="494" spans="1:9" s="117" customFormat="1" ht="46.5" customHeight="1" x14ac:dyDescent="0.2">
      <c r="A494" s="12" t="s">
        <v>7790</v>
      </c>
      <c r="B494" s="12" t="s">
        <v>6326</v>
      </c>
      <c r="C494" s="667" t="s">
        <v>9895</v>
      </c>
      <c r="D494" s="12" t="s">
        <v>7787</v>
      </c>
      <c r="E494" s="12" t="s">
        <v>7027</v>
      </c>
      <c r="F494" s="65">
        <v>1200</v>
      </c>
      <c r="G494" s="57">
        <v>136032</v>
      </c>
      <c r="H494" s="12"/>
      <c r="I494" s="8" t="s">
        <v>11723</v>
      </c>
    </row>
    <row r="495" spans="1:9" s="117" customFormat="1" ht="46.5" customHeight="1" x14ac:dyDescent="0.2">
      <c r="A495" s="12" t="s">
        <v>7791</v>
      </c>
      <c r="B495" s="12" t="s">
        <v>6326</v>
      </c>
      <c r="C495" s="667" t="s">
        <v>9896</v>
      </c>
      <c r="D495" s="12" t="s">
        <v>7788</v>
      </c>
      <c r="E495" s="12" t="s">
        <v>7027</v>
      </c>
      <c r="F495" s="65">
        <v>1200</v>
      </c>
      <c r="G495" s="57">
        <v>136032</v>
      </c>
      <c r="H495" s="12"/>
      <c r="I495" s="8" t="s">
        <v>11723</v>
      </c>
    </row>
    <row r="496" spans="1:9" s="117" customFormat="1" ht="46.5" customHeight="1" x14ac:dyDescent="0.2">
      <c r="A496" s="12" t="s">
        <v>7792</v>
      </c>
      <c r="B496" s="12" t="s">
        <v>6326</v>
      </c>
      <c r="C496" s="667" t="s">
        <v>9897</v>
      </c>
      <c r="D496" s="12" t="s">
        <v>7821</v>
      </c>
      <c r="E496" s="12" t="s">
        <v>7027</v>
      </c>
      <c r="F496" s="65">
        <v>1200</v>
      </c>
      <c r="G496" s="57">
        <v>136032</v>
      </c>
      <c r="H496" s="12"/>
      <c r="I496" s="8" t="s">
        <v>11723</v>
      </c>
    </row>
    <row r="497" spans="1:9" s="117" customFormat="1" ht="46.5" customHeight="1" x14ac:dyDescent="0.2">
      <c r="A497" s="12" t="s">
        <v>7793</v>
      </c>
      <c r="B497" s="12" t="s">
        <v>6326</v>
      </c>
      <c r="C497" s="667" t="s">
        <v>9898</v>
      </c>
      <c r="D497" s="12" t="s">
        <v>7798</v>
      </c>
      <c r="E497" s="12" t="s">
        <v>7027</v>
      </c>
      <c r="F497" s="65">
        <v>1200</v>
      </c>
      <c r="G497" s="57">
        <v>136032</v>
      </c>
      <c r="H497" s="12"/>
      <c r="I497" s="8" t="s">
        <v>11723</v>
      </c>
    </row>
    <row r="498" spans="1:9" s="117" customFormat="1" ht="46.5" customHeight="1" x14ac:dyDescent="0.2">
      <c r="A498" s="12" t="s">
        <v>7794</v>
      </c>
      <c r="B498" s="12" t="s">
        <v>6326</v>
      </c>
      <c r="C498" s="667" t="s">
        <v>9899</v>
      </c>
      <c r="D498" s="12" t="s">
        <v>7799</v>
      </c>
      <c r="E498" s="12" t="s">
        <v>7027</v>
      </c>
      <c r="F498" s="65">
        <v>1200</v>
      </c>
      <c r="G498" s="57">
        <v>136032</v>
      </c>
      <c r="H498" s="12"/>
      <c r="I498" s="8" t="s">
        <v>11723</v>
      </c>
    </row>
    <row r="499" spans="1:9" s="117" customFormat="1" ht="46.5" customHeight="1" x14ac:dyDescent="0.2">
      <c r="A499" s="12" t="s">
        <v>7795</v>
      </c>
      <c r="B499" s="12" t="s">
        <v>6326</v>
      </c>
      <c r="C499" s="667" t="s">
        <v>9900</v>
      </c>
      <c r="D499" s="12" t="s">
        <v>7800</v>
      </c>
      <c r="E499" s="12" t="s">
        <v>7027</v>
      </c>
      <c r="F499" s="65">
        <v>1200</v>
      </c>
      <c r="G499" s="57">
        <v>136032</v>
      </c>
      <c r="H499" s="12"/>
      <c r="I499" s="8" t="s">
        <v>11723</v>
      </c>
    </row>
    <row r="500" spans="1:9" s="117" customFormat="1" ht="46.5" customHeight="1" x14ac:dyDescent="0.2">
      <c r="A500" s="12" t="s">
        <v>7796</v>
      </c>
      <c r="B500" s="12" t="s">
        <v>6326</v>
      </c>
      <c r="C500" s="667" t="s">
        <v>9901</v>
      </c>
      <c r="D500" s="12" t="s">
        <v>7801</v>
      </c>
      <c r="E500" s="12" t="s">
        <v>7027</v>
      </c>
      <c r="F500" s="65">
        <v>1200</v>
      </c>
      <c r="G500" s="57">
        <v>136032</v>
      </c>
      <c r="H500" s="12"/>
      <c r="I500" s="8" t="s">
        <v>11723</v>
      </c>
    </row>
    <row r="501" spans="1:9" s="117" customFormat="1" ht="46.5" customHeight="1" x14ac:dyDescent="0.2">
      <c r="A501" s="12" t="s">
        <v>7797</v>
      </c>
      <c r="B501" s="12" t="s">
        <v>6326</v>
      </c>
      <c r="C501" s="667" t="s">
        <v>9902</v>
      </c>
      <c r="D501" s="12" t="s">
        <v>7802</v>
      </c>
      <c r="E501" s="12" t="s">
        <v>7027</v>
      </c>
      <c r="F501" s="65">
        <v>1200</v>
      </c>
      <c r="G501" s="57">
        <v>136032</v>
      </c>
      <c r="H501" s="12"/>
      <c r="I501" s="8" t="s">
        <v>11723</v>
      </c>
    </row>
    <row r="502" spans="1:9" s="117" customFormat="1" ht="46.5" customHeight="1" x14ac:dyDescent="0.2">
      <c r="A502" s="12" t="s">
        <v>7804</v>
      </c>
      <c r="B502" s="12" t="s">
        <v>6326</v>
      </c>
      <c r="C502" s="667" t="s">
        <v>9903</v>
      </c>
      <c r="D502" s="12" t="s">
        <v>7850</v>
      </c>
      <c r="E502" s="12" t="s">
        <v>7027</v>
      </c>
      <c r="F502" s="65">
        <v>1200</v>
      </c>
      <c r="G502" s="57">
        <v>136032</v>
      </c>
      <c r="H502" s="12"/>
      <c r="I502" s="8" t="s">
        <v>11723</v>
      </c>
    </row>
    <row r="503" spans="1:9" s="117" customFormat="1" ht="46.5" customHeight="1" x14ac:dyDescent="0.2">
      <c r="A503" s="12" t="s">
        <v>7805</v>
      </c>
      <c r="B503" s="12" t="s">
        <v>6326</v>
      </c>
      <c r="C503" s="667" t="s">
        <v>9904</v>
      </c>
      <c r="D503" s="12" t="s">
        <v>7803</v>
      </c>
      <c r="E503" s="12" t="s">
        <v>7027</v>
      </c>
      <c r="F503" s="65">
        <v>1200</v>
      </c>
      <c r="G503" s="57">
        <v>136032</v>
      </c>
      <c r="H503" s="12"/>
      <c r="I503" s="8" t="s">
        <v>11723</v>
      </c>
    </row>
    <row r="504" spans="1:9" s="117" customFormat="1" ht="46.5" customHeight="1" x14ac:dyDescent="0.2">
      <c r="A504" s="12" t="s">
        <v>7806</v>
      </c>
      <c r="B504" s="12" t="s">
        <v>6326</v>
      </c>
      <c r="C504" s="667" t="s">
        <v>9905</v>
      </c>
      <c r="D504" s="12" t="s">
        <v>7822</v>
      </c>
      <c r="E504" s="12" t="s">
        <v>7027</v>
      </c>
      <c r="F504" s="65">
        <v>1200</v>
      </c>
      <c r="G504" s="57">
        <v>136032</v>
      </c>
      <c r="H504" s="12"/>
      <c r="I504" s="8" t="s">
        <v>11723</v>
      </c>
    </row>
    <row r="505" spans="1:9" s="117" customFormat="1" ht="46.5" customHeight="1" x14ac:dyDescent="0.2">
      <c r="A505" s="12" t="s">
        <v>7807</v>
      </c>
      <c r="B505" s="12" t="s">
        <v>6326</v>
      </c>
      <c r="C505" s="667" t="s">
        <v>9906</v>
      </c>
      <c r="D505" s="12" t="s">
        <v>7823</v>
      </c>
      <c r="E505" s="12" t="s">
        <v>7027</v>
      </c>
      <c r="F505" s="65">
        <v>1200</v>
      </c>
      <c r="G505" s="57">
        <v>136032</v>
      </c>
      <c r="H505" s="12"/>
      <c r="I505" s="8" t="s">
        <v>11723</v>
      </c>
    </row>
    <row r="506" spans="1:9" s="117" customFormat="1" ht="46.5" customHeight="1" x14ac:dyDescent="0.2">
      <c r="A506" s="12" t="s">
        <v>7808</v>
      </c>
      <c r="B506" s="12" t="s">
        <v>6326</v>
      </c>
      <c r="C506" s="667" t="s">
        <v>9907</v>
      </c>
      <c r="D506" s="12" t="s">
        <v>7824</v>
      </c>
      <c r="E506" s="12" t="s">
        <v>7027</v>
      </c>
      <c r="F506" s="65">
        <v>1200</v>
      </c>
      <c r="G506" s="57">
        <v>136032</v>
      </c>
      <c r="H506" s="12"/>
      <c r="I506" s="8" t="s">
        <v>11723</v>
      </c>
    </row>
    <row r="507" spans="1:9" s="117" customFormat="1" ht="46.5" customHeight="1" x14ac:dyDescent="0.2">
      <c r="A507" s="12" t="s">
        <v>7809</v>
      </c>
      <c r="B507" s="12" t="s">
        <v>6326</v>
      </c>
      <c r="C507" s="667" t="s">
        <v>9908</v>
      </c>
      <c r="D507" s="12" t="s">
        <v>7826</v>
      </c>
      <c r="E507" s="12" t="s">
        <v>7027</v>
      </c>
      <c r="F507" s="65">
        <v>1200</v>
      </c>
      <c r="G507" s="57">
        <v>136032</v>
      </c>
      <c r="H507" s="12"/>
      <c r="I507" s="8" t="s">
        <v>11723</v>
      </c>
    </row>
    <row r="508" spans="1:9" s="117" customFormat="1" ht="46.5" customHeight="1" x14ac:dyDescent="0.2">
      <c r="A508" s="12" t="s">
        <v>7810</v>
      </c>
      <c r="B508" s="12" t="s">
        <v>6326</v>
      </c>
      <c r="C508" s="667" t="s">
        <v>9909</v>
      </c>
      <c r="D508" s="12" t="s">
        <v>7827</v>
      </c>
      <c r="E508" s="12" t="s">
        <v>7027</v>
      </c>
      <c r="F508" s="65">
        <v>1200</v>
      </c>
      <c r="G508" s="57">
        <v>136032</v>
      </c>
      <c r="H508" s="12"/>
      <c r="I508" s="8" t="s">
        <v>11723</v>
      </c>
    </row>
    <row r="509" spans="1:9" s="117" customFormat="1" ht="46.5" customHeight="1" x14ac:dyDescent="0.2">
      <c r="A509" s="12" t="s">
        <v>7811</v>
      </c>
      <c r="B509" s="12" t="s">
        <v>6326</v>
      </c>
      <c r="C509" s="667" t="s">
        <v>9910</v>
      </c>
      <c r="D509" s="12" t="s">
        <v>7828</v>
      </c>
      <c r="E509" s="12" t="s">
        <v>7027</v>
      </c>
      <c r="F509" s="65">
        <v>1200</v>
      </c>
      <c r="G509" s="57">
        <v>136032</v>
      </c>
      <c r="H509" s="12"/>
      <c r="I509" s="8" t="s">
        <v>11723</v>
      </c>
    </row>
    <row r="510" spans="1:9" s="117" customFormat="1" ht="46.5" customHeight="1" x14ac:dyDescent="0.2">
      <c r="A510" s="12" t="s">
        <v>7812</v>
      </c>
      <c r="B510" s="12" t="s">
        <v>6326</v>
      </c>
      <c r="C510" s="667" t="s">
        <v>9911</v>
      </c>
      <c r="D510" s="12" t="s">
        <v>7829</v>
      </c>
      <c r="E510" s="12" t="s">
        <v>7027</v>
      </c>
      <c r="F510" s="65">
        <v>1200</v>
      </c>
      <c r="G510" s="57">
        <v>136032</v>
      </c>
      <c r="H510" s="12"/>
      <c r="I510" s="8" t="s">
        <v>11723</v>
      </c>
    </row>
    <row r="511" spans="1:9" s="117" customFormat="1" ht="46.5" customHeight="1" x14ac:dyDescent="0.2">
      <c r="A511" s="12" t="s">
        <v>7813</v>
      </c>
      <c r="B511" s="12" t="s">
        <v>6326</v>
      </c>
      <c r="C511" s="667" t="s">
        <v>9912</v>
      </c>
      <c r="D511" s="12" t="s">
        <v>7830</v>
      </c>
      <c r="E511" s="12" t="s">
        <v>7027</v>
      </c>
      <c r="F511" s="65">
        <v>1200</v>
      </c>
      <c r="G511" s="57">
        <v>136032</v>
      </c>
      <c r="H511" s="12"/>
      <c r="I511" s="8" t="s">
        <v>11723</v>
      </c>
    </row>
    <row r="512" spans="1:9" s="117" customFormat="1" ht="46.5" customHeight="1" x14ac:dyDescent="0.2">
      <c r="A512" s="12" t="s">
        <v>7814</v>
      </c>
      <c r="B512" s="12" t="s">
        <v>6326</v>
      </c>
      <c r="C512" s="667" t="s">
        <v>9913</v>
      </c>
      <c r="D512" s="12" t="s">
        <v>7825</v>
      </c>
      <c r="E512" s="12" t="s">
        <v>7027</v>
      </c>
      <c r="F512" s="65">
        <v>1200</v>
      </c>
      <c r="G512" s="57">
        <v>136032</v>
      </c>
      <c r="H512" s="12"/>
      <c r="I512" s="8" t="s">
        <v>11723</v>
      </c>
    </row>
    <row r="513" spans="1:9" s="117" customFormat="1" ht="46.5" customHeight="1" x14ac:dyDescent="0.2">
      <c r="A513" s="12" t="s">
        <v>7815</v>
      </c>
      <c r="B513" s="12" t="s">
        <v>6326</v>
      </c>
      <c r="C513" s="667" t="s">
        <v>9914</v>
      </c>
      <c r="D513" s="12" t="s">
        <v>7832</v>
      </c>
      <c r="E513" s="12" t="s">
        <v>7027</v>
      </c>
      <c r="F513" s="65">
        <v>1200</v>
      </c>
      <c r="G513" s="57">
        <v>136032</v>
      </c>
      <c r="H513" s="12"/>
      <c r="I513" s="8" t="s">
        <v>11723</v>
      </c>
    </row>
    <row r="514" spans="1:9" s="117" customFormat="1" ht="46.5" customHeight="1" x14ac:dyDescent="0.2">
      <c r="A514" s="12" t="s">
        <v>7816</v>
      </c>
      <c r="B514" s="12" t="s">
        <v>6326</v>
      </c>
      <c r="C514" s="667" t="s">
        <v>9915</v>
      </c>
      <c r="D514" s="12" t="s">
        <v>7833</v>
      </c>
      <c r="E514" s="12" t="s">
        <v>7027</v>
      </c>
      <c r="F514" s="65">
        <v>1200</v>
      </c>
      <c r="G514" s="57">
        <v>136032</v>
      </c>
      <c r="H514" s="12"/>
      <c r="I514" s="8" t="s">
        <v>11723</v>
      </c>
    </row>
    <row r="515" spans="1:9" s="117" customFormat="1" ht="46.5" customHeight="1" x14ac:dyDescent="0.2">
      <c r="A515" s="12" t="s">
        <v>7817</v>
      </c>
      <c r="B515" s="12" t="s">
        <v>6326</v>
      </c>
      <c r="C515" s="667" t="s">
        <v>10121</v>
      </c>
      <c r="D515" s="12" t="s">
        <v>7834</v>
      </c>
      <c r="E515" s="12" t="s">
        <v>7027</v>
      </c>
      <c r="F515" s="65">
        <v>1200</v>
      </c>
      <c r="G515" s="57">
        <v>136032</v>
      </c>
      <c r="H515" s="12"/>
      <c r="I515" s="8" t="s">
        <v>11723</v>
      </c>
    </row>
    <row r="516" spans="1:9" s="117" customFormat="1" ht="46.5" customHeight="1" x14ac:dyDescent="0.2">
      <c r="A516" s="12" t="s">
        <v>7818</v>
      </c>
      <c r="B516" s="12" t="s">
        <v>6326</v>
      </c>
      <c r="C516" s="667" t="s">
        <v>10122</v>
      </c>
      <c r="D516" s="12" t="s">
        <v>7835</v>
      </c>
      <c r="E516" s="12" t="s">
        <v>7027</v>
      </c>
      <c r="F516" s="65">
        <v>1200</v>
      </c>
      <c r="G516" s="57">
        <v>136032</v>
      </c>
      <c r="H516" s="12"/>
      <c r="I516" s="8" t="s">
        <v>11723</v>
      </c>
    </row>
    <row r="517" spans="1:9" s="117" customFormat="1" ht="46.5" customHeight="1" x14ac:dyDescent="0.2">
      <c r="A517" s="12" t="s">
        <v>7819</v>
      </c>
      <c r="B517" s="12" t="s">
        <v>6326</v>
      </c>
      <c r="C517" s="667" t="s">
        <v>10123</v>
      </c>
      <c r="D517" s="12" t="s">
        <v>7836</v>
      </c>
      <c r="E517" s="12" t="s">
        <v>7027</v>
      </c>
      <c r="F517" s="65">
        <v>1200</v>
      </c>
      <c r="G517" s="57">
        <v>136032</v>
      </c>
      <c r="H517" s="12"/>
      <c r="I517" s="8" t="s">
        <v>11723</v>
      </c>
    </row>
    <row r="518" spans="1:9" s="117" customFormat="1" ht="46.5" customHeight="1" x14ac:dyDescent="0.2">
      <c r="A518" s="12" t="s">
        <v>7820</v>
      </c>
      <c r="B518" s="12" t="s">
        <v>6326</v>
      </c>
      <c r="C518" s="667" t="s">
        <v>10124</v>
      </c>
      <c r="D518" s="12" t="s">
        <v>7837</v>
      </c>
      <c r="E518" s="12" t="s">
        <v>7027</v>
      </c>
      <c r="F518" s="65">
        <v>1200</v>
      </c>
      <c r="G518" s="57">
        <v>136032</v>
      </c>
      <c r="H518" s="12"/>
      <c r="I518" s="8" t="s">
        <v>11723</v>
      </c>
    </row>
    <row r="519" spans="1:9" s="117" customFormat="1" ht="46.5" customHeight="1" x14ac:dyDescent="0.2">
      <c r="A519" s="12" t="s">
        <v>7851</v>
      </c>
      <c r="B519" s="12" t="s">
        <v>6326</v>
      </c>
      <c r="C519" s="667" t="s">
        <v>10125</v>
      </c>
      <c r="D519" s="12" t="s">
        <v>7838</v>
      </c>
      <c r="E519" s="12" t="s">
        <v>7027</v>
      </c>
      <c r="F519" s="65">
        <v>1200</v>
      </c>
      <c r="G519" s="57">
        <v>136032</v>
      </c>
      <c r="H519" s="12"/>
      <c r="I519" s="8" t="s">
        <v>11723</v>
      </c>
    </row>
    <row r="520" spans="1:9" s="117" customFormat="1" ht="46.5" customHeight="1" x14ac:dyDescent="0.2">
      <c r="A520" s="12" t="s">
        <v>7852</v>
      </c>
      <c r="B520" s="12" t="s">
        <v>6326</v>
      </c>
      <c r="C520" s="667" t="s">
        <v>10126</v>
      </c>
      <c r="D520" s="12" t="s">
        <v>7840</v>
      </c>
      <c r="E520" s="12" t="s">
        <v>7027</v>
      </c>
      <c r="F520" s="65">
        <v>1200</v>
      </c>
      <c r="G520" s="57">
        <v>136032</v>
      </c>
      <c r="H520" s="12"/>
      <c r="I520" s="8" t="s">
        <v>11723</v>
      </c>
    </row>
    <row r="521" spans="1:9" s="117" customFormat="1" ht="46.5" customHeight="1" x14ac:dyDescent="0.2">
      <c r="A521" s="12" t="s">
        <v>7853</v>
      </c>
      <c r="B521" s="12" t="s">
        <v>6326</v>
      </c>
      <c r="C521" s="667" t="s">
        <v>10127</v>
      </c>
      <c r="D521" s="12" t="s">
        <v>7831</v>
      </c>
      <c r="E521" s="12" t="s">
        <v>7027</v>
      </c>
      <c r="F521" s="65">
        <v>1200</v>
      </c>
      <c r="G521" s="57">
        <v>136032</v>
      </c>
      <c r="H521" s="12"/>
      <c r="I521" s="8" t="s">
        <v>11723</v>
      </c>
    </row>
    <row r="522" spans="1:9" s="117" customFormat="1" ht="46.5" customHeight="1" x14ac:dyDescent="0.2">
      <c r="A522" s="12" t="s">
        <v>7854</v>
      </c>
      <c r="B522" s="12" t="s">
        <v>6326</v>
      </c>
      <c r="C522" s="667" t="s">
        <v>10128</v>
      </c>
      <c r="D522" s="12" t="s">
        <v>7841</v>
      </c>
      <c r="E522" s="12" t="s">
        <v>7027</v>
      </c>
      <c r="F522" s="65">
        <v>1200</v>
      </c>
      <c r="G522" s="57">
        <v>136032</v>
      </c>
      <c r="H522" s="12"/>
      <c r="I522" s="8" t="s">
        <v>11723</v>
      </c>
    </row>
    <row r="523" spans="1:9" s="117" customFormat="1" ht="46.5" customHeight="1" x14ac:dyDescent="0.2">
      <c r="A523" s="12" t="s">
        <v>7855</v>
      </c>
      <c r="B523" s="12" t="s">
        <v>6326</v>
      </c>
      <c r="C523" s="667" t="s">
        <v>10129</v>
      </c>
      <c r="D523" s="12" t="s">
        <v>7842</v>
      </c>
      <c r="E523" s="12" t="s">
        <v>7027</v>
      </c>
      <c r="F523" s="65">
        <v>1200</v>
      </c>
      <c r="G523" s="57">
        <v>136032</v>
      </c>
      <c r="H523" s="12"/>
      <c r="I523" s="8" t="s">
        <v>11723</v>
      </c>
    </row>
    <row r="524" spans="1:9" s="117" customFormat="1" ht="46.5" customHeight="1" x14ac:dyDescent="0.2">
      <c r="A524" s="12" t="s">
        <v>7856</v>
      </c>
      <c r="B524" s="12" t="s">
        <v>6326</v>
      </c>
      <c r="C524" s="667" t="s">
        <v>10130</v>
      </c>
      <c r="D524" s="12" t="s">
        <v>7843</v>
      </c>
      <c r="E524" s="12" t="s">
        <v>7027</v>
      </c>
      <c r="F524" s="65">
        <v>1200</v>
      </c>
      <c r="G524" s="57">
        <v>136032</v>
      </c>
      <c r="H524" s="12"/>
      <c r="I524" s="8" t="s">
        <v>11723</v>
      </c>
    </row>
    <row r="525" spans="1:9" s="117" customFormat="1" ht="46.5" customHeight="1" x14ac:dyDescent="0.2">
      <c r="A525" s="12" t="s">
        <v>7857</v>
      </c>
      <c r="B525" s="12" t="s">
        <v>6326</v>
      </c>
      <c r="C525" s="667" t="s">
        <v>10131</v>
      </c>
      <c r="D525" s="12" t="s">
        <v>7844</v>
      </c>
      <c r="E525" s="12" t="s">
        <v>7027</v>
      </c>
      <c r="F525" s="65">
        <v>1200</v>
      </c>
      <c r="G525" s="57">
        <v>136032</v>
      </c>
      <c r="H525" s="12"/>
      <c r="I525" s="8" t="s">
        <v>11723</v>
      </c>
    </row>
    <row r="526" spans="1:9" s="117" customFormat="1" ht="46.5" customHeight="1" x14ac:dyDescent="0.2">
      <c r="A526" s="12" t="s">
        <v>7858</v>
      </c>
      <c r="B526" s="12" t="s">
        <v>6326</v>
      </c>
      <c r="C526" s="667" t="s">
        <v>10132</v>
      </c>
      <c r="D526" s="12" t="s">
        <v>7845</v>
      </c>
      <c r="E526" s="12" t="s">
        <v>7027</v>
      </c>
      <c r="F526" s="65">
        <v>1200</v>
      </c>
      <c r="G526" s="57">
        <v>136032</v>
      </c>
      <c r="H526" s="12"/>
      <c r="I526" s="8" t="s">
        <v>11723</v>
      </c>
    </row>
    <row r="527" spans="1:9" s="117" customFormat="1" ht="46.5" customHeight="1" x14ac:dyDescent="0.2">
      <c r="A527" s="12" t="s">
        <v>7859</v>
      </c>
      <c r="B527" s="12" t="s">
        <v>6326</v>
      </c>
      <c r="C527" s="667" t="s">
        <v>10133</v>
      </c>
      <c r="D527" s="12" t="s">
        <v>7839</v>
      </c>
      <c r="E527" s="12" t="s">
        <v>7027</v>
      </c>
      <c r="F527" s="65">
        <v>1200</v>
      </c>
      <c r="G527" s="57">
        <v>136032</v>
      </c>
      <c r="H527" s="12"/>
      <c r="I527" s="8" t="s">
        <v>11723</v>
      </c>
    </row>
    <row r="528" spans="1:9" s="117" customFormat="1" ht="46.5" customHeight="1" x14ac:dyDescent="0.2">
      <c r="A528" s="12" t="s">
        <v>7860</v>
      </c>
      <c r="B528" s="12" t="s">
        <v>6326</v>
      </c>
      <c r="C528" s="667" t="s">
        <v>10134</v>
      </c>
      <c r="D528" s="12" t="s">
        <v>7846</v>
      </c>
      <c r="E528" s="12" t="s">
        <v>7027</v>
      </c>
      <c r="F528" s="65">
        <v>1200</v>
      </c>
      <c r="G528" s="57">
        <v>136032</v>
      </c>
      <c r="H528" s="12"/>
      <c r="I528" s="8" t="s">
        <v>11723</v>
      </c>
    </row>
    <row r="529" spans="1:9" s="117" customFormat="1" ht="46.5" customHeight="1" x14ac:dyDescent="0.2">
      <c r="A529" s="12" t="s">
        <v>7861</v>
      </c>
      <c r="B529" s="12" t="s">
        <v>6326</v>
      </c>
      <c r="C529" s="667" t="s">
        <v>10135</v>
      </c>
      <c r="D529" s="12" t="s">
        <v>7847</v>
      </c>
      <c r="E529" s="12" t="s">
        <v>7027</v>
      </c>
      <c r="F529" s="65">
        <v>1200</v>
      </c>
      <c r="G529" s="57">
        <v>136032</v>
      </c>
      <c r="H529" s="12"/>
      <c r="I529" s="8" t="s">
        <v>11723</v>
      </c>
    </row>
    <row r="530" spans="1:9" s="117" customFormat="1" ht="46.5" customHeight="1" x14ac:dyDescent="0.2">
      <c r="A530" s="12" t="s">
        <v>7862</v>
      </c>
      <c r="B530" s="12" t="s">
        <v>6326</v>
      </c>
      <c r="C530" s="667" t="s">
        <v>10136</v>
      </c>
      <c r="D530" s="12" t="s">
        <v>7848</v>
      </c>
      <c r="E530" s="12" t="s">
        <v>7027</v>
      </c>
      <c r="F530" s="65">
        <v>1200</v>
      </c>
      <c r="G530" s="57">
        <v>136032</v>
      </c>
      <c r="H530" s="12"/>
      <c r="I530" s="8" t="s">
        <v>11723</v>
      </c>
    </row>
    <row r="531" spans="1:9" s="117" customFormat="1" ht="46.5" customHeight="1" x14ac:dyDescent="0.2">
      <c r="A531" s="12" t="s">
        <v>7863</v>
      </c>
      <c r="B531" s="12" t="s">
        <v>6326</v>
      </c>
      <c r="C531" s="667" t="s">
        <v>10137</v>
      </c>
      <c r="D531" s="12" t="s">
        <v>7849</v>
      </c>
      <c r="E531" s="12" t="s">
        <v>7027</v>
      </c>
      <c r="F531" s="65">
        <v>1200</v>
      </c>
      <c r="G531" s="57">
        <v>136032</v>
      </c>
      <c r="H531" s="12"/>
      <c r="I531" s="8" t="s">
        <v>11723</v>
      </c>
    </row>
    <row r="532" spans="1:9" s="117" customFormat="1" ht="46.5" customHeight="1" x14ac:dyDescent="0.2">
      <c r="A532" s="12" t="s">
        <v>7864</v>
      </c>
      <c r="B532" s="12" t="s">
        <v>6326</v>
      </c>
      <c r="C532" s="667" t="s">
        <v>10138</v>
      </c>
      <c r="D532" s="12" t="s">
        <v>7891</v>
      </c>
      <c r="E532" s="12" t="s">
        <v>7027</v>
      </c>
      <c r="F532" s="65">
        <v>1200</v>
      </c>
      <c r="G532" s="57">
        <v>136032</v>
      </c>
      <c r="H532" s="12"/>
      <c r="I532" s="8" t="s">
        <v>11723</v>
      </c>
    </row>
    <row r="533" spans="1:9" s="117" customFormat="1" ht="46.5" customHeight="1" x14ac:dyDescent="0.2">
      <c r="A533" s="12" t="s">
        <v>7865</v>
      </c>
      <c r="B533" s="12" t="s">
        <v>6326</v>
      </c>
      <c r="C533" s="667" t="s">
        <v>10139</v>
      </c>
      <c r="D533" s="12" t="s">
        <v>7893</v>
      </c>
      <c r="E533" s="12" t="s">
        <v>7027</v>
      </c>
      <c r="F533" s="65">
        <v>1200</v>
      </c>
      <c r="G533" s="57">
        <v>136032</v>
      </c>
      <c r="H533" s="12"/>
      <c r="I533" s="8" t="s">
        <v>11723</v>
      </c>
    </row>
    <row r="534" spans="1:9" s="117" customFormat="1" ht="46.5" customHeight="1" x14ac:dyDescent="0.2">
      <c r="A534" s="12" t="s">
        <v>7866</v>
      </c>
      <c r="B534" s="12" t="s">
        <v>6326</v>
      </c>
      <c r="C534" s="667" t="s">
        <v>10140</v>
      </c>
      <c r="D534" s="12" t="s">
        <v>7894</v>
      </c>
      <c r="E534" s="12" t="s">
        <v>7027</v>
      </c>
      <c r="F534" s="65">
        <v>1200</v>
      </c>
      <c r="G534" s="57">
        <v>136032</v>
      </c>
      <c r="H534" s="12"/>
      <c r="I534" s="8" t="s">
        <v>11723</v>
      </c>
    </row>
    <row r="535" spans="1:9" s="117" customFormat="1" ht="46.5" customHeight="1" x14ac:dyDescent="0.2">
      <c r="A535" s="12" t="s">
        <v>7867</v>
      </c>
      <c r="B535" s="12" t="s">
        <v>6326</v>
      </c>
      <c r="C535" s="667" t="s">
        <v>10141</v>
      </c>
      <c r="D535" s="12" t="s">
        <v>7892</v>
      </c>
      <c r="E535" s="12" t="s">
        <v>7027</v>
      </c>
      <c r="F535" s="65">
        <v>1200</v>
      </c>
      <c r="G535" s="57">
        <v>136032</v>
      </c>
      <c r="H535" s="12"/>
      <c r="I535" s="8" t="s">
        <v>11723</v>
      </c>
    </row>
    <row r="536" spans="1:9" s="117" customFormat="1" ht="46.5" customHeight="1" x14ac:dyDescent="0.2">
      <c r="A536" s="12" t="s">
        <v>7868</v>
      </c>
      <c r="B536" s="12" t="s">
        <v>8376</v>
      </c>
      <c r="C536" s="667" t="s">
        <v>10142</v>
      </c>
      <c r="D536" s="12" t="s">
        <v>7927</v>
      </c>
      <c r="E536" s="12" t="s">
        <v>7027</v>
      </c>
      <c r="F536" s="65">
        <v>1200</v>
      </c>
      <c r="G536" s="57">
        <v>136032</v>
      </c>
      <c r="H536" s="12"/>
      <c r="I536" s="8" t="s">
        <v>11723</v>
      </c>
    </row>
    <row r="537" spans="1:9" s="117" customFormat="1" ht="46.5" customHeight="1" x14ac:dyDescent="0.2">
      <c r="A537" s="12" t="s">
        <v>7869</v>
      </c>
      <c r="B537" s="12" t="s">
        <v>8376</v>
      </c>
      <c r="C537" s="667" t="s">
        <v>10143</v>
      </c>
      <c r="D537" s="12" t="s">
        <v>7928</v>
      </c>
      <c r="E537" s="12" t="s">
        <v>7027</v>
      </c>
      <c r="F537" s="65">
        <v>1200</v>
      </c>
      <c r="G537" s="57">
        <v>136032</v>
      </c>
      <c r="H537" s="12"/>
      <c r="I537" s="8" t="s">
        <v>11723</v>
      </c>
    </row>
    <row r="538" spans="1:9" s="117" customFormat="1" ht="46.5" customHeight="1" x14ac:dyDescent="0.2">
      <c r="A538" s="12" t="s">
        <v>7870</v>
      </c>
      <c r="B538" s="12" t="s">
        <v>8376</v>
      </c>
      <c r="C538" s="667" t="s">
        <v>10144</v>
      </c>
      <c r="D538" s="12" t="s">
        <v>7929</v>
      </c>
      <c r="E538" s="12" t="s">
        <v>7027</v>
      </c>
      <c r="F538" s="65">
        <v>1200</v>
      </c>
      <c r="G538" s="57">
        <v>136032</v>
      </c>
      <c r="H538" s="12"/>
      <c r="I538" s="8" t="s">
        <v>11723</v>
      </c>
    </row>
    <row r="539" spans="1:9" s="117" customFormat="1" ht="46.5" customHeight="1" x14ac:dyDescent="0.2">
      <c r="A539" s="12" t="s">
        <v>7871</v>
      </c>
      <c r="B539" s="12" t="s">
        <v>8376</v>
      </c>
      <c r="C539" s="667" t="s">
        <v>10145</v>
      </c>
      <c r="D539" s="12" t="s">
        <v>7930</v>
      </c>
      <c r="E539" s="12" t="s">
        <v>7027</v>
      </c>
      <c r="F539" s="65">
        <v>1200</v>
      </c>
      <c r="G539" s="57">
        <v>136032</v>
      </c>
      <c r="H539" s="12"/>
      <c r="I539" s="8" t="s">
        <v>11723</v>
      </c>
    </row>
    <row r="540" spans="1:9" s="117" customFormat="1" ht="46.5" customHeight="1" x14ac:dyDescent="0.2">
      <c r="A540" s="12" t="s">
        <v>7872</v>
      </c>
      <c r="B540" s="12" t="s">
        <v>8376</v>
      </c>
      <c r="C540" s="667" t="s">
        <v>10146</v>
      </c>
      <c r="D540" s="12" t="s">
        <v>7884</v>
      </c>
      <c r="E540" s="12" t="s">
        <v>7027</v>
      </c>
      <c r="F540" s="65">
        <v>1200</v>
      </c>
      <c r="G540" s="57">
        <v>136032</v>
      </c>
      <c r="H540" s="12"/>
      <c r="I540" s="8" t="s">
        <v>11723</v>
      </c>
    </row>
    <row r="541" spans="1:9" s="117" customFormat="1" ht="46.5" customHeight="1" x14ac:dyDescent="0.2">
      <c r="A541" s="12" t="s">
        <v>7873</v>
      </c>
      <c r="B541" s="12" t="s">
        <v>8376</v>
      </c>
      <c r="C541" s="667" t="s">
        <v>10147</v>
      </c>
      <c r="D541" s="12" t="s">
        <v>7896</v>
      </c>
      <c r="E541" s="12" t="s">
        <v>7027</v>
      </c>
      <c r="F541" s="65">
        <v>1200</v>
      </c>
      <c r="G541" s="57">
        <v>136032</v>
      </c>
      <c r="H541" s="12"/>
      <c r="I541" s="8" t="s">
        <v>11723</v>
      </c>
    </row>
    <row r="542" spans="1:9" s="117" customFormat="1" ht="46.5" customHeight="1" x14ac:dyDescent="0.2">
      <c r="A542" s="12" t="s">
        <v>7874</v>
      </c>
      <c r="B542" s="12" t="s">
        <v>8376</v>
      </c>
      <c r="C542" s="667" t="s">
        <v>10148</v>
      </c>
      <c r="D542" s="12" t="s">
        <v>7897</v>
      </c>
      <c r="E542" s="12" t="s">
        <v>7027</v>
      </c>
      <c r="F542" s="65">
        <v>1200</v>
      </c>
      <c r="G542" s="57">
        <v>136032</v>
      </c>
      <c r="H542" s="12"/>
      <c r="I542" s="8" t="s">
        <v>11723</v>
      </c>
    </row>
    <row r="543" spans="1:9" s="117" customFormat="1" ht="46.5" customHeight="1" x14ac:dyDescent="0.2">
      <c r="A543" s="12" t="s">
        <v>7875</v>
      </c>
      <c r="B543" s="12" t="s">
        <v>8376</v>
      </c>
      <c r="C543" s="667" t="s">
        <v>10485</v>
      </c>
      <c r="D543" s="12" t="s">
        <v>7885</v>
      </c>
      <c r="E543" s="12" t="s">
        <v>7027</v>
      </c>
      <c r="F543" s="65">
        <v>1200</v>
      </c>
      <c r="G543" s="57">
        <v>136032</v>
      </c>
      <c r="H543" s="12"/>
      <c r="I543" s="8" t="s">
        <v>11723</v>
      </c>
    </row>
    <row r="544" spans="1:9" s="117" customFormat="1" ht="46.5" customHeight="1" x14ac:dyDescent="0.2">
      <c r="A544" s="12" t="s">
        <v>7876</v>
      </c>
      <c r="B544" s="12" t="s">
        <v>8376</v>
      </c>
      <c r="C544" s="667" t="s">
        <v>10149</v>
      </c>
      <c r="D544" s="12" t="s">
        <v>7895</v>
      </c>
      <c r="E544" s="12" t="s">
        <v>7027</v>
      </c>
      <c r="F544" s="65">
        <v>1200</v>
      </c>
      <c r="G544" s="57">
        <v>136032</v>
      </c>
      <c r="H544" s="12"/>
      <c r="I544" s="8" t="s">
        <v>11723</v>
      </c>
    </row>
    <row r="545" spans="1:9" s="117" customFormat="1" ht="46.5" customHeight="1" x14ac:dyDescent="0.2">
      <c r="A545" s="12" t="s">
        <v>7877</v>
      </c>
      <c r="B545" s="12" t="s">
        <v>8376</v>
      </c>
      <c r="C545" s="669" t="s">
        <v>10150</v>
      </c>
      <c r="D545" s="12" t="s">
        <v>7898</v>
      </c>
      <c r="E545" s="12" t="s">
        <v>7027</v>
      </c>
      <c r="F545" s="65">
        <v>1200</v>
      </c>
      <c r="G545" s="57">
        <v>136032</v>
      </c>
      <c r="H545" s="12"/>
      <c r="I545" s="8" t="s">
        <v>11723</v>
      </c>
    </row>
    <row r="546" spans="1:9" s="117" customFormat="1" ht="46.5" customHeight="1" x14ac:dyDescent="0.2">
      <c r="A546" s="12" t="s">
        <v>7878</v>
      </c>
      <c r="B546" s="12" t="s">
        <v>8376</v>
      </c>
      <c r="C546" s="669" t="s">
        <v>10151</v>
      </c>
      <c r="D546" s="12" t="s">
        <v>7899</v>
      </c>
      <c r="E546" s="12" t="s">
        <v>7027</v>
      </c>
      <c r="F546" s="65">
        <v>1200</v>
      </c>
      <c r="G546" s="57">
        <v>136032</v>
      </c>
      <c r="H546" s="12"/>
      <c r="I546" s="8" t="s">
        <v>11723</v>
      </c>
    </row>
    <row r="547" spans="1:9" s="117" customFormat="1" ht="46.5" customHeight="1" x14ac:dyDescent="0.2">
      <c r="A547" s="12" t="s">
        <v>7879</v>
      </c>
      <c r="B547" s="12" t="s">
        <v>8376</v>
      </c>
      <c r="C547" s="669" t="s">
        <v>10152</v>
      </c>
      <c r="D547" s="12" t="s">
        <v>7900</v>
      </c>
      <c r="E547" s="12" t="s">
        <v>7027</v>
      </c>
      <c r="F547" s="65">
        <v>1200</v>
      </c>
      <c r="G547" s="57">
        <v>136032</v>
      </c>
      <c r="H547" s="12"/>
      <c r="I547" s="8" t="s">
        <v>11723</v>
      </c>
    </row>
    <row r="548" spans="1:9" s="117" customFormat="1" ht="46.5" customHeight="1" x14ac:dyDescent="0.2">
      <c r="A548" s="12" t="s">
        <v>7886</v>
      </c>
      <c r="B548" s="12" t="s">
        <v>8376</v>
      </c>
      <c r="C548" s="669" t="s">
        <v>10153</v>
      </c>
      <c r="D548" s="12" t="s">
        <v>7902</v>
      </c>
      <c r="E548" s="12" t="s">
        <v>7027</v>
      </c>
      <c r="F548" s="65">
        <v>1200</v>
      </c>
      <c r="G548" s="57">
        <v>136032</v>
      </c>
      <c r="H548" s="12"/>
      <c r="I548" s="8" t="s">
        <v>11723</v>
      </c>
    </row>
    <row r="549" spans="1:9" s="117" customFormat="1" ht="46.5" customHeight="1" x14ac:dyDescent="0.2">
      <c r="A549" s="12" t="s">
        <v>7887</v>
      </c>
      <c r="B549" s="12" t="s">
        <v>8376</v>
      </c>
      <c r="C549" s="669" t="s">
        <v>10154</v>
      </c>
      <c r="D549" s="12" t="s">
        <v>7901</v>
      </c>
      <c r="E549" s="12" t="s">
        <v>7027</v>
      </c>
      <c r="F549" s="65">
        <v>1200</v>
      </c>
      <c r="G549" s="57">
        <v>136032</v>
      </c>
      <c r="H549" s="12"/>
      <c r="I549" s="8" t="s">
        <v>11723</v>
      </c>
    </row>
    <row r="550" spans="1:9" s="117" customFormat="1" ht="46.5" customHeight="1" x14ac:dyDescent="0.2">
      <c r="A550" s="12" t="s">
        <v>7888</v>
      </c>
      <c r="B550" s="12" t="s">
        <v>8376</v>
      </c>
      <c r="C550" s="669" t="s">
        <v>10155</v>
      </c>
      <c r="D550" s="12" t="s">
        <v>7903</v>
      </c>
      <c r="E550" s="12" t="s">
        <v>7027</v>
      </c>
      <c r="F550" s="65">
        <v>1200</v>
      </c>
      <c r="G550" s="57">
        <v>136032</v>
      </c>
      <c r="H550" s="12"/>
      <c r="I550" s="8" t="s">
        <v>11723</v>
      </c>
    </row>
    <row r="551" spans="1:9" s="117" customFormat="1" ht="46.5" customHeight="1" x14ac:dyDescent="0.2">
      <c r="A551" s="12" t="s">
        <v>7889</v>
      </c>
      <c r="B551" s="12" t="s">
        <v>8376</v>
      </c>
      <c r="C551" s="667" t="s">
        <v>10156</v>
      </c>
      <c r="D551" s="12" t="s">
        <v>7931</v>
      </c>
      <c r="E551" s="12" t="s">
        <v>7027</v>
      </c>
      <c r="F551" s="65">
        <v>1200</v>
      </c>
      <c r="G551" s="57">
        <v>136032</v>
      </c>
      <c r="H551" s="12"/>
      <c r="I551" s="8" t="s">
        <v>11723</v>
      </c>
    </row>
    <row r="552" spans="1:9" s="117" customFormat="1" ht="46.5" customHeight="1" x14ac:dyDescent="0.2">
      <c r="A552" s="12" t="s">
        <v>7890</v>
      </c>
      <c r="B552" s="12" t="s">
        <v>8376</v>
      </c>
      <c r="C552" s="667" t="s">
        <v>10157</v>
      </c>
      <c r="D552" s="12" t="s">
        <v>7933</v>
      </c>
      <c r="E552" s="12" t="s">
        <v>7027</v>
      </c>
      <c r="F552" s="65">
        <v>1200</v>
      </c>
      <c r="G552" s="57">
        <v>136032</v>
      </c>
      <c r="H552" s="12"/>
      <c r="I552" s="8" t="s">
        <v>11723</v>
      </c>
    </row>
    <row r="553" spans="1:9" s="117" customFormat="1" ht="46.5" customHeight="1" x14ac:dyDescent="0.2">
      <c r="A553" s="12" t="s">
        <v>7904</v>
      </c>
      <c r="B553" s="12" t="s">
        <v>8376</v>
      </c>
      <c r="C553" s="667" t="s">
        <v>10158</v>
      </c>
      <c r="D553" s="12" t="s">
        <v>7934</v>
      </c>
      <c r="E553" s="12" t="s">
        <v>7027</v>
      </c>
      <c r="F553" s="65">
        <v>1200</v>
      </c>
      <c r="G553" s="57">
        <v>136032</v>
      </c>
      <c r="H553" s="12"/>
      <c r="I553" s="8" t="s">
        <v>11723</v>
      </c>
    </row>
    <row r="554" spans="1:9" s="117" customFormat="1" ht="46.5" customHeight="1" x14ac:dyDescent="0.2">
      <c r="A554" s="12" t="s">
        <v>7905</v>
      </c>
      <c r="B554" s="12" t="s">
        <v>8376</v>
      </c>
      <c r="C554" s="667" t="s">
        <v>10159</v>
      </c>
      <c r="D554" s="12" t="s">
        <v>7936</v>
      </c>
      <c r="E554" s="12" t="s">
        <v>7027</v>
      </c>
      <c r="F554" s="65">
        <v>1200</v>
      </c>
      <c r="G554" s="57">
        <v>136032</v>
      </c>
      <c r="H554" s="12"/>
      <c r="I554" s="8" t="s">
        <v>11723</v>
      </c>
    </row>
    <row r="555" spans="1:9" s="117" customFormat="1" ht="46.5" customHeight="1" x14ac:dyDescent="0.2">
      <c r="A555" s="12" t="s">
        <v>7906</v>
      </c>
      <c r="B555" s="12" t="s">
        <v>8376</v>
      </c>
      <c r="C555" s="667" t="s">
        <v>10160</v>
      </c>
      <c r="D555" s="12" t="s">
        <v>7937</v>
      </c>
      <c r="E555" s="12" t="s">
        <v>7027</v>
      </c>
      <c r="F555" s="65">
        <v>1200</v>
      </c>
      <c r="G555" s="57">
        <v>136032</v>
      </c>
      <c r="H555" s="12"/>
      <c r="I555" s="8" t="s">
        <v>11723</v>
      </c>
    </row>
    <row r="556" spans="1:9" s="117" customFormat="1" ht="46.5" customHeight="1" x14ac:dyDescent="0.2">
      <c r="A556" s="12" t="s">
        <v>7907</v>
      </c>
      <c r="B556" s="12" t="s">
        <v>8376</v>
      </c>
      <c r="C556" s="667" t="s">
        <v>10161</v>
      </c>
      <c r="D556" s="12" t="s">
        <v>7932</v>
      </c>
      <c r="E556" s="12" t="s">
        <v>7027</v>
      </c>
      <c r="F556" s="65">
        <v>1200</v>
      </c>
      <c r="G556" s="57">
        <v>136032</v>
      </c>
      <c r="H556" s="12"/>
      <c r="I556" s="8" t="s">
        <v>11723</v>
      </c>
    </row>
    <row r="557" spans="1:9" s="117" customFormat="1" ht="46.5" customHeight="1" x14ac:dyDescent="0.2">
      <c r="A557" s="12" t="s">
        <v>7908</v>
      </c>
      <c r="B557" s="12" t="s">
        <v>8376</v>
      </c>
      <c r="C557" s="667" t="s">
        <v>10162</v>
      </c>
      <c r="D557" s="12" t="s">
        <v>7938</v>
      </c>
      <c r="E557" s="12" t="s">
        <v>7027</v>
      </c>
      <c r="F557" s="65">
        <v>1200</v>
      </c>
      <c r="G557" s="57">
        <v>136032</v>
      </c>
      <c r="H557" s="12"/>
      <c r="I557" s="8" t="s">
        <v>11723</v>
      </c>
    </row>
    <row r="558" spans="1:9" s="117" customFormat="1" ht="46.5" customHeight="1" x14ac:dyDescent="0.2">
      <c r="A558" s="12" t="s">
        <v>7909</v>
      </c>
      <c r="B558" s="12" t="s">
        <v>8376</v>
      </c>
      <c r="C558" s="667" t="s">
        <v>10163</v>
      </c>
      <c r="D558" s="12" t="s">
        <v>7939</v>
      </c>
      <c r="E558" s="12" t="s">
        <v>7027</v>
      </c>
      <c r="F558" s="65">
        <v>1200</v>
      </c>
      <c r="G558" s="57">
        <v>136032</v>
      </c>
      <c r="H558" s="12"/>
      <c r="I558" s="8" t="s">
        <v>11723</v>
      </c>
    </row>
    <row r="559" spans="1:9" s="117" customFormat="1" ht="46.5" customHeight="1" x14ac:dyDescent="0.2">
      <c r="A559" s="12" t="s">
        <v>7910</v>
      </c>
      <c r="B559" s="12" t="s">
        <v>8376</v>
      </c>
      <c r="C559" s="667" t="s">
        <v>10164</v>
      </c>
      <c r="D559" s="12" t="s">
        <v>7940</v>
      </c>
      <c r="E559" s="12" t="s">
        <v>7027</v>
      </c>
      <c r="F559" s="65">
        <v>1200</v>
      </c>
      <c r="G559" s="57">
        <v>136032</v>
      </c>
      <c r="H559" s="12"/>
      <c r="I559" s="8" t="s">
        <v>11723</v>
      </c>
    </row>
    <row r="560" spans="1:9" s="117" customFormat="1" ht="46.5" customHeight="1" x14ac:dyDescent="0.2">
      <c r="A560" s="12" t="s">
        <v>7911</v>
      </c>
      <c r="B560" s="12" t="s">
        <v>8376</v>
      </c>
      <c r="C560" s="667" t="s">
        <v>10165</v>
      </c>
      <c r="D560" s="12" t="s">
        <v>7941</v>
      </c>
      <c r="E560" s="12" t="s">
        <v>7027</v>
      </c>
      <c r="F560" s="65">
        <v>1200</v>
      </c>
      <c r="G560" s="57">
        <v>136032</v>
      </c>
      <c r="H560" s="12"/>
      <c r="I560" s="8" t="s">
        <v>11723</v>
      </c>
    </row>
    <row r="561" spans="1:9" s="117" customFormat="1" ht="46.5" customHeight="1" x14ac:dyDescent="0.2">
      <c r="A561" s="12" t="s">
        <v>7912</v>
      </c>
      <c r="B561" s="12" t="s">
        <v>8376</v>
      </c>
      <c r="C561" s="667" t="s">
        <v>10166</v>
      </c>
      <c r="D561" s="12" t="s">
        <v>7942</v>
      </c>
      <c r="E561" s="12" t="s">
        <v>7027</v>
      </c>
      <c r="F561" s="65">
        <v>1200</v>
      </c>
      <c r="G561" s="57">
        <v>136032</v>
      </c>
      <c r="H561" s="12"/>
      <c r="I561" s="8" t="s">
        <v>11723</v>
      </c>
    </row>
    <row r="562" spans="1:9" s="117" customFormat="1" ht="46.5" customHeight="1" x14ac:dyDescent="0.2">
      <c r="A562" s="12" t="s">
        <v>7913</v>
      </c>
      <c r="B562" s="12" t="s">
        <v>8376</v>
      </c>
      <c r="C562" s="667" t="s">
        <v>10167</v>
      </c>
      <c r="D562" s="12" t="s">
        <v>7944</v>
      </c>
      <c r="E562" s="12" t="s">
        <v>7027</v>
      </c>
      <c r="F562" s="65">
        <v>1200</v>
      </c>
      <c r="G562" s="57">
        <v>136032</v>
      </c>
      <c r="H562" s="12"/>
      <c r="I562" s="8" t="s">
        <v>11723</v>
      </c>
    </row>
    <row r="563" spans="1:9" s="117" customFormat="1" ht="46.5" customHeight="1" x14ac:dyDescent="0.2">
      <c r="A563" s="12" t="s">
        <v>7914</v>
      </c>
      <c r="B563" s="12" t="s">
        <v>8376</v>
      </c>
      <c r="C563" s="667" t="s">
        <v>10168</v>
      </c>
      <c r="D563" s="12" t="s">
        <v>7945</v>
      </c>
      <c r="E563" s="12" t="s">
        <v>7027</v>
      </c>
      <c r="F563" s="65">
        <v>1200</v>
      </c>
      <c r="G563" s="57">
        <v>136032</v>
      </c>
      <c r="H563" s="12"/>
      <c r="I563" s="8" t="s">
        <v>11723</v>
      </c>
    </row>
    <row r="564" spans="1:9" s="117" customFormat="1" ht="46.5" customHeight="1" x14ac:dyDescent="0.2">
      <c r="A564" s="12" t="s">
        <v>7915</v>
      </c>
      <c r="B564" s="12" t="s">
        <v>8376</v>
      </c>
      <c r="C564" s="667" t="s">
        <v>10169</v>
      </c>
      <c r="D564" s="12" t="s">
        <v>7946</v>
      </c>
      <c r="E564" s="12" t="s">
        <v>7027</v>
      </c>
      <c r="F564" s="65">
        <v>1200</v>
      </c>
      <c r="G564" s="57">
        <v>136032</v>
      </c>
      <c r="H564" s="12"/>
      <c r="I564" s="8" t="s">
        <v>11723</v>
      </c>
    </row>
    <row r="565" spans="1:9" s="117" customFormat="1" ht="46.5" customHeight="1" x14ac:dyDescent="0.2">
      <c r="A565" s="12" t="s">
        <v>7916</v>
      </c>
      <c r="B565" s="12" t="s">
        <v>8376</v>
      </c>
      <c r="C565" s="667" t="s">
        <v>10170</v>
      </c>
      <c r="D565" s="12" t="s">
        <v>7947</v>
      </c>
      <c r="E565" s="12" t="s">
        <v>7027</v>
      </c>
      <c r="F565" s="65">
        <v>1200</v>
      </c>
      <c r="G565" s="57">
        <v>136032</v>
      </c>
      <c r="H565" s="12"/>
      <c r="I565" s="8" t="s">
        <v>11723</v>
      </c>
    </row>
    <row r="566" spans="1:9" s="117" customFormat="1" ht="46.5" customHeight="1" x14ac:dyDescent="0.2">
      <c r="A566" s="12" t="s">
        <v>7917</v>
      </c>
      <c r="B566" s="12" t="s">
        <v>8376</v>
      </c>
      <c r="C566" s="667" t="s">
        <v>10171</v>
      </c>
      <c r="D566" s="12" t="s">
        <v>7948</v>
      </c>
      <c r="E566" s="12" t="s">
        <v>7027</v>
      </c>
      <c r="F566" s="65">
        <v>1200</v>
      </c>
      <c r="G566" s="57">
        <v>136032</v>
      </c>
      <c r="H566" s="12"/>
      <c r="I566" s="8" t="s">
        <v>11723</v>
      </c>
    </row>
    <row r="567" spans="1:9" s="117" customFormat="1" ht="46.5" customHeight="1" x14ac:dyDescent="0.2">
      <c r="A567" s="12" t="s">
        <v>7918</v>
      </c>
      <c r="B567" s="12" t="s">
        <v>8376</v>
      </c>
      <c r="C567" s="667" t="s">
        <v>10172</v>
      </c>
      <c r="D567" s="12" t="s">
        <v>7949</v>
      </c>
      <c r="E567" s="12" t="s">
        <v>7027</v>
      </c>
      <c r="F567" s="65">
        <v>1200</v>
      </c>
      <c r="G567" s="57">
        <v>136032</v>
      </c>
      <c r="H567" s="12"/>
      <c r="I567" s="8" t="s">
        <v>11723</v>
      </c>
    </row>
    <row r="568" spans="1:9" s="117" customFormat="1" ht="46.5" customHeight="1" x14ac:dyDescent="0.2">
      <c r="A568" s="12" t="s">
        <v>7919</v>
      </c>
      <c r="B568" s="12" t="s">
        <v>8376</v>
      </c>
      <c r="C568" s="667" t="s">
        <v>10173</v>
      </c>
      <c r="D568" s="12" t="s">
        <v>7950</v>
      </c>
      <c r="E568" s="12" t="s">
        <v>7027</v>
      </c>
      <c r="F568" s="65">
        <v>1200</v>
      </c>
      <c r="G568" s="57">
        <v>136032</v>
      </c>
      <c r="H568" s="12"/>
      <c r="I568" s="8" t="s">
        <v>11723</v>
      </c>
    </row>
    <row r="569" spans="1:9" s="117" customFormat="1" ht="46.5" customHeight="1" x14ac:dyDescent="0.2">
      <c r="A569" s="12" t="s">
        <v>7920</v>
      </c>
      <c r="B569" s="12" t="s">
        <v>8376</v>
      </c>
      <c r="C569" s="667" t="s">
        <v>10174</v>
      </c>
      <c r="D569" s="12" t="s">
        <v>7951</v>
      </c>
      <c r="E569" s="12" t="s">
        <v>7027</v>
      </c>
      <c r="F569" s="65">
        <v>1200</v>
      </c>
      <c r="G569" s="57">
        <v>136032</v>
      </c>
      <c r="H569" s="12"/>
      <c r="I569" s="8" t="s">
        <v>11723</v>
      </c>
    </row>
    <row r="570" spans="1:9" s="117" customFormat="1" ht="46.5" customHeight="1" x14ac:dyDescent="0.2">
      <c r="A570" s="12" t="s">
        <v>7921</v>
      </c>
      <c r="B570" s="12" t="s">
        <v>8376</v>
      </c>
      <c r="C570" s="667" t="s">
        <v>10175</v>
      </c>
      <c r="D570" s="12" t="s">
        <v>7952</v>
      </c>
      <c r="E570" s="12" t="s">
        <v>7027</v>
      </c>
      <c r="F570" s="65">
        <v>1200</v>
      </c>
      <c r="G570" s="57">
        <v>136032</v>
      </c>
      <c r="H570" s="12"/>
      <c r="I570" s="8" t="s">
        <v>11723</v>
      </c>
    </row>
    <row r="571" spans="1:9" s="117" customFormat="1" ht="46.5" customHeight="1" x14ac:dyDescent="0.2">
      <c r="A571" s="12" t="s">
        <v>7922</v>
      </c>
      <c r="B571" s="12" t="s">
        <v>8376</v>
      </c>
      <c r="C571" s="667" t="s">
        <v>10176</v>
      </c>
      <c r="D571" s="12" t="s">
        <v>7969</v>
      </c>
      <c r="E571" s="12" t="s">
        <v>7027</v>
      </c>
      <c r="F571" s="65">
        <v>1200</v>
      </c>
      <c r="G571" s="57">
        <v>136032</v>
      </c>
      <c r="H571" s="12"/>
      <c r="I571" s="8" t="s">
        <v>11723</v>
      </c>
    </row>
    <row r="572" spans="1:9" s="117" customFormat="1" ht="46.5" customHeight="1" x14ac:dyDescent="0.2">
      <c r="A572" s="12" t="s">
        <v>7923</v>
      </c>
      <c r="B572" s="12" t="s">
        <v>8376</v>
      </c>
      <c r="C572" s="667" t="s">
        <v>10177</v>
      </c>
      <c r="D572" s="12" t="s">
        <v>7971</v>
      </c>
      <c r="E572" s="12" t="s">
        <v>7027</v>
      </c>
      <c r="F572" s="65">
        <v>1200</v>
      </c>
      <c r="G572" s="57">
        <v>136032</v>
      </c>
      <c r="H572" s="12"/>
      <c r="I572" s="8" t="s">
        <v>11723</v>
      </c>
    </row>
    <row r="573" spans="1:9" s="117" customFormat="1" ht="46.5" customHeight="1" x14ac:dyDescent="0.2">
      <c r="A573" s="12" t="s">
        <v>7924</v>
      </c>
      <c r="B573" s="12" t="s">
        <v>8376</v>
      </c>
      <c r="C573" s="667" t="s">
        <v>10178</v>
      </c>
      <c r="D573" s="12" t="s">
        <v>7972</v>
      </c>
      <c r="E573" s="12" t="s">
        <v>7027</v>
      </c>
      <c r="F573" s="65">
        <v>1200</v>
      </c>
      <c r="G573" s="57">
        <v>136032</v>
      </c>
      <c r="H573" s="12"/>
      <c r="I573" s="8" t="s">
        <v>11723</v>
      </c>
    </row>
    <row r="574" spans="1:9" s="117" customFormat="1" ht="46.5" customHeight="1" x14ac:dyDescent="0.2">
      <c r="A574" s="12" t="s">
        <v>7925</v>
      </c>
      <c r="B574" s="12" t="s">
        <v>8376</v>
      </c>
      <c r="C574" s="667" t="s">
        <v>10179</v>
      </c>
      <c r="D574" s="12" t="s">
        <v>7973</v>
      </c>
      <c r="E574" s="12" t="s">
        <v>7027</v>
      </c>
      <c r="F574" s="65">
        <v>1200</v>
      </c>
      <c r="G574" s="57">
        <v>136032</v>
      </c>
      <c r="H574" s="12"/>
      <c r="I574" s="8" t="s">
        <v>11723</v>
      </c>
    </row>
    <row r="575" spans="1:9" s="117" customFormat="1" ht="46.5" customHeight="1" x14ac:dyDescent="0.2">
      <c r="A575" s="12" t="s">
        <v>7926</v>
      </c>
      <c r="B575" s="12" t="s">
        <v>8376</v>
      </c>
      <c r="C575" s="667" t="s">
        <v>10180</v>
      </c>
      <c r="D575" s="12" t="s">
        <v>7974</v>
      </c>
      <c r="E575" s="12" t="s">
        <v>7027</v>
      </c>
      <c r="F575" s="65">
        <v>1200</v>
      </c>
      <c r="G575" s="57">
        <v>136032</v>
      </c>
      <c r="H575" s="12"/>
      <c r="I575" s="8" t="s">
        <v>11723</v>
      </c>
    </row>
    <row r="576" spans="1:9" s="117" customFormat="1" ht="46.5" customHeight="1" x14ac:dyDescent="0.2">
      <c r="A576" s="12" t="s">
        <v>7955</v>
      </c>
      <c r="B576" s="12" t="s">
        <v>8376</v>
      </c>
      <c r="C576" s="667" t="s">
        <v>10181</v>
      </c>
      <c r="D576" s="12" t="s">
        <v>7970</v>
      </c>
      <c r="E576" s="12" t="s">
        <v>7027</v>
      </c>
      <c r="F576" s="65">
        <v>1200</v>
      </c>
      <c r="G576" s="57">
        <v>136032</v>
      </c>
      <c r="H576" s="12"/>
      <c r="I576" s="8" t="s">
        <v>11723</v>
      </c>
    </row>
    <row r="577" spans="1:9" s="117" customFormat="1" ht="46.5" customHeight="1" x14ac:dyDescent="0.2">
      <c r="A577" s="12" t="s">
        <v>7956</v>
      </c>
      <c r="B577" s="12" t="s">
        <v>8376</v>
      </c>
      <c r="C577" s="667" t="s">
        <v>10182</v>
      </c>
      <c r="D577" s="12" t="s">
        <v>7975</v>
      </c>
      <c r="E577" s="12" t="s">
        <v>7027</v>
      </c>
      <c r="F577" s="65">
        <v>1200</v>
      </c>
      <c r="G577" s="57">
        <v>136032</v>
      </c>
      <c r="H577" s="12"/>
      <c r="I577" s="8" t="s">
        <v>11723</v>
      </c>
    </row>
    <row r="578" spans="1:9" s="117" customFormat="1" ht="46.5" customHeight="1" x14ac:dyDescent="0.2">
      <c r="A578" s="12" t="s">
        <v>7957</v>
      </c>
      <c r="B578" s="12" t="s">
        <v>8376</v>
      </c>
      <c r="C578" s="667" t="s">
        <v>10183</v>
      </c>
      <c r="D578" s="12" t="s">
        <v>7976</v>
      </c>
      <c r="E578" s="12" t="s">
        <v>7027</v>
      </c>
      <c r="F578" s="65">
        <v>1200</v>
      </c>
      <c r="G578" s="57">
        <v>136032</v>
      </c>
      <c r="H578" s="12"/>
      <c r="I578" s="8" t="s">
        <v>11723</v>
      </c>
    </row>
    <row r="579" spans="1:9" s="117" customFormat="1" ht="46.5" customHeight="1" x14ac:dyDescent="0.2">
      <c r="A579" s="12" t="s">
        <v>7958</v>
      </c>
      <c r="B579" s="12" t="s">
        <v>8376</v>
      </c>
      <c r="C579" s="667" t="s">
        <v>10184</v>
      </c>
      <c r="D579" s="12" t="s">
        <v>7935</v>
      </c>
      <c r="E579" s="12" t="s">
        <v>7027</v>
      </c>
      <c r="F579" s="65">
        <v>1200</v>
      </c>
      <c r="G579" s="57">
        <v>136032</v>
      </c>
      <c r="H579" s="12"/>
      <c r="I579" s="8" t="s">
        <v>11723</v>
      </c>
    </row>
    <row r="580" spans="1:9" s="117" customFormat="1" ht="46.5" customHeight="1" x14ac:dyDescent="0.2">
      <c r="A580" s="12" t="s">
        <v>7959</v>
      </c>
      <c r="B580" s="12" t="s">
        <v>8376</v>
      </c>
      <c r="C580" s="667" t="s">
        <v>10185</v>
      </c>
      <c r="D580" s="12" t="s">
        <v>7953</v>
      </c>
      <c r="E580" s="12" t="s">
        <v>7027</v>
      </c>
      <c r="F580" s="65">
        <v>1200</v>
      </c>
      <c r="G580" s="57">
        <v>136032</v>
      </c>
      <c r="H580" s="12"/>
      <c r="I580" s="8" t="s">
        <v>11723</v>
      </c>
    </row>
    <row r="581" spans="1:9" s="117" customFormat="1" ht="46.5" customHeight="1" x14ac:dyDescent="0.2">
      <c r="A581" s="12" t="s">
        <v>7960</v>
      </c>
      <c r="B581" s="12" t="s">
        <v>8376</v>
      </c>
      <c r="C581" s="667" t="s">
        <v>10186</v>
      </c>
      <c r="D581" s="12" t="s">
        <v>7954</v>
      </c>
      <c r="E581" s="12" t="s">
        <v>7027</v>
      </c>
      <c r="F581" s="65">
        <v>1200</v>
      </c>
      <c r="G581" s="57">
        <v>136032</v>
      </c>
      <c r="H581" s="12"/>
      <c r="I581" s="8" t="s">
        <v>11723</v>
      </c>
    </row>
    <row r="582" spans="1:9" s="117" customFormat="1" ht="46.5" customHeight="1" x14ac:dyDescent="0.2">
      <c r="A582" s="12" t="s">
        <v>7961</v>
      </c>
      <c r="B582" s="12" t="s">
        <v>8376</v>
      </c>
      <c r="C582" s="667" t="s">
        <v>10187</v>
      </c>
      <c r="D582" s="12" t="s">
        <v>7977</v>
      </c>
      <c r="E582" s="12" t="s">
        <v>7027</v>
      </c>
      <c r="F582" s="65">
        <v>1200</v>
      </c>
      <c r="G582" s="57">
        <v>136032</v>
      </c>
      <c r="H582" s="12"/>
      <c r="I582" s="8" t="s">
        <v>11723</v>
      </c>
    </row>
    <row r="583" spans="1:9" s="117" customFormat="1" ht="46.5" customHeight="1" x14ac:dyDescent="0.2">
      <c r="A583" s="12" t="s">
        <v>7962</v>
      </c>
      <c r="B583" s="12" t="s">
        <v>8376</v>
      </c>
      <c r="C583" s="667" t="s">
        <v>10188</v>
      </c>
      <c r="D583" s="12" t="s">
        <v>7978</v>
      </c>
      <c r="E583" s="12" t="s">
        <v>7027</v>
      </c>
      <c r="F583" s="65">
        <v>1200</v>
      </c>
      <c r="G583" s="57">
        <v>136032</v>
      </c>
      <c r="H583" s="12"/>
      <c r="I583" s="8" t="s">
        <v>11723</v>
      </c>
    </row>
    <row r="584" spans="1:9" s="117" customFormat="1" ht="46.5" customHeight="1" x14ac:dyDescent="0.2">
      <c r="A584" s="12" t="s">
        <v>7963</v>
      </c>
      <c r="B584" s="12" t="s">
        <v>8376</v>
      </c>
      <c r="C584" s="667" t="s">
        <v>10189</v>
      </c>
      <c r="D584" s="12" t="s">
        <v>7979</v>
      </c>
      <c r="E584" s="12" t="s">
        <v>7027</v>
      </c>
      <c r="F584" s="65">
        <v>1200</v>
      </c>
      <c r="G584" s="57">
        <v>136032</v>
      </c>
      <c r="H584" s="12"/>
      <c r="I584" s="8" t="s">
        <v>11723</v>
      </c>
    </row>
    <row r="585" spans="1:9" s="117" customFormat="1" ht="46.5" customHeight="1" x14ac:dyDescent="0.2">
      <c r="A585" s="12" t="s">
        <v>7964</v>
      </c>
      <c r="B585" s="12" t="s">
        <v>8376</v>
      </c>
      <c r="C585" s="667" t="s">
        <v>10192</v>
      </c>
      <c r="D585" s="12" t="s">
        <v>7980</v>
      </c>
      <c r="E585" s="12" t="s">
        <v>7027</v>
      </c>
      <c r="F585" s="65">
        <v>1200</v>
      </c>
      <c r="G585" s="57">
        <v>136032</v>
      </c>
      <c r="H585" s="12"/>
      <c r="I585" s="8" t="s">
        <v>11723</v>
      </c>
    </row>
    <row r="586" spans="1:9" s="117" customFormat="1" ht="46.5" customHeight="1" x14ac:dyDescent="0.2">
      <c r="A586" s="12" t="s">
        <v>7965</v>
      </c>
      <c r="B586" s="12" t="s">
        <v>8376</v>
      </c>
      <c r="C586" s="667" t="s">
        <v>10193</v>
      </c>
      <c r="D586" s="12" t="s">
        <v>7981</v>
      </c>
      <c r="E586" s="12" t="s">
        <v>7027</v>
      </c>
      <c r="F586" s="65">
        <v>1200</v>
      </c>
      <c r="G586" s="57">
        <v>136032</v>
      </c>
      <c r="H586" s="12"/>
      <c r="I586" s="8" t="s">
        <v>11723</v>
      </c>
    </row>
    <row r="587" spans="1:9" s="117" customFormat="1" ht="46.5" customHeight="1" x14ac:dyDescent="0.2">
      <c r="A587" s="12" t="s">
        <v>7966</v>
      </c>
      <c r="B587" s="12" t="s">
        <v>8376</v>
      </c>
      <c r="C587" s="667" t="s">
        <v>10194</v>
      </c>
      <c r="D587" s="12" t="s">
        <v>7982</v>
      </c>
      <c r="E587" s="12" t="s">
        <v>7027</v>
      </c>
      <c r="F587" s="65">
        <v>1200</v>
      </c>
      <c r="G587" s="57">
        <v>136032</v>
      </c>
      <c r="H587" s="12"/>
      <c r="I587" s="8" t="s">
        <v>11723</v>
      </c>
    </row>
    <row r="588" spans="1:9" s="117" customFormat="1" ht="46.5" customHeight="1" x14ac:dyDescent="0.2">
      <c r="A588" s="12" t="s">
        <v>7967</v>
      </c>
      <c r="B588" s="12" t="s">
        <v>8376</v>
      </c>
      <c r="C588" s="667" t="s">
        <v>10195</v>
      </c>
      <c r="D588" s="12" t="s">
        <v>7983</v>
      </c>
      <c r="E588" s="12" t="s">
        <v>7027</v>
      </c>
      <c r="F588" s="65">
        <v>1200</v>
      </c>
      <c r="G588" s="57">
        <v>136032</v>
      </c>
      <c r="H588" s="12"/>
      <c r="I588" s="8" t="s">
        <v>11723</v>
      </c>
    </row>
    <row r="589" spans="1:9" s="117" customFormat="1" ht="46.5" customHeight="1" x14ac:dyDescent="0.2">
      <c r="A589" s="12" t="s">
        <v>7968</v>
      </c>
      <c r="B589" s="12" t="s">
        <v>8376</v>
      </c>
      <c r="C589" s="667" t="s">
        <v>10196</v>
      </c>
      <c r="D589" s="12" t="s">
        <v>7943</v>
      </c>
      <c r="E589" s="12" t="s">
        <v>7027</v>
      </c>
      <c r="F589" s="65">
        <v>1200</v>
      </c>
      <c r="G589" s="57">
        <v>136032</v>
      </c>
      <c r="H589" s="12"/>
      <c r="I589" s="8" t="s">
        <v>11723</v>
      </c>
    </row>
    <row r="590" spans="1:9" s="117" customFormat="1" ht="46.5" customHeight="1" x14ac:dyDescent="0.2">
      <c r="A590" s="12" t="s">
        <v>7984</v>
      </c>
      <c r="B590" s="12" t="s">
        <v>8376</v>
      </c>
      <c r="C590" s="667" t="s">
        <v>10197</v>
      </c>
      <c r="D590" s="12" t="s">
        <v>8053</v>
      </c>
      <c r="E590" s="12" t="s">
        <v>7027</v>
      </c>
      <c r="F590" s="65">
        <v>1200</v>
      </c>
      <c r="G590" s="57">
        <v>136032</v>
      </c>
      <c r="H590" s="12"/>
      <c r="I590" s="8" t="s">
        <v>11723</v>
      </c>
    </row>
    <row r="591" spans="1:9" s="117" customFormat="1" ht="46.5" customHeight="1" x14ac:dyDescent="0.2">
      <c r="A591" s="12" t="s">
        <v>7985</v>
      </c>
      <c r="B591" s="12" t="s">
        <v>8376</v>
      </c>
      <c r="C591" s="667" t="s">
        <v>10198</v>
      </c>
      <c r="D591" s="12" t="s">
        <v>8081</v>
      </c>
      <c r="E591" s="12" t="s">
        <v>7027</v>
      </c>
      <c r="F591" s="65">
        <v>1200</v>
      </c>
      <c r="G591" s="57">
        <v>136032</v>
      </c>
      <c r="H591" s="12"/>
      <c r="I591" s="8" t="s">
        <v>11723</v>
      </c>
    </row>
    <row r="592" spans="1:9" s="117" customFormat="1" ht="46.5" customHeight="1" x14ac:dyDescent="0.2">
      <c r="A592" s="12" t="s">
        <v>7986</v>
      </c>
      <c r="B592" s="12" t="s">
        <v>8376</v>
      </c>
      <c r="C592" s="667" t="s">
        <v>10199</v>
      </c>
      <c r="D592" s="12" t="s">
        <v>8054</v>
      </c>
      <c r="E592" s="12" t="s">
        <v>7027</v>
      </c>
      <c r="F592" s="65">
        <v>1200</v>
      </c>
      <c r="G592" s="57">
        <v>136032</v>
      </c>
      <c r="H592" s="12"/>
      <c r="I592" s="8" t="s">
        <v>11723</v>
      </c>
    </row>
    <row r="593" spans="1:9" s="117" customFormat="1" ht="46.5" customHeight="1" x14ac:dyDescent="0.2">
      <c r="A593" s="12" t="s">
        <v>7987</v>
      </c>
      <c r="B593" s="12" t="s">
        <v>8376</v>
      </c>
      <c r="C593" s="667" t="s">
        <v>10200</v>
      </c>
      <c r="D593" s="12" t="s">
        <v>8055</v>
      </c>
      <c r="E593" s="12" t="s">
        <v>7027</v>
      </c>
      <c r="F593" s="65">
        <v>1200</v>
      </c>
      <c r="G593" s="57">
        <v>136032</v>
      </c>
      <c r="H593" s="12"/>
      <c r="I593" s="8" t="s">
        <v>11723</v>
      </c>
    </row>
    <row r="594" spans="1:9" s="117" customFormat="1" ht="46.5" customHeight="1" x14ac:dyDescent="0.2">
      <c r="A594" s="12" t="s">
        <v>7994</v>
      </c>
      <c r="B594" s="12" t="s">
        <v>8376</v>
      </c>
      <c r="C594" s="667" t="s">
        <v>10201</v>
      </c>
      <c r="D594" s="12" t="s">
        <v>8056</v>
      </c>
      <c r="E594" s="12" t="s">
        <v>7027</v>
      </c>
      <c r="F594" s="65">
        <v>1200</v>
      </c>
      <c r="G594" s="57">
        <v>136032</v>
      </c>
      <c r="H594" s="12"/>
      <c r="I594" s="8" t="s">
        <v>11723</v>
      </c>
    </row>
    <row r="595" spans="1:9" s="117" customFormat="1" ht="46.5" customHeight="1" x14ac:dyDescent="0.2">
      <c r="A595" s="12" t="s">
        <v>7995</v>
      </c>
      <c r="B595" s="12" t="s">
        <v>8376</v>
      </c>
      <c r="C595" s="667" t="s">
        <v>10202</v>
      </c>
      <c r="D595" s="12" t="s">
        <v>8057</v>
      </c>
      <c r="E595" s="12" t="s">
        <v>7027</v>
      </c>
      <c r="F595" s="65">
        <v>1200</v>
      </c>
      <c r="G595" s="57">
        <v>136032</v>
      </c>
      <c r="H595" s="12"/>
      <c r="I595" s="8" t="s">
        <v>11723</v>
      </c>
    </row>
    <row r="596" spans="1:9" s="117" customFormat="1" ht="46.5" customHeight="1" x14ac:dyDescent="0.2">
      <c r="A596" s="12" t="s">
        <v>8002</v>
      </c>
      <c r="B596" s="12" t="s">
        <v>8376</v>
      </c>
      <c r="C596" s="667" t="s">
        <v>10203</v>
      </c>
      <c r="D596" s="12" t="s">
        <v>8058</v>
      </c>
      <c r="E596" s="12" t="s">
        <v>7027</v>
      </c>
      <c r="F596" s="65">
        <v>1200</v>
      </c>
      <c r="G596" s="57">
        <v>136032</v>
      </c>
      <c r="H596" s="12"/>
      <c r="I596" s="8" t="s">
        <v>11723</v>
      </c>
    </row>
    <row r="597" spans="1:9" s="117" customFormat="1" ht="46.5" customHeight="1" x14ac:dyDescent="0.2">
      <c r="A597" s="12" t="s">
        <v>8003</v>
      </c>
      <c r="B597" s="12" t="s">
        <v>8376</v>
      </c>
      <c r="C597" s="667" t="s">
        <v>10204</v>
      </c>
      <c r="D597" s="12" t="s">
        <v>8059</v>
      </c>
      <c r="E597" s="12" t="s">
        <v>7027</v>
      </c>
      <c r="F597" s="65">
        <v>1200</v>
      </c>
      <c r="G597" s="57">
        <v>136032</v>
      </c>
      <c r="H597" s="12"/>
      <c r="I597" s="8" t="s">
        <v>11723</v>
      </c>
    </row>
    <row r="598" spans="1:9" s="117" customFormat="1" ht="46.5" customHeight="1" x14ac:dyDescent="0.2">
      <c r="A598" s="12" t="s">
        <v>8004</v>
      </c>
      <c r="B598" s="12" t="s">
        <v>8376</v>
      </c>
      <c r="C598" s="667" t="s">
        <v>10205</v>
      </c>
      <c r="D598" s="12" t="s">
        <v>8060</v>
      </c>
      <c r="E598" s="12" t="s">
        <v>7027</v>
      </c>
      <c r="F598" s="65">
        <v>1200</v>
      </c>
      <c r="G598" s="57">
        <v>136032</v>
      </c>
      <c r="H598" s="12"/>
      <c r="I598" s="8" t="s">
        <v>11723</v>
      </c>
    </row>
    <row r="599" spans="1:9" s="117" customFormat="1" ht="46.5" customHeight="1" x14ac:dyDescent="0.2">
      <c r="A599" s="12" t="s">
        <v>8007</v>
      </c>
      <c r="B599" s="12" t="s">
        <v>8376</v>
      </c>
      <c r="C599" s="667" t="s">
        <v>10191</v>
      </c>
      <c r="D599" s="12" t="s">
        <v>8082</v>
      </c>
      <c r="E599" s="12" t="s">
        <v>7027</v>
      </c>
      <c r="F599" s="65">
        <v>1200</v>
      </c>
      <c r="G599" s="57">
        <v>136032</v>
      </c>
      <c r="H599" s="12"/>
      <c r="I599" s="8" t="s">
        <v>11723</v>
      </c>
    </row>
    <row r="600" spans="1:9" s="117" customFormat="1" ht="46.5" customHeight="1" x14ac:dyDescent="0.2">
      <c r="A600" s="12" t="s">
        <v>8008</v>
      </c>
      <c r="B600" s="12" t="s">
        <v>8376</v>
      </c>
      <c r="C600" s="667" t="s">
        <v>10190</v>
      </c>
      <c r="D600" s="12" t="s">
        <v>8083</v>
      </c>
      <c r="E600" s="12" t="s">
        <v>7027</v>
      </c>
      <c r="F600" s="65">
        <v>1200</v>
      </c>
      <c r="G600" s="57">
        <v>136032</v>
      </c>
      <c r="H600" s="12"/>
      <c r="I600" s="8" t="s">
        <v>11723</v>
      </c>
    </row>
    <row r="601" spans="1:9" s="117" customFormat="1" ht="46.5" customHeight="1" x14ac:dyDescent="0.2">
      <c r="A601" s="12" t="s">
        <v>8009</v>
      </c>
      <c r="B601" s="12" t="s">
        <v>8376</v>
      </c>
      <c r="C601" s="667" t="s">
        <v>10206</v>
      </c>
      <c r="D601" s="12" t="s">
        <v>8084</v>
      </c>
      <c r="E601" s="12" t="s">
        <v>7027</v>
      </c>
      <c r="F601" s="65">
        <v>1200</v>
      </c>
      <c r="G601" s="57">
        <v>136032</v>
      </c>
      <c r="H601" s="12"/>
      <c r="I601" s="8" t="s">
        <v>11723</v>
      </c>
    </row>
    <row r="602" spans="1:9" s="117" customFormat="1" ht="46.5" customHeight="1" x14ac:dyDescent="0.2">
      <c r="A602" s="12" t="s">
        <v>8010</v>
      </c>
      <c r="B602" s="12" t="s">
        <v>8376</v>
      </c>
      <c r="C602" s="667" t="s">
        <v>10207</v>
      </c>
      <c r="D602" s="12" t="s">
        <v>8085</v>
      </c>
      <c r="E602" s="12" t="s">
        <v>7027</v>
      </c>
      <c r="F602" s="65">
        <v>1200</v>
      </c>
      <c r="G602" s="57">
        <v>136032</v>
      </c>
      <c r="H602" s="12"/>
      <c r="I602" s="8" t="s">
        <v>11723</v>
      </c>
    </row>
    <row r="603" spans="1:9" s="117" customFormat="1" ht="46.5" customHeight="1" x14ac:dyDescent="0.2">
      <c r="A603" s="12" t="s">
        <v>8011</v>
      </c>
      <c r="B603" s="12" t="s">
        <v>8376</v>
      </c>
      <c r="C603" s="667" t="s">
        <v>10208</v>
      </c>
      <c r="D603" s="12" t="s">
        <v>8044</v>
      </c>
      <c r="E603" s="12" t="s">
        <v>7027</v>
      </c>
      <c r="F603" s="65">
        <v>1200</v>
      </c>
      <c r="G603" s="57">
        <v>136032</v>
      </c>
      <c r="H603" s="12"/>
      <c r="I603" s="8" t="s">
        <v>11723</v>
      </c>
    </row>
    <row r="604" spans="1:9" s="117" customFormat="1" ht="46.5" customHeight="1" x14ac:dyDescent="0.2">
      <c r="A604" s="12" t="s">
        <v>8012</v>
      </c>
      <c r="B604" s="12" t="s">
        <v>8376</v>
      </c>
      <c r="C604" s="667" t="s">
        <v>10209</v>
      </c>
      <c r="D604" s="12" t="s">
        <v>8045</v>
      </c>
      <c r="E604" s="12" t="s">
        <v>7027</v>
      </c>
      <c r="F604" s="65">
        <v>1200</v>
      </c>
      <c r="G604" s="57">
        <v>136032</v>
      </c>
      <c r="H604" s="12"/>
      <c r="I604" s="8" t="s">
        <v>11723</v>
      </c>
    </row>
    <row r="605" spans="1:9" s="117" customFormat="1" ht="46.5" customHeight="1" x14ac:dyDescent="0.2">
      <c r="A605" s="12" t="s">
        <v>8013</v>
      </c>
      <c r="B605" s="12" t="s">
        <v>8376</v>
      </c>
      <c r="C605" s="667" t="s">
        <v>10210</v>
      </c>
      <c r="D605" s="12" t="s">
        <v>8086</v>
      </c>
      <c r="E605" s="12" t="s">
        <v>7027</v>
      </c>
      <c r="F605" s="65">
        <v>1200</v>
      </c>
      <c r="G605" s="57">
        <v>136032</v>
      </c>
      <c r="H605" s="12"/>
      <c r="I605" s="8" t="s">
        <v>11723</v>
      </c>
    </row>
    <row r="606" spans="1:9" s="117" customFormat="1" ht="46.5" customHeight="1" x14ac:dyDescent="0.2">
      <c r="A606" s="12" t="s">
        <v>8014</v>
      </c>
      <c r="B606" s="12" t="s">
        <v>8376</v>
      </c>
      <c r="C606" s="667" t="s">
        <v>10211</v>
      </c>
      <c r="D606" s="12" t="s">
        <v>8061</v>
      </c>
      <c r="E606" s="12" t="s">
        <v>7027</v>
      </c>
      <c r="F606" s="65">
        <v>1200</v>
      </c>
      <c r="G606" s="57">
        <v>136032</v>
      </c>
      <c r="H606" s="12"/>
      <c r="I606" s="8" t="s">
        <v>11723</v>
      </c>
    </row>
    <row r="607" spans="1:9" s="117" customFormat="1" ht="46.5" customHeight="1" x14ac:dyDescent="0.2">
      <c r="A607" s="12" t="s">
        <v>8015</v>
      </c>
      <c r="B607" s="12" t="s">
        <v>8376</v>
      </c>
      <c r="C607" s="669" t="s">
        <v>10212</v>
      </c>
      <c r="D607" s="12" t="s">
        <v>8087</v>
      </c>
      <c r="E607" s="12" t="s">
        <v>7027</v>
      </c>
      <c r="F607" s="65">
        <v>1200</v>
      </c>
      <c r="G607" s="57">
        <v>136032</v>
      </c>
      <c r="H607" s="12"/>
      <c r="I607" s="8" t="s">
        <v>11723</v>
      </c>
    </row>
    <row r="608" spans="1:9" s="117" customFormat="1" ht="46.5" customHeight="1" x14ac:dyDescent="0.2">
      <c r="A608" s="12" t="s">
        <v>8016</v>
      </c>
      <c r="B608" s="12" t="s">
        <v>8376</v>
      </c>
      <c r="C608" s="669" t="s">
        <v>10213</v>
      </c>
      <c r="D608" s="12" t="s">
        <v>8088</v>
      </c>
      <c r="E608" s="12" t="s">
        <v>7027</v>
      </c>
      <c r="F608" s="65">
        <v>1200</v>
      </c>
      <c r="G608" s="57">
        <v>136032</v>
      </c>
      <c r="H608" s="12"/>
      <c r="I608" s="8" t="s">
        <v>11723</v>
      </c>
    </row>
    <row r="609" spans="1:9" s="117" customFormat="1" ht="46.5" customHeight="1" x14ac:dyDescent="0.2">
      <c r="A609" s="12" t="s">
        <v>8030</v>
      </c>
      <c r="B609" s="12" t="s">
        <v>8376</v>
      </c>
      <c r="C609" s="669" t="s">
        <v>10214</v>
      </c>
      <c r="D609" s="12" t="s">
        <v>8089</v>
      </c>
      <c r="E609" s="12" t="s">
        <v>7027</v>
      </c>
      <c r="F609" s="65">
        <v>1200</v>
      </c>
      <c r="G609" s="57">
        <v>136032</v>
      </c>
      <c r="H609" s="12"/>
      <c r="I609" s="8" t="s">
        <v>11723</v>
      </c>
    </row>
    <row r="610" spans="1:9" s="117" customFormat="1" ht="46.5" customHeight="1" x14ac:dyDescent="0.2">
      <c r="A610" s="12" t="s">
        <v>8031</v>
      </c>
      <c r="B610" s="12" t="s">
        <v>8376</v>
      </c>
      <c r="C610" s="669" t="s">
        <v>10215</v>
      </c>
      <c r="D610" s="12" t="s">
        <v>8090</v>
      </c>
      <c r="E610" s="12" t="s">
        <v>7027</v>
      </c>
      <c r="F610" s="65">
        <v>1200</v>
      </c>
      <c r="G610" s="57">
        <v>136032</v>
      </c>
      <c r="H610" s="12"/>
      <c r="I610" s="8" t="s">
        <v>11723</v>
      </c>
    </row>
    <row r="611" spans="1:9" s="117" customFormat="1" ht="46.5" customHeight="1" x14ac:dyDescent="0.2">
      <c r="A611" s="12" t="s">
        <v>8032</v>
      </c>
      <c r="B611" s="12" t="s">
        <v>8376</v>
      </c>
      <c r="C611" s="669" t="s">
        <v>10216</v>
      </c>
      <c r="D611" s="12" t="s">
        <v>8091</v>
      </c>
      <c r="E611" s="12" t="s">
        <v>7027</v>
      </c>
      <c r="F611" s="65">
        <v>1200</v>
      </c>
      <c r="G611" s="57">
        <v>136032</v>
      </c>
      <c r="H611" s="12"/>
      <c r="I611" s="8" t="s">
        <v>11723</v>
      </c>
    </row>
    <row r="612" spans="1:9" s="117" customFormat="1" ht="46.5" customHeight="1" x14ac:dyDescent="0.2">
      <c r="A612" s="12" t="s">
        <v>8033</v>
      </c>
      <c r="B612" s="12" t="s">
        <v>8376</v>
      </c>
      <c r="C612" s="669" t="s">
        <v>10217</v>
      </c>
      <c r="D612" s="12" t="s">
        <v>8092</v>
      </c>
      <c r="E612" s="12" t="s">
        <v>7027</v>
      </c>
      <c r="F612" s="65">
        <v>1200</v>
      </c>
      <c r="G612" s="57">
        <v>136032</v>
      </c>
      <c r="H612" s="12"/>
      <c r="I612" s="8" t="s">
        <v>11723</v>
      </c>
    </row>
    <row r="613" spans="1:9" s="117" customFormat="1" ht="46.5" customHeight="1" x14ac:dyDescent="0.2">
      <c r="A613" s="12" t="s">
        <v>8034</v>
      </c>
      <c r="B613" s="12" t="s">
        <v>8376</v>
      </c>
      <c r="C613" s="669" t="s">
        <v>10218</v>
      </c>
      <c r="D613" s="12" t="s">
        <v>8093</v>
      </c>
      <c r="E613" s="12" t="s">
        <v>7027</v>
      </c>
      <c r="F613" s="65">
        <v>1200</v>
      </c>
      <c r="G613" s="57">
        <v>136032</v>
      </c>
      <c r="H613" s="12"/>
      <c r="I613" s="8" t="s">
        <v>11723</v>
      </c>
    </row>
    <row r="614" spans="1:9" s="117" customFormat="1" ht="46.5" customHeight="1" x14ac:dyDescent="0.2">
      <c r="A614" s="12" t="s">
        <v>8035</v>
      </c>
      <c r="B614" s="12" t="s">
        <v>8376</v>
      </c>
      <c r="C614" s="669" t="s">
        <v>10219</v>
      </c>
      <c r="D614" s="12" t="s">
        <v>8094</v>
      </c>
      <c r="E614" s="12" t="s">
        <v>7027</v>
      </c>
      <c r="F614" s="65">
        <v>1200</v>
      </c>
      <c r="G614" s="57">
        <v>136032</v>
      </c>
      <c r="H614" s="12"/>
      <c r="I614" s="8" t="s">
        <v>11723</v>
      </c>
    </row>
    <row r="615" spans="1:9" s="117" customFormat="1" ht="46.5" customHeight="1" x14ac:dyDescent="0.2">
      <c r="A615" s="12" t="s">
        <v>8036</v>
      </c>
      <c r="B615" s="12" t="s">
        <v>8376</v>
      </c>
      <c r="C615" s="669" t="s">
        <v>10220</v>
      </c>
      <c r="D615" s="12" t="s">
        <v>8095</v>
      </c>
      <c r="E615" s="12" t="s">
        <v>7027</v>
      </c>
      <c r="F615" s="65">
        <v>1200</v>
      </c>
      <c r="G615" s="57">
        <v>136032</v>
      </c>
      <c r="H615" s="12"/>
      <c r="I615" s="8" t="s">
        <v>11723</v>
      </c>
    </row>
    <row r="616" spans="1:9" s="117" customFormat="1" ht="46.5" customHeight="1" x14ac:dyDescent="0.2">
      <c r="A616" s="12" t="s">
        <v>8037</v>
      </c>
      <c r="B616" s="12" t="s">
        <v>8376</v>
      </c>
      <c r="C616" s="667" t="s">
        <v>10221</v>
      </c>
      <c r="D616" s="12" t="s">
        <v>8162</v>
      </c>
      <c r="E616" s="12" t="s">
        <v>7027</v>
      </c>
      <c r="F616" s="65">
        <v>1200</v>
      </c>
      <c r="G616" s="57">
        <v>136032</v>
      </c>
      <c r="H616" s="12"/>
      <c r="I616" s="8" t="s">
        <v>11723</v>
      </c>
    </row>
    <row r="617" spans="1:9" s="117" customFormat="1" ht="46.5" customHeight="1" x14ac:dyDescent="0.2">
      <c r="A617" s="12" t="s">
        <v>8046</v>
      </c>
      <c r="B617" s="12" t="s">
        <v>8376</v>
      </c>
      <c r="C617" s="667" t="s">
        <v>10222</v>
      </c>
      <c r="D617" s="12" t="s">
        <v>8096</v>
      </c>
      <c r="E617" s="12" t="s">
        <v>7027</v>
      </c>
      <c r="F617" s="65">
        <v>1200</v>
      </c>
      <c r="G617" s="57">
        <v>136032</v>
      </c>
      <c r="H617" s="12"/>
      <c r="I617" s="8" t="s">
        <v>11723</v>
      </c>
    </row>
    <row r="618" spans="1:9" s="117" customFormat="1" ht="46.5" customHeight="1" x14ac:dyDescent="0.2">
      <c r="A618" s="12" t="s">
        <v>8047</v>
      </c>
      <c r="B618" s="12" t="s">
        <v>8376</v>
      </c>
      <c r="C618" s="669" t="s">
        <v>10223</v>
      </c>
      <c r="D618" s="12" t="s">
        <v>8161</v>
      </c>
      <c r="E618" s="12" t="s">
        <v>7027</v>
      </c>
      <c r="F618" s="65">
        <v>1200</v>
      </c>
      <c r="G618" s="57">
        <v>136032</v>
      </c>
      <c r="H618" s="12"/>
      <c r="I618" s="8" t="s">
        <v>11723</v>
      </c>
    </row>
    <row r="619" spans="1:9" s="117" customFormat="1" ht="46.5" customHeight="1" x14ac:dyDescent="0.2">
      <c r="A619" s="12" t="s">
        <v>8048</v>
      </c>
      <c r="B619" s="12" t="s">
        <v>8376</v>
      </c>
      <c r="C619" s="669" t="s">
        <v>10224</v>
      </c>
      <c r="D619" s="12" t="s">
        <v>8098</v>
      </c>
      <c r="E619" s="12" t="s">
        <v>7027</v>
      </c>
      <c r="F619" s="65">
        <v>1200</v>
      </c>
      <c r="G619" s="57">
        <v>136032</v>
      </c>
      <c r="H619" s="12"/>
      <c r="I619" s="8" t="s">
        <v>11723</v>
      </c>
    </row>
    <row r="620" spans="1:9" s="117" customFormat="1" ht="46.5" customHeight="1" x14ac:dyDescent="0.2">
      <c r="A620" s="12" t="s">
        <v>8062</v>
      </c>
      <c r="B620" s="12" t="s">
        <v>8376</v>
      </c>
      <c r="C620" s="669" t="s">
        <v>10225</v>
      </c>
      <c r="D620" s="12" t="s">
        <v>8163</v>
      </c>
      <c r="E620" s="12" t="s">
        <v>7027</v>
      </c>
      <c r="F620" s="65">
        <v>1200</v>
      </c>
      <c r="G620" s="57">
        <v>136032</v>
      </c>
      <c r="H620" s="12"/>
      <c r="I620" s="8" t="s">
        <v>11723</v>
      </c>
    </row>
    <row r="621" spans="1:9" s="117" customFormat="1" ht="46.5" customHeight="1" x14ac:dyDescent="0.2">
      <c r="A621" s="12" t="s">
        <v>8063</v>
      </c>
      <c r="B621" s="12" t="s">
        <v>8376</v>
      </c>
      <c r="C621" s="669" t="s">
        <v>10226</v>
      </c>
      <c r="D621" s="12" t="s">
        <v>8099</v>
      </c>
      <c r="E621" s="12" t="s">
        <v>7027</v>
      </c>
      <c r="F621" s="65">
        <v>1200</v>
      </c>
      <c r="G621" s="57">
        <v>136032</v>
      </c>
      <c r="H621" s="12"/>
      <c r="I621" s="8" t="s">
        <v>11723</v>
      </c>
    </row>
    <row r="622" spans="1:9" s="117" customFormat="1" ht="46.5" customHeight="1" x14ac:dyDescent="0.2">
      <c r="A622" s="12" t="s">
        <v>8064</v>
      </c>
      <c r="B622" s="12" t="s">
        <v>8376</v>
      </c>
      <c r="C622" s="669" t="s">
        <v>10227</v>
      </c>
      <c r="D622" s="12" t="s">
        <v>8164</v>
      </c>
      <c r="E622" s="12" t="s">
        <v>7027</v>
      </c>
      <c r="F622" s="65">
        <v>1200</v>
      </c>
      <c r="G622" s="57">
        <v>136032</v>
      </c>
      <c r="H622" s="12"/>
      <c r="I622" s="8" t="s">
        <v>11723</v>
      </c>
    </row>
    <row r="623" spans="1:9" s="117" customFormat="1" ht="46.5" customHeight="1" x14ac:dyDescent="0.2">
      <c r="A623" s="12" t="s">
        <v>8065</v>
      </c>
      <c r="B623" s="12" t="s">
        <v>8376</v>
      </c>
      <c r="C623" s="669" t="s">
        <v>10228</v>
      </c>
      <c r="D623" s="12" t="s">
        <v>8100</v>
      </c>
      <c r="E623" s="12" t="s">
        <v>7027</v>
      </c>
      <c r="F623" s="65">
        <v>1200</v>
      </c>
      <c r="G623" s="57">
        <v>136032</v>
      </c>
      <c r="H623" s="12"/>
      <c r="I623" s="8" t="s">
        <v>11723</v>
      </c>
    </row>
    <row r="624" spans="1:9" s="117" customFormat="1" ht="46.5" customHeight="1" x14ac:dyDescent="0.2">
      <c r="A624" s="12" t="s">
        <v>8066</v>
      </c>
      <c r="B624" s="12" t="s">
        <v>8376</v>
      </c>
      <c r="C624" s="669" t="s">
        <v>10229</v>
      </c>
      <c r="D624" s="12" t="s">
        <v>8165</v>
      </c>
      <c r="E624" s="12" t="s">
        <v>7027</v>
      </c>
      <c r="F624" s="65">
        <v>1200</v>
      </c>
      <c r="G624" s="57">
        <v>136032</v>
      </c>
      <c r="H624" s="12"/>
      <c r="I624" s="8" t="s">
        <v>11723</v>
      </c>
    </row>
    <row r="625" spans="1:9" s="117" customFormat="1" ht="46.5" customHeight="1" x14ac:dyDescent="0.2">
      <c r="A625" s="12" t="s">
        <v>8067</v>
      </c>
      <c r="B625" s="12" t="s">
        <v>8376</v>
      </c>
      <c r="C625" s="669" t="s">
        <v>10230</v>
      </c>
      <c r="D625" s="12" t="s">
        <v>8101</v>
      </c>
      <c r="E625" s="12" t="s">
        <v>7027</v>
      </c>
      <c r="F625" s="65">
        <v>1200</v>
      </c>
      <c r="G625" s="57">
        <v>136032</v>
      </c>
      <c r="H625" s="12"/>
      <c r="I625" s="8" t="s">
        <v>11723</v>
      </c>
    </row>
    <row r="626" spans="1:9" s="117" customFormat="1" ht="46.5" customHeight="1" x14ac:dyDescent="0.2">
      <c r="A626" s="12" t="s">
        <v>8068</v>
      </c>
      <c r="B626" s="12" t="s">
        <v>8376</v>
      </c>
      <c r="C626" s="669" t="s">
        <v>10231</v>
      </c>
      <c r="D626" s="12" t="s">
        <v>8113</v>
      </c>
      <c r="E626" s="12" t="s">
        <v>7027</v>
      </c>
      <c r="F626" s="65">
        <v>1200</v>
      </c>
      <c r="G626" s="57">
        <v>136032</v>
      </c>
      <c r="H626" s="12"/>
      <c r="I626" s="8" t="s">
        <v>11723</v>
      </c>
    </row>
    <row r="627" spans="1:9" s="117" customFormat="1" ht="46.5" customHeight="1" x14ac:dyDescent="0.2">
      <c r="A627" s="12" t="s">
        <v>8069</v>
      </c>
      <c r="B627" s="12" t="s">
        <v>8376</v>
      </c>
      <c r="C627" s="669" t="s">
        <v>10232</v>
      </c>
      <c r="D627" s="12" t="s">
        <v>8114</v>
      </c>
      <c r="E627" s="12" t="s">
        <v>7027</v>
      </c>
      <c r="F627" s="65">
        <v>1200</v>
      </c>
      <c r="G627" s="57">
        <v>136032</v>
      </c>
      <c r="H627" s="12"/>
      <c r="I627" s="8" t="s">
        <v>11723</v>
      </c>
    </row>
    <row r="628" spans="1:9" s="117" customFormat="1" ht="46.5" customHeight="1" x14ac:dyDescent="0.2">
      <c r="A628" s="12" t="s">
        <v>8070</v>
      </c>
      <c r="B628" s="12" t="s">
        <v>8376</v>
      </c>
      <c r="C628" s="669" t="s">
        <v>10233</v>
      </c>
      <c r="D628" s="12" t="s">
        <v>8116</v>
      </c>
      <c r="E628" s="12" t="s">
        <v>7027</v>
      </c>
      <c r="F628" s="65">
        <v>1200</v>
      </c>
      <c r="G628" s="57">
        <v>136032</v>
      </c>
      <c r="H628" s="12"/>
      <c r="I628" s="8" t="s">
        <v>11723</v>
      </c>
    </row>
    <row r="629" spans="1:9" s="117" customFormat="1" ht="46.5" customHeight="1" x14ac:dyDescent="0.2">
      <c r="A629" s="12" t="s">
        <v>8071</v>
      </c>
      <c r="B629" s="12" t="s">
        <v>8376</v>
      </c>
      <c r="C629" s="669" t="s">
        <v>10234</v>
      </c>
      <c r="D629" s="12" t="s">
        <v>8115</v>
      </c>
      <c r="E629" s="12" t="s">
        <v>7027</v>
      </c>
      <c r="F629" s="65">
        <v>1200</v>
      </c>
      <c r="G629" s="57">
        <v>136032</v>
      </c>
      <c r="H629" s="12"/>
      <c r="I629" s="8" t="s">
        <v>11723</v>
      </c>
    </row>
    <row r="630" spans="1:9" s="117" customFormat="1" ht="46.5" customHeight="1" x14ac:dyDescent="0.2">
      <c r="A630" s="12" t="s">
        <v>8072</v>
      </c>
      <c r="B630" s="12" t="s">
        <v>8376</v>
      </c>
      <c r="C630" s="669" t="s">
        <v>10235</v>
      </c>
      <c r="D630" s="12" t="s">
        <v>8117</v>
      </c>
      <c r="E630" s="12" t="s">
        <v>7027</v>
      </c>
      <c r="F630" s="65">
        <v>1200</v>
      </c>
      <c r="G630" s="57">
        <v>136032</v>
      </c>
      <c r="H630" s="12"/>
      <c r="I630" s="8" t="s">
        <v>11723</v>
      </c>
    </row>
    <row r="631" spans="1:9" s="117" customFormat="1" ht="46.5" customHeight="1" x14ac:dyDescent="0.2">
      <c r="A631" s="12" t="s">
        <v>8073</v>
      </c>
      <c r="B631" s="12" t="s">
        <v>8376</v>
      </c>
      <c r="C631" s="669" t="s">
        <v>10236</v>
      </c>
      <c r="D631" s="12" t="s">
        <v>8118</v>
      </c>
      <c r="E631" s="12" t="s">
        <v>7027</v>
      </c>
      <c r="F631" s="65">
        <v>1200</v>
      </c>
      <c r="G631" s="57">
        <v>136032</v>
      </c>
      <c r="H631" s="12"/>
      <c r="I631" s="8" t="s">
        <v>11723</v>
      </c>
    </row>
    <row r="632" spans="1:9" s="117" customFormat="1" ht="46.5" customHeight="1" x14ac:dyDescent="0.2">
      <c r="A632" s="12" t="s">
        <v>8119</v>
      </c>
      <c r="B632" s="12" t="s">
        <v>8376</v>
      </c>
      <c r="C632" s="669" t="s">
        <v>10237</v>
      </c>
      <c r="D632" s="12" t="s">
        <v>8230</v>
      </c>
      <c r="E632" s="12" t="s">
        <v>7027</v>
      </c>
      <c r="F632" s="65">
        <v>1200</v>
      </c>
      <c r="G632" s="57">
        <v>136032</v>
      </c>
      <c r="H632" s="12"/>
      <c r="I632" s="8" t="s">
        <v>11723</v>
      </c>
    </row>
    <row r="633" spans="1:9" s="117" customFormat="1" ht="46.5" customHeight="1" x14ac:dyDescent="0.2">
      <c r="A633" s="12" t="s">
        <v>8120</v>
      </c>
      <c r="B633" s="12" t="s">
        <v>8376</v>
      </c>
      <c r="C633" s="669" t="s">
        <v>10238</v>
      </c>
      <c r="D633" s="12" t="s">
        <v>8102</v>
      </c>
      <c r="E633" s="12" t="s">
        <v>7027</v>
      </c>
      <c r="F633" s="65">
        <v>1200</v>
      </c>
      <c r="G633" s="57">
        <v>136032</v>
      </c>
      <c r="H633" s="12"/>
      <c r="I633" s="8" t="s">
        <v>11723</v>
      </c>
    </row>
    <row r="634" spans="1:9" s="117" customFormat="1" ht="46.5" customHeight="1" x14ac:dyDescent="0.2">
      <c r="A634" s="12" t="s">
        <v>8121</v>
      </c>
      <c r="B634" s="12" t="s">
        <v>8376</v>
      </c>
      <c r="C634" s="669" t="s">
        <v>10239</v>
      </c>
      <c r="D634" s="12" t="s">
        <v>8105</v>
      </c>
      <c r="E634" s="12" t="s">
        <v>7027</v>
      </c>
      <c r="F634" s="65">
        <v>1200</v>
      </c>
      <c r="G634" s="57">
        <v>136032</v>
      </c>
      <c r="H634" s="12"/>
      <c r="I634" s="8" t="s">
        <v>11723</v>
      </c>
    </row>
    <row r="635" spans="1:9" s="117" customFormat="1" ht="46.5" customHeight="1" x14ac:dyDescent="0.2">
      <c r="A635" s="12" t="s">
        <v>8122</v>
      </c>
      <c r="B635" s="12" t="s">
        <v>8376</v>
      </c>
      <c r="C635" s="669" t="s">
        <v>10240</v>
      </c>
      <c r="D635" s="12" t="s">
        <v>8106</v>
      </c>
      <c r="E635" s="12" t="s">
        <v>7027</v>
      </c>
      <c r="F635" s="65">
        <v>1200</v>
      </c>
      <c r="G635" s="57">
        <v>136032</v>
      </c>
      <c r="H635" s="12"/>
      <c r="I635" s="8" t="s">
        <v>11723</v>
      </c>
    </row>
    <row r="636" spans="1:9" s="117" customFormat="1" ht="46.5" customHeight="1" x14ac:dyDescent="0.2">
      <c r="A636" s="12" t="s">
        <v>8123</v>
      </c>
      <c r="B636" s="12" t="s">
        <v>8376</v>
      </c>
      <c r="C636" s="669" t="s">
        <v>10241</v>
      </c>
      <c r="D636" s="12" t="s">
        <v>8107</v>
      </c>
      <c r="E636" s="12" t="s">
        <v>7027</v>
      </c>
      <c r="F636" s="65">
        <v>1200</v>
      </c>
      <c r="G636" s="57">
        <v>136032</v>
      </c>
      <c r="H636" s="12"/>
      <c r="I636" s="8" t="s">
        <v>11723</v>
      </c>
    </row>
    <row r="637" spans="1:9" s="117" customFormat="1" ht="46.5" customHeight="1" x14ac:dyDescent="0.2">
      <c r="A637" s="12" t="s">
        <v>8124</v>
      </c>
      <c r="B637" s="12" t="s">
        <v>8376</v>
      </c>
      <c r="C637" s="669" t="s">
        <v>10242</v>
      </c>
      <c r="D637" s="12" t="s">
        <v>8108</v>
      </c>
      <c r="E637" s="12" t="s">
        <v>7027</v>
      </c>
      <c r="F637" s="65">
        <v>1200</v>
      </c>
      <c r="G637" s="57">
        <v>136032</v>
      </c>
      <c r="H637" s="12"/>
      <c r="I637" s="8" t="s">
        <v>11723</v>
      </c>
    </row>
    <row r="638" spans="1:9" s="117" customFormat="1" ht="46.5" customHeight="1" x14ac:dyDescent="0.2">
      <c r="A638" s="12" t="s">
        <v>8125</v>
      </c>
      <c r="B638" s="12" t="s">
        <v>8376</v>
      </c>
      <c r="C638" s="669" t="s">
        <v>10243</v>
      </c>
      <c r="D638" s="12" t="s">
        <v>8109</v>
      </c>
      <c r="E638" s="12" t="s">
        <v>7027</v>
      </c>
      <c r="F638" s="65">
        <v>1200</v>
      </c>
      <c r="G638" s="57">
        <v>136032</v>
      </c>
      <c r="H638" s="12"/>
      <c r="I638" s="8" t="s">
        <v>11723</v>
      </c>
    </row>
    <row r="639" spans="1:9" s="117" customFormat="1" ht="46.5" customHeight="1" x14ac:dyDescent="0.2">
      <c r="A639" s="12" t="s">
        <v>8126</v>
      </c>
      <c r="B639" s="12" t="s">
        <v>8376</v>
      </c>
      <c r="C639" s="669" t="s">
        <v>10244</v>
      </c>
      <c r="D639" s="12" t="s">
        <v>8110</v>
      </c>
      <c r="E639" s="12" t="s">
        <v>7027</v>
      </c>
      <c r="F639" s="65">
        <v>1200</v>
      </c>
      <c r="G639" s="57">
        <v>136032</v>
      </c>
      <c r="H639" s="12"/>
      <c r="I639" s="8" t="s">
        <v>11723</v>
      </c>
    </row>
    <row r="640" spans="1:9" s="117" customFormat="1" ht="46.5" customHeight="1" x14ac:dyDescent="0.2">
      <c r="A640" s="12" t="s">
        <v>8127</v>
      </c>
      <c r="B640" s="12" t="s">
        <v>8376</v>
      </c>
      <c r="C640" s="669" t="s">
        <v>10245</v>
      </c>
      <c r="D640" s="12" t="s">
        <v>8111</v>
      </c>
      <c r="E640" s="12" t="s">
        <v>7027</v>
      </c>
      <c r="F640" s="65">
        <v>1200</v>
      </c>
      <c r="G640" s="57">
        <v>136032</v>
      </c>
      <c r="H640" s="12"/>
      <c r="I640" s="8" t="s">
        <v>11723</v>
      </c>
    </row>
    <row r="641" spans="1:9" s="117" customFormat="1" ht="46.5" customHeight="1" x14ac:dyDescent="0.2">
      <c r="A641" s="12" t="s">
        <v>8128</v>
      </c>
      <c r="B641" s="12" t="s">
        <v>8376</v>
      </c>
      <c r="C641" s="669" t="s">
        <v>10246</v>
      </c>
      <c r="D641" s="12" t="s">
        <v>8112</v>
      </c>
      <c r="E641" s="12" t="s">
        <v>7027</v>
      </c>
      <c r="F641" s="65">
        <v>1200</v>
      </c>
      <c r="G641" s="57">
        <v>136032</v>
      </c>
      <c r="H641" s="12"/>
      <c r="I641" s="8" t="s">
        <v>11723</v>
      </c>
    </row>
    <row r="642" spans="1:9" s="117" customFormat="1" ht="46.5" customHeight="1" x14ac:dyDescent="0.2">
      <c r="A642" s="12" t="s">
        <v>8129</v>
      </c>
      <c r="B642" s="12" t="s">
        <v>8376</v>
      </c>
      <c r="C642" s="669" t="s">
        <v>10247</v>
      </c>
      <c r="D642" s="12" t="s">
        <v>8097</v>
      </c>
      <c r="E642" s="12" t="s">
        <v>7027</v>
      </c>
      <c r="F642" s="65">
        <v>1200</v>
      </c>
      <c r="G642" s="57">
        <v>136032</v>
      </c>
      <c r="H642" s="12"/>
      <c r="I642" s="8" t="s">
        <v>11723</v>
      </c>
    </row>
    <row r="643" spans="1:9" s="117" customFormat="1" ht="46.5" customHeight="1" x14ac:dyDescent="0.2">
      <c r="A643" s="12" t="s">
        <v>8130</v>
      </c>
      <c r="B643" s="12" t="s">
        <v>8376</v>
      </c>
      <c r="C643" s="669" t="s">
        <v>10248</v>
      </c>
      <c r="D643" s="12" t="s">
        <v>8200</v>
      </c>
      <c r="E643" s="12" t="s">
        <v>7027</v>
      </c>
      <c r="F643" s="65">
        <v>1200</v>
      </c>
      <c r="G643" s="57">
        <v>136032</v>
      </c>
      <c r="H643" s="12"/>
      <c r="I643" s="8" t="s">
        <v>11723</v>
      </c>
    </row>
    <row r="644" spans="1:9" s="117" customFormat="1" ht="46.5" customHeight="1" x14ac:dyDescent="0.2">
      <c r="A644" s="12" t="s">
        <v>8131</v>
      </c>
      <c r="B644" s="12" t="s">
        <v>8376</v>
      </c>
      <c r="C644" s="669" t="s">
        <v>10249</v>
      </c>
      <c r="D644" s="12" t="s">
        <v>8202</v>
      </c>
      <c r="E644" s="12" t="s">
        <v>7027</v>
      </c>
      <c r="F644" s="65">
        <v>1200</v>
      </c>
      <c r="G644" s="57">
        <v>136032</v>
      </c>
      <c r="H644" s="12"/>
      <c r="I644" s="8" t="s">
        <v>11723</v>
      </c>
    </row>
    <row r="645" spans="1:9" s="117" customFormat="1" ht="46.5" customHeight="1" x14ac:dyDescent="0.2">
      <c r="A645" s="12" t="s">
        <v>8132</v>
      </c>
      <c r="B645" s="12" t="s">
        <v>8376</v>
      </c>
      <c r="C645" s="669" t="s">
        <v>10250</v>
      </c>
      <c r="D645" s="12" t="s">
        <v>8204</v>
      </c>
      <c r="E645" s="12" t="s">
        <v>7027</v>
      </c>
      <c r="F645" s="65">
        <v>1200</v>
      </c>
      <c r="G645" s="57">
        <v>136032</v>
      </c>
      <c r="H645" s="12"/>
      <c r="I645" s="8" t="s">
        <v>11723</v>
      </c>
    </row>
    <row r="646" spans="1:9" s="117" customFormat="1" ht="46.5" customHeight="1" x14ac:dyDescent="0.2">
      <c r="A646" s="12" t="s">
        <v>8133</v>
      </c>
      <c r="B646" s="12" t="s">
        <v>8376</v>
      </c>
      <c r="C646" s="669" t="s">
        <v>10251</v>
      </c>
      <c r="D646" s="12" t="s">
        <v>8201</v>
      </c>
      <c r="E646" s="12" t="s">
        <v>7027</v>
      </c>
      <c r="F646" s="65">
        <v>1200</v>
      </c>
      <c r="G646" s="57">
        <v>136032</v>
      </c>
      <c r="H646" s="12"/>
      <c r="I646" s="8" t="s">
        <v>11723</v>
      </c>
    </row>
    <row r="647" spans="1:9" s="117" customFormat="1" ht="46.5" customHeight="1" x14ac:dyDescent="0.2">
      <c r="A647" s="12" t="s">
        <v>8134</v>
      </c>
      <c r="B647" s="12" t="s">
        <v>8376</v>
      </c>
      <c r="C647" s="669" t="s">
        <v>10252</v>
      </c>
      <c r="D647" s="12" t="s">
        <v>8206</v>
      </c>
      <c r="E647" s="12" t="s">
        <v>7027</v>
      </c>
      <c r="F647" s="65">
        <v>1200</v>
      </c>
      <c r="G647" s="57">
        <v>136032</v>
      </c>
      <c r="H647" s="12"/>
      <c r="I647" s="8" t="s">
        <v>11723</v>
      </c>
    </row>
    <row r="648" spans="1:9" s="117" customFormat="1" ht="46.5" customHeight="1" x14ac:dyDescent="0.2">
      <c r="A648" s="12" t="s">
        <v>8135</v>
      </c>
      <c r="B648" s="12" t="s">
        <v>8376</v>
      </c>
      <c r="C648" s="669" t="s">
        <v>10253</v>
      </c>
      <c r="D648" s="12" t="s">
        <v>8207</v>
      </c>
      <c r="E648" s="12" t="s">
        <v>7027</v>
      </c>
      <c r="F648" s="65">
        <v>1200</v>
      </c>
      <c r="G648" s="57">
        <v>136032</v>
      </c>
      <c r="H648" s="12"/>
      <c r="I648" s="8" t="s">
        <v>11723</v>
      </c>
    </row>
    <row r="649" spans="1:9" s="117" customFormat="1" ht="46.5" customHeight="1" x14ac:dyDescent="0.2">
      <c r="A649" s="12" t="s">
        <v>8136</v>
      </c>
      <c r="B649" s="12" t="s">
        <v>8376</v>
      </c>
      <c r="C649" s="669" t="s">
        <v>10254</v>
      </c>
      <c r="D649" s="12" t="s">
        <v>8208</v>
      </c>
      <c r="E649" s="12" t="s">
        <v>7027</v>
      </c>
      <c r="F649" s="65">
        <v>1200</v>
      </c>
      <c r="G649" s="57">
        <v>136032</v>
      </c>
      <c r="H649" s="12"/>
      <c r="I649" s="8" t="s">
        <v>11723</v>
      </c>
    </row>
    <row r="650" spans="1:9" s="117" customFormat="1" ht="46.5" customHeight="1" x14ac:dyDescent="0.2">
      <c r="A650" s="12" t="s">
        <v>8137</v>
      </c>
      <c r="B650" s="12" t="s">
        <v>8376</v>
      </c>
      <c r="C650" s="669" t="s">
        <v>10255</v>
      </c>
      <c r="D650" s="12" t="s">
        <v>8209</v>
      </c>
      <c r="E650" s="12" t="s">
        <v>7027</v>
      </c>
      <c r="F650" s="65">
        <v>1200</v>
      </c>
      <c r="G650" s="57">
        <v>136032</v>
      </c>
      <c r="H650" s="12"/>
      <c r="I650" s="8" t="s">
        <v>11723</v>
      </c>
    </row>
    <row r="651" spans="1:9" s="117" customFormat="1" ht="46.5" customHeight="1" x14ac:dyDescent="0.2">
      <c r="A651" s="12" t="s">
        <v>8138</v>
      </c>
      <c r="B651" s="12" t="s">
        <v>8376</v>
      </c>
      <c r="C651" s="669" t="s">
        <v>10256</v>
      </c>
      <c r="D651" s="12" t="s">
        <v>8211</v>
      </c>
      <c r="E651" s="12" t="s">
        <v>7027</v>
      </c>
      <c r="F651" s="65">
        <v>1200</v>
      </c>
      <c r="G651" s="57">
        <v>136032</v>
      </c>
      <c r="H651" s="12"/>
      <c r="I651" s="8" t="s">
        <v>11723</v>
      </c>
    </row>
    <row r="652" spans="1:9" s="117" customFormat="1" ht="46.5" customHeight="1" x14ac:dyDescent="0.2">
      <c r="A652" s="12" t="s">
        <v>8139</v>
      </c>
      <c r="B652" s="12" t="s">
        <v>8376</v>
      </c>
      <c r="C652" s="669" t="s">
        <v>10257</v>
      </c>
      <c r="D652" s="12" t="s">
        <v>8213</v>
      </c>
      <c r="E652" s="12" t="s">
        <v>7027</v>
      </c>
      <c r="F652" s="65">
        <v>1200</v>
      </c>
      <c r="G652" s="57">
        <v>136032</v>
      </c>
      <c r="H652" s="12"/>
      <c r="I652" s="8" t="s">
        <v>11723</v>
      </c>
    </row>
    <row r="653" spans="1:9" s="117" customFormat="1" ht="46.5" customHeight="1" x14ac:dyDescent="0.2">
      <c r="A653" s="12" t="s">
        <v>8140</v>
      </c>
      <c r="B653" s="12" t="s">
        <v>8376</v>
      </c>
      <c r="C653" s="669" t="s">
        <v>10258</v>
      </c>
      <c r="D653" s="12" t="s">
        <v>8215</v>
      </c>
      <c r="E653" s="12" t="s">
        <v>7027</v>
      </c>
      <c r="F653" s="65">
        <v>1200</v>
      </c>
      <c r="G653" s="57">
        <v>136032</v>
      </c>
      <c r="H653" s="12"/>
      <c r="I653" s="8" t="s">
        <v>11723</v>
      </c>
    </row>
    <row r="654" spans="1:9" s="117" customFormat="1" ht="46.5" customHeight="1" x14ac:dyDescent="0.2">
      <c r="A654" s="12" t="s">
        <v>8141</v>
      </c>
      <c r="B654" s="12" t="s">
        <v>8376</v>
      </c>
      <c r="C654" s="669" t="s">
        <v>10259</v>
      </c>
      <c r="D654" s="12" t="s">
        <v>8216</v>
      </c>
      <c r="E654" s="12" t="s">
        <v>7027</v>
      </c>
      <c r="F654" s="65">
        <v>1200</v>
      </c>
      <c r="G654" s="57">
        <v>136032</v>
      </c>
      <c r="H654" s="12"/>
      <c r="I654" s="8" t="s">
        <v>11723</v>
      </c>
    </row>
    <row r="655" spans="1:9" s="117" customFormat="1" ht="46.5" customHeight="1" x14ac:dyDescent="0.2">
      <c r="A655" s="12" t="s">
        <v>8142</v>
      </c>
      <c r="B655" s="12" t="s">
        <v>8376</v>
      </c>
      <c r="C655" s="669" t="s">
        <v>10260</v>
      </c>
      <c r="D655" s="12" t="s">
        <v>8217</v>
      </c>
      <c r="E655" s="12" t="s">
        <v>7027</v>
      </c>
      <c r="F655" s="65">
        <v>1200</v>
      </c>
      <c r="G655" s="57">
        <v>136032</v>
      </c>
      <c r="H655" s="12"/>
      <c r="I655" s="8" t="s">
        <v>11723</v>
      </c>
    </row>
    <row r="656" spans="1:9" s="117" customFormat="1" ht="46.5" customHeight="1" x14ac:dyDescent="0.2">
      <c r="A656" s="12" t="s">
        <v>8143</v>
      </c>
      <c r="B656" s="12" t="s">
        <v>8376</v>
      </c>
      <c r="C656" s="669" t="s">
        <v>10261</v>
      </c>
      <c r="D656" s="12" t="s">
        <v>8205</v>
      </c>
      <c r="E656" s="12" t="s">
        <v>7027</v>
      </c>
      <c r="F656" s="65">
        <v>1200</v>
      </c>
      <c r="G656" s="57">
        <v>136032</v>
      </c>
      <c r="H656" s="12"/>
      <c r="I656" s="8" t="s">
        <v>11723</v>
      </c>
    </row>
    <row r="657" spans="1:9" s="117" customFormat="1" ht="46.5" customHeight="1" x14ac:dyDescent="0.2">
      <c r="A657" s="12" t="s">
        <v>8144</v>
      </c>
      <c r="B657" s="12" t="s">
        <v>8376</v>
      </c>
      <c r="C657" s="669" t="s">
        <v>10262</v>
      </c>
      <c r="D657" s="12" t="s">
        <v>8220</v>
      </c>
      <c r="E657" s="12" t="s">
        <v>7027</v>
      </c>
      <c r="F657" s="65">
        <v>1200</v>
      </c>
      <c r="G657" s="57">
        <v>136032</v>
      </c>
      <c r="H657" s="12"/>
      <c r="I657" s="8" t="s">
        <v>11723</v>
      </c>
    </row>
    <row r="658" spans="1:9" s="117" customFormat="1" ht="46.5" customHeight="1" x14ac:dyDescent="0.2">
      <c r="A658" s="12" t="s">
        <v>8145</v>
      </c>
      <c r="B658" s="12" t="s">
        <v>8376</v>
      </c>
      <c r="C658" s="669" t="s">
        <v>10263</v>
      </c>
      <c r="D658" s="12" t="s">
        <v>8221</v>
      </c>
      <c r="E658" s="12" t="s">
        <v>7027</v>
      </c>
      <c r="F658" s="65">
        <v>1200</v>
      </c>
      <c r="G658" s="57">
        <v>136032</v>
      </c>
      <c r="H658" s="12"/>
      <c r="I658" s="8" t="s">
        <v>11723</v>
      </c>
    </row>
    <row r="659" spans="1:9" s="117" customFormat="1" ht="46.5" customHeight="1" x14ac:dyDescent="0.2">
      <c r="A659" s="12" t="s">
        <v>8146</v>
      </c>
      <c r="B659" s="12" t="s">
        <v>8376</v>
      </c>
      <c r="C659" s="669" t="s">
        <v>10264</v>
      </c>
      <c r="D659" s="12" t="s">
        <v>8222</v>
      </c>
      <c r="E659" s="12" t="s">
        <v>7027</v>
      </c>
      <c r="F659" s="65">
        <v>1200</v>
      </c>
      <c r="G659" s="57">
        <v>136032</v>
      </c>
      <c r="H659" s="12"/>
      <c r="I659" s="8" t="s">
        <v>11723</v>
      </c>
    </row>
    <row r="660" spans="1:9" s="117" customFormat="1" ht="46.5" customHeight="1" x14ac:dyDescent="0.2">
      <c r="A660" s="12" t="s">
        <v>8147</v>
      </c>
      <c r="B660" s="12" t="s">
        <v>8376</v>
      </c>
      <c r="C660" s="669" t="s">
        <v>10265</v>
      </c>
      <c r="D660" s="12" t="s">
        <v>8223</v>
      </c>
      <c r="E660" s="12" t="s">
        <v>7027</v>
      </c>
      <c r="F660" s="65">
        <v>1200</v>
      </c>
      <c r="G660" s="57">
        <v>136032</v>
      </c>
      <c r="H660" s="12"/>
      <c r="I660" s="8" t="s">
        <v>11723</v>
      </c>
    </row>
    <row r="661" spans="1:9" s="117" customFormat="1" ht="46.5" customHeight="1" x14ac:dyDescent="0.2">
      <c r="A661" s="12" t="s">
        <v>8148</v>
      </c>
      <c r="B661" s="12" t="s">
        <v>8376</v>
      </c>
      <c r="C661" s="669" t="s">
        <v>10266</v>
      </c>
      <c r="D661" s="12" t="s">
        <v>8212</v>
      </c>
      <c r="E661" s="12" t="s">
        <v>7027</v>
      </c>
      <c r="F661" s="65">
        <v>1200</v>
      </c>
      <c r="G661" s="57">
        <v>136032</v>
      </c>
      <c r="H661" s="12"/>
      <c r="I661" s="8" t="s">
        <v>11723</v>
      </c>
    </row>
    <row r="662" spans="1:9" s="117" customFormat="1" ht="46.5" customHeight="1" x14ac:dyDescent="0.2">
      <c r="A662" s="12" t="s">
        <v>8149</v>
      </c>
      <c r="B662" s="12" t="s">
        <v>8376</v>
      </c>
      <c r="C662" s="669" t="s">
        <v>10267</v>
      </c>
      <c r="D662" s="12" t="s">
        <v>8224</v>
      </c>
      <c r="E662" s="12" t="s">
        <v>7027</v>
      </c>
      <c r="F662" s="65">
        <v>1200</v>
      </c>
      <c r="G662" s="57">
        <v>136032</v>
      </c>
      <c r="H662" s="12"/>
      <c r="I662" s="8" t="s">
        <v>11723</v>
      </c>
    </row>
    <row r="663" spans="1:9" s="117" customFormat="1" ht="46.5" customHeight="1" x14ac:dyDescent="0.2">
      <c r="A663" s="12" t="s">
        <v>8150</v>
      </c>
      <c r="B663" s="12" t="s">
        <v>8376</v>
      </c>
      <c r="C663" s="669" t="s">
        <v>10268</v>
      </c>
      <c r="D663" s="12" t="s">
        <v>8214</v>
      </c>
      <c r="E663" s="12" t="s">
        <v>7027</v>
      </c>
      <c r="F663" s="65">
        <v>1200</v>
      </c>
      <c r="G663" s="57">
        <v>136032</v>
      </c>
      <c r="H663" s="12"/>
      <c r="I663" s="8" t="s">
        <v>11723</v>
      </c>
    </row>
    <row r="664" spans="1:9" s="117" customFormat="1" ht="46.5" customHeight="1" x14ac:dyDescent="0.2">
      <c r="A664" s="12" t="s">
        <v>8452</v>
      </c>
      <c r="B664" s="12" t="s">
        <v>8376</v>
      </c>
      <c r="C664" s="669" t="s">
        <v>10269</v>
      </c>
      <c r="D664" s="12" t="s">
        <v>8226</v>
      </c>
      <c r="E664" s="12" t="s">
        <v>7027</v>
      </c>
      <c r="F664" s="65">
        <v>1200</v>
      </c>
      <c r="G664" s="57">
        <v>136032</v>
      </c>
      <c r="H664" s="12"/>
      <c r="I664" s="8" t="s">
        <v>11723</v>
      </c>
    </row>
    <row r="665" spans="1:9" s="117" customFormat="1" ht="46.5" customHeight="1" x14ac:dyDescent="0.2">
      <c r="A665" s="12" t="s">
        <v>8453</v>
      </c>
      <c r="B665" s="12" t="s">
        <v>8376</v>
      </c>
      <c r="C665" s="669" t="s">
        <v>10270</v>
      </c>
      <c r="D665" s="12" t="s">
        <v>8227</v>
      </c>
      <c r="E665" s="12" t="s">
        <v>7027</v>
      </c>
      <c r="F665" s="65">
        <v>1200</v>
      </c>
      <c r="G665" s="57">
        <v>136032</v>
      </c>
      <c r="H665" s="12"/>
      <c r="I665" s="8" t="s">
        <v>11723</v>
      </c>
    </row>
    <row r="666" spans="1:9" s="117" customFormat="1" ht="46.5" customHeight="1" x14ac:dyDescent="0.2">
      <c r="A666" s="12" t="s">
        <v>8151</v>
      </c>
      <c r="B666" s="12" t="s">
        <v>8376</v>
      </c>
      <c r="C666" s="669" t="s">
        <v>10271</v>
      </c>
      <c r="D666" s="12" t="s">
        <v>8228</v>
      </c>
      <c r="E666" s="12" t="s">
        <v>7027</v>
      </c>
      <c r="F666" s="65">
        <v>1200</v>
      </c>
      <c r="G666" s="57">
        <v>136032</v>
      </c>
      <c r="H666" s="12"/>
      <c r="I666" s="8" t="s">
        <v>11723</v>
      </c>
    </row>
    <row r="667" spans="1:9" s="117" customFormat="1" ht="46.5" customHeight="1" x14ac:dyDescent="0.2">
      <c r="A667" s="12" t="s">
        <v>8152</v>
      </c>
      <c r="B667" s="12" t="s">
        <v>8376</v>
      </c>
      <c r="C667" s="669" t="s">
        <v>10272</v>
      </c>
      <c r="D667" s="12" t="s">
        <v>8210</v>
      </c>
      <c r="E667" s="12" t="s">
        <v>7027</v>
      </c>
      <c r="F667" s="65">
        <v>1200</v>
      </c>
      <c r="G667" s="57">
        <v>136032</v>
      </c>
      <c r="H667" s="12"/>
      <c r="I667" s="8" t="s">
        <v>11723</v>
      </c>
    </row>
    <row r="668" spans="1:9" s="117" customFormat="1" ht="46.5" customHeight="1" x14ac:dyDescent="0.2">
      <c r="A668" s="12" t="s">
        <v>8153</v>
      </c>
      <c r="B668" s="12" t="s">
        <v>8376</v>
      </c>
      <c r="C668" s="669" t="s">
        <v>10273</v>
      </c>
      <c r="D668" s="12" t="s">
        <v>8225</v>
      </c>
      <c r="E668" s="12" t="s">
        <v>7027</v>
      </c>
      <c r="F668" s="65">
        <v>1200</v>
      </c>
      <c r="G668" s="57">
        <v>136032</v>
      </c>
      <c r="H668" s="12"/>
      <c r="I668" s="8" t="s">
        <v>11723</v>
      </c>
    </row>
    <row r="669" spans="1:9" s="117" customFormat="1" ht="46.5" customHeight="1" x14ac:dyDescent="0.2">
      <c r="A669" s="12" t="s">
        <v>8154</v>
      </c>
      <c r="B669" s="12" t="s">
        <v>8376</v>
      </c>
      <c r="C669" s="669" t="s">
        <v>10274</v>
      </c>
      <c r="D669" s="12" t="s">
        <v>8229</v>
      </c>
      <c r="E669" s="12" t="s">
        <v>7027</v>
      </c>
      <c r="F669" s="65">
        <v>1200</v>
      </c>
      <c r="G669" s="57">
        <v>136032</v>
      </c>
      <c r="H669" s="12"/>
      <c r="I669" s="8" t="s">
        <v>11723</v>
      </c>
    </row>
    <row r="670" spans="1:9" s="117" customFormat="1" ht="46.5" customHeight="1" x14ac:dyDescent="0.2">
      <c r="A670" s="12" t="s">
        <v>8155</v>
      </c>
      <c r="B670" s="12" t="s">
        <v>8376</v>
      </c>
      <c r="C670" s="669" t="s">
        <v>10275</v>
      </c>
      <c r="D670" s="12" t="s">
        <v>8203</v>
      </c>
      <c r="E670" s="12" t="s">
        <v>7027</v>
      </c>
      <c r="F670" s="65">
        <v>1200</v>
      </c>
      <c r="G670" s="57">
        <v>136032</v>
      </c>
      <c r="H670" s="12"/>
      <c r="I670" s="8" t="s">
        <v>11723</v>
      </c>
    </row>
    <row r="671" spans="1:9" s="117" customFormat="1" ht="46.5" customHeight="1" x14ac:dyDescent="0.2">
      <c r="A671" s="12" t="s">
        <v>8166</v>
      </c>
      <c r="B671" s="12" t="s">
        <v>8376</v>
      </c>
      <c r="C671" s="667" t="s">
        <v>10276</v>
      </c>
      <c r="D671" s="12" t="s">
        <v>7988</v>
      </c>
      <c r="E671" s="12" t="s">
        <v>7027</v>
      </c>
      <c r="F671" s="65">
        <v>1200</v>
      </c>
      <c r="G671" s="57">
        <v>136032</v>
      </c>
      <c r="H671" s="12"/>
      <c r="I671" s="8" t="s">
        <v>11723</v>
      </c>
    </row>
    <row r="672" spans="1:9" s="117" customFormat="1" ht="46.5" customHeight="1" x14ac:dyDescent="0.2">
      <c r="A672" s="12" t="s">
        <v>8167</v>
      </c>
      <c r="B672" s="12" t="s">
        <v>8376</v>
      </c>
      <c r="C672" s="667" t="s">
        <v>10277</v>
      </c>
      <c r="D672" s="12" t="s">
        <v>7989</v>
      </c>
      <c r="E672" s="12" t="s">
        <v>7027</v>
      </c>
      <c r="F672" s="65">
        <v>1200</v>
      </c>
      <c r="G672" s="57">
        <v>136032</v>
      </c>
      <c r="H672" s="12"/>
      <c r="I672" s="8" t="s">
        <v>11723</v>
      </c>
    </row>
    <row r="673" spans="1:9" s="117" customFormat="1" ht="46.5" customHeight="1" x14ac:dyDescent="0.2">
      <c r="A673" s="12" t="s">
        <v>8168</v>
      </c>
      <c r="B673" s="12" t="s">
        <v>8376</v>
      </c>
      <c r="C673" s="667" t="s">
        <v>10278</v>
      </c>
      <c r="D673" s="12" t="s">
        <v>8238</v>
      </c>
      <c r="E673" s="12" t="s">
        <v>7027</v>
      </c>
      <c r="F673" s="65">
        <v>1200</v>
      </c>
      <c r="G673" s="57">
        <v>136032</v>
      </c>
      <c r="H673" s="12"/>
      <c r="I673" s="8" t="s">
        <v>11723</v>
      </c>
    </row>
    <row r="674" spans="1:9" s="117" customFormat="1" ht="46.5" customHeight="1" x14ac:dyDescent="0.2">
      <c r="A674" s="12" t="s">
        <v>8169</v>
      </c>
      <c r="B674" s="12" t="s">
        <v>8376</v>
      </c>
      <c r="C674" s="667" t="s">
        <v>10279</v>
      </c>
      <c r="D674" s="12" t="s">
        <v>8074</v>
      </c>
      <c r="E674" s="12" t="s">
        <v>7027</v>
      </c>
      <c r="F674" s="65">
        <v>1200</v>
      </c>
      <c r="G674" s="57">
        <v>136032</v>
      </c>
      <c r="H674" s="12"/>
      <c r="I674" s="8" t="s">
        <v>11723</v>
      </c>
    </row>
    <row r="675" spans="1:9" s="117" customFormat="1" ht="46.5" customHeight="1" x14ac:dyDescent="0.2">
      <c r="A675" s="12" t="s">
        <v>8170</v>
      </c>
      <c r="B675" s="12" t="s">
        <v>8376</v>
      </c>
      <c r="C675" s="667" t="s">
        <v>10280</v>
      </c>
      <c r="D675" s="12" t="s">
        <v>8038</v>
      </c>
      <c r="E675" s="12" t="s">
        <v>7027</v>
      </c>
      <c r="F675" s="65">
        <v>1200</v>
      </c>
      <c r="G675" s="57">
        <v>136032</v>
      </c>
      <c r="H675" s="12"/>
      <c r="I675" s="8" t="s">
        <v>11723</v>
      </c>
    </row>
    <row r="676" spans="1:9" s="117" customFormat="1" ht="46.5" customHeight="1" x14ac:dyDescent="0.2">
      <c r="A676" s="12" t="s">
        <v>8454</v>
      </c>
      <c r="B676" s="12" t="s">
        <v>8376</v>
      </c>
      <c r="C676" s="667" t="s">
        <v>10281</v>
      </c>
      <c r="D676" s="12" t="s">
        <v>8022</v>
      </c>
      <c r="E676" s="12" t="s">
        <v>7027</v>
      </c>
      <c r="F676" s="65">
        <v>1200</v>
      </c>
      <c r="G676" s="57">
        <v>136032</v>
      </c>
      <c r="H676" s="12"/>
      <c r="I676" s="8" t="s">
        <v>11723</v>
      </c>
    </row>
    <row r="677" spans="1:9" s="117" customFormat="1" ht="46.5" customHeight="1" x14ac:dyDescent="0.2">
      <c r="A677" s="12" t="s">
        <v>8455</v>
      </c>
      <c r="B677" s="12" t="s">
        <v>8376</v>
      </c>
      <c r="C677" s="667" t="s">
        <v>10282</v>
      </c>
      <c r="D677" s="12" t="s">
        <v>8023</v>
      </c>
      <c r="E677" s="12" t="s">
        <v>7027</v>
      </c>
      <c r="F677" s="65">
        <v>1200</v>
      </c>
      <c r="G677" s="57">
        <v>136032</v>
      </c>
      <c r="H677" s="12"/>
      <c r="I677" s="8" t="s">
        <v>11723</v>
      </c>
    </row>
    <row r="678" spans="1:9" s="117" customFormat="1" ht="46.5" customHeight="1" x14ac:dyDescent="0.2">
      <c r="A678" s="12" t="s">
        <v>8456</v>
      </c>
      <c r="B678" s="12" t="s">
        <v>8376</v>
      </c>
      <c r="C678" s="667" t="s">
        <v>10283</v>
      </c>
      <c r="D678" s="12" t="s">
        <v>8024</v>
      </c>
      <c r="E678" s="12" t="s">
        <v>7027</v>
      </c>
      <c r="F678" s="65">
        <v>1200</v>
      </c>
      <c r="G678" s="57">
        <v>136032</v>
      </c>
      <c r="H678" s="12"/>
      <c r="I678" s="8" t="s">
        <v>11723</v>
      </c>
    </row>
    <row r="679" spans="1:9" s="117" customFormat="1" ht="46.5" customHeight="1" x14ac:dyDescent="0.2">
      <c r="A679" s="12" t="s">
        <v>8457</v>
      </c>
      <c r="B679" s="12" t="s">
        <v>8376</v>
      </c>
      <c r="C679" s="667" t="s">
        <v>10284</v>
      </c>
      <c r="D679" s="12" t="s">
        <v>8156</v>
      </c>
      <c r="E679" s="12" t="s">
        <v>7027</v>
      </c>
      <c r="F679" s="65">
        <v>1200</v>
      </c>
      <c r="G679" s="57">
        <v>136032</v>
      </c>
      <c r="H679" s="12"/>
      <c r="I679" s="8" t="s">
        <v>11723</v>
      </c>
    </row>
    <row r="680" spans="1:9" s="117" customFormat="1" ht="46.5" customHeight="1" x14ac:dyDescent="0.2">
      <c r="A680" s="12" t="s">
        <v>8458</v>
      </c>
      <c r="B680" s="12" t="s">
        <v>8376</v>
      </c>
      <c r="C680" s="667" t="s">
        <v>10285</v>
      </c>
      <c r="D680" s="12" t="s">
        <v>8157</v>
      </c>
      <c r="E680" s="12" t="s">
        <v>7027</v>
      </c>
      <c r="F680" s="65">
        <v>1200</v>
      </c>
      <c r="G680" s="57">
        <v>136032</v>
      </c>
      <c r="H680" s="12"/>
      <c r="I680" s="8" t="s">
        <v>11723</v>
      </c>
    </row>
    <row r="681" spans="1:9" s="117" customFormat="1" ht="46.5" customHeight="1" x14ac:dyDescent="0.2">
      <c r="A681" s="12" t="s">
        <v>8459</v>
      </c>
      <c r="B681" s="12" t="s">
        <v>8376</v>
      </c>
      <c r="C681" s="667" t="s">
        <v>10286</v>
      </c>
      <c r="D681" s="12" t="s">
        <v>8158</v>
      </c>
      <c r="E681" s="12" t="s">
        <v>7027</v>
      </c>
      <c r="F681" s="65">
        <v>1200</v>
      </c>
      <c r="G681" s="57">
        <v>136032</v>
      </c>
      <c r="H681" s="12"/>
      <c r="I681" s="8" t="s">
        <v>11723</v>
      </c>
    </row>
    <row r="682" spans="1:9" s="117" customFormat="1" ht="46.5" customHeight="1" x14ac:dyDescent="0.2">
      <c r="A682" s="12" t="s">
        <v>8171</v>
      </c>
      <c r="B682" s="12" t="s">
        <v>8376</v>
      </c>
      <c r="C682" s="667" t="s">
        <v>10287</v>
      </c>
      <c r="D682" s="12" t="s">
        <v>8025</v>
      </c>
      <c r="E682" s="12" t="s">
        <v>7027</v>
      </c>
      <c r="F682" s="65">
        <v>1200</v>
      </c>
      <c r="G682" s="57">
        <v>136032</v>
      </c>
      <c r="H682" s="12"/>
      <c r="I682" s="8" t="s">
        <v>11723</v>
      </c>
    </row>
    <row r="683" spans="1:9" s="117" customFormat="1" ht="46.5" customHeight="1" x14ac:dyDescent="0.2">
      <c r="A683" s="12" t="s">
        <v>8172</v>
      </c>
      <c r="B683" s="12" t="s">
        <v>8376</v>
      </c>
      <c r="C683" s="667" t="s">
        <v>10288</v>
      </c>
      <c r="D683" s="12" t="s">
        <v>8026</v>
      </c>
      <c r="E683" s="12" t="s">
        <v>7027</v>
      </c>
      <c r="F683" s="65">
        <v>1200</v>
      </c>
      <c r="G683" s="57">
        <v>136032</v>
      </c>
      <c r="H683" s="12"/>
      <c r="I683" s="8" t="s">
        <v>11723</v>
      </c>
    </row>
    <row r="684" spans="1:9" s="117" customFormat="1" ht="46.5" customHeight="1" x14ac:dyDescent="0.2">
      <c r="A684" s="12" t="s">
        <v>8173</v>
      </c>
      <c r="B684" s="12" t="s">
        <v>8376</v>
      </c>
      <c r="C684" s="667" t="s">
        <v>10289</v>
      </c>
      <c r="D684" s="12" t="s">
        <v>8027</v>
      </c>
      <c r="E684" s="12" t="s">
        <v>7027</v>
      </c>
      <c r="F684" s="65">
        <v>1200</v>
      </c>
      <c r="G684" s="57">
        <v>136032</v>
      </c>
      <c r="H684" s="12"/>
      <c r="I684" s="8" t="s">
        <v>11723</v>
      </c>
    </row>
    <row r="685" spans="1:9" s="117" customFormat="1" ht="46.5" customHeight="1" x14ac:dyDescent="0.2">
      <c r="A685" s="12" t="s">
        <v>8174</v>
      </c>
      <c r="B685" s="12" t="s">
        <v>8376</v>
      </c>
      <c r="C685" s="667" t="s">
        <v>10290</v>
      </c>
      <c r="D685" s="12" t="s">
        <v>8028</v>
      </c>
      <c r="E685" s="12" t="s">
        <v>7027</v>
      </c>
      <c r="F685" s="65">
        <v>1200</v>
      </c>
      <c r="G685" s="57">
        <v>136032</v>
      </c>
      <c r="H685" s="12"/>
      <c r="I685" s="8" t="s">
        <v>11723</v>
      </c>
    </row>
    <row r="686" spans="1:9" s="117" customFormat="1" ht="46.5" customHeight="1" x14ac:dyDescent="0.2">
      <c r="A686" s="12" t="s">
        <v>8175</v>
      </c>
      <c r="B686" s="12" t="s">
        <v>8376</v>
      </c>
      <c r="C686" s="667" t="s">
        <v>10291</v>
      </c>
      <c r="D686" s="12" t="s">
        <v>8029</v>
      </c>
      <c r="E686" s="12" t="s">
        <v>7027</v>
      </c>
      <c r="F686" s="65">
        <v>1200</v>
      </c>
      <c r="G686" s="57">
        <v>136032</v>
      </c>
      <c r="H686" s="12"/>
      <c r="I686" s="8" t="s">
        <v>11723</v>
      </c>
    </row>
    <row r="687" spans="1:9" s="117" customFormat="1" ht="46.5" customHeight="1" x14ac:dyDescent="0.2">
      <c r="A687" s="12" t="s">
        <v>8176</v>
      </c>
      <c r="B687" s="12" t="s">
        <v>8376</v>
      </c>
      <c r="C687" s="667" t="s">
        <v>10292</v>
      </c>
      <c r="D687" s="12" t="s">
        <v>7996</v>
      </c>
      <c r="E687" s="12" t="s">
        <v>7027</v>
      </c>
      <c r="F687" s="65">
        <v>1200</v>
      </c>
      <c r="G687" s="57">
        <v>136032</v>
      </c>
      <c r="H687" s="12"/>
      <c r="I687" s="8" t="s">
        <v>11723</v>
      </c>
    </row>
    <row r="688" spans="1:9" s="117" customFormat="1" ht="46.5" customHeight="1" x14ac:dyDescent="0.2">
      <c r="A688" s="12" t="s">
        <v>8177</v>
      </c>
      <c r="B688" s="12" t="s">
        <v>8376</v>
      </c>
      <c r="C688" s="667" t="s">
        <v>10293</v>
      </c>
      <c r="D688" s="12" t="s">
        <v>7997</v>
      </c>
      <c r="E688" s="12" t="s">
        <v>7027</v>
      </c>
      <c r="F688" s="65">
        <v>1200</v>
      </c>
      <c r="G688" s="57">
        <v>136032</v>
      </c>
      <c r="H688" s="12"/>
      <c r="I688" s="8" t="s">
        <v>11723</v>
      </c>
    </row>
    <row r="689" spans="1:9" s="117" customFormat="1" ht="46.5" customHeight="1" x14ac:dyDescent="0.2">
      <c r="A689" s="12" t="s">
        <v>8178</v>
      </c>
      <c r="B689" s="12" t="s">
        <v>8376</v>
      </c>
      <c r="C689" s="667" t="s">
        <v>10294</v>
      </c>
      <c r="D689" s="12" t="s">
        <v>7998</v>
      </c>
      <c r="E689" s="12" t="s">
        <v>7027</v>
      </c>
      <c r="F689" s="65">
        <v>1200</v>
      </c>
      <c r="G689" s="57">
        <v>136032</v>
      </c>
      <c r="H689" s="12"/>
      <c r="I689" s="8" t="s">
        <v>11723</v>
      </c>
    </row>
    <row r="690" spans="1:9" s="117" customFormat="1" ht="46.5" customHeight="1" x14ac:dyDescent="0.2">
      <c r="A690" s="12" t="s">
        <v>8179</v>
      </c>
      <c r="B690" s="12" t="s">
        <v>8376</v>
      </c>
      <c r="C690" s="667" t="s">
        <v>10295</v>
      </c>
      <c r="D690" s="12" t="s">
        <v>7999</v>
      </c>
      <c r="E690" s="12" t="s">
        <v>7027</v>
      </c>
      <c r="F690" s="65">
        <v>1200</v>
      </c>
      <c r="G690" s="57">
        <v>136032</v>
      </c>
      <c r="H690" s="12"/>
      <c r="I690" s="8" t="s">
        <v>11723</v>
      </c>
    </row>
    <row r="691" spans="1:9" s="117" customFormat="1" ht="46.5" customHeight="1" x14ac:dyDescent="0.2">
      <c r="A691" s="12" t="s">
        <v>8180</v>
      </c>
      <c r="B691" s="12" t="s">
        <v>8376</v>
      </c>
      <c r="C691" s="667" t="s">
        <v>10296</v>
      </c>
      <c r="D691" s="12" t="s">
        <v>8000</v>
      </c>
      <c r="E691" s="12" t="s">
        <v>7027</v>
      </c>
      <c r="F691" s="65">
        <v>1200</v>
      </c>
      <c r="G691" s="57">
        <v>136032</v>
      </c>
      <c r="H691" s="12"/>
      <c r="I691" s="8" t="s">
        <v>11723</v>
      </c>
    </row>
    <row r="692" spans="1:9" s="117" customFormat="1" ht="46.5" customHeight="1" x14ac:dyDescent="0.2">
      <c r="A692" s="12" t="s">
        <v>8181</v>
      </c>
      <c r="B692" s="12" t="s">
        <v>8376</v>
      </c>
      <c r="C692" s="667" t="s">
        <v>10297</v>
      </c>
      <c r="D692" s="12" t="s">
        <v>8049</v>
      </c>
      <c r="E692" s="12" t="s">
        <v>7027</v>
      </c>
      <c r="F692" s="65">
        <v>1200</v>
      </c>
      <c r="G692" s="57">
        <v>136032</v>
      </c>
      <c r="H692" s="12"/>
      <c r="I692" s="8" t="s">
        <v>11723</v>
      </c>
    </row>
    <row r="693" spans="1:9" s="117" customFormat="1" ht="46.5" customHeight="1" x14ac:dyDescent="0.2">
      <c r="A693" s="12" t="s">
        <v>8182</v>
      </c>
      <c r="B693" s="12" t="s">
        <v>8376</v>
      </c>
      <c r="C693" s="667" t="s">
        <v>10298</v>
      </c>
      <c r="D693" s="12" t="s">
        <v>8050</v>
      </c>
      <c r="E693" s="12" t="s">
        <v>7027</v>
      </c>
      <c r="F693" s="65">
        <v>1200</v>
      </c>
      <c r="G693" s="57">
        <v>136032</v>
      </c>
      <c r="H693" s="12"/>
      <c r="I693" s="8" t="s">
        <v>11723</v>
      </c>
    </row>
    <row r="694" spans="1:9" s="117" customFormat="1" ht="46.5" customHeight="1" x14ac:dyDescent="0.2">
      <c r="A694" s="12" t="s">
        <v>8183</v>
      </c>
      <c r="B694" s="12" t="s">
        <v>8376</v>
      </c>
      <c r="C694" s="667" t="s">
        <v>10299</v>
      </c>
      <c r="D694" s="12" t="s">
        <v>8051</v>
      </c>
      <c r="E694" s="12" t="s">
        <v>7027</v>
      </c>
      <c r="F694" s="65">
        <v>1200</v>
      </c>
      <c r="G694" s="57">
        <v>136032</v>
      </c>
      <c r="H694" s="12"/>
      <c r="I694" s="8" t="s">
        <v>11723</v>
      </c>
    </row>
    <row r="695" spans="1:9" s="117" customFormat="1" ht="46.5" customHeight="1" x14ac:dyDescent="0.2">
      <c r="A695" s="12" t="s">
        <v>8184</v>
      </c>
      <c r="B695" s="12" t="s">
        <v>8376</v>
      </c>
      <c r="C695" s="667" t="s">
        <v>10300</v>
      </c>
      <c r="D695" s="12" t="s">
        <v>8052</v>
      </c>
      <c r="E695" s="12" t="s">
        <v>7027</v>
      </c>
      <c r="F695" s="65">
        <v>1200</v>
      </c>
      <c r="G695" s="57">
        <v>136032</v>
      </c>
      <c r="H695" s="12"/>
      <c r="I695" s="8" t="s">
        <v>11723</v>
      </c>
    </row>
    <row r="696" spans="1:9" s="117" customFormat="1" ht="46.5" customHeight="1" x14ac:dyDescent="0.2">
      <c r="A696" s="12" t="s">
        <v>8185</v>
      </c>
      <c r="B696" s="12" t="s">
        <v>8376</v>
      </c>
      <c r="C696" s="667" t="s">
        <v>10301</v>
      </c>
      <c r="D696" s="12" t="s">
        <v>8001</v>
      </c>
      <c r="E696" s="12" t="s">
        <v>7027</v>
      </c>
      <c r="F696" s="65">
        <v>1200</v>
      </c>
      <c r="G696" s="57">
        <v>136032</v>
      </c>
      <c r="H696" s="12"/>
      <c r="I696" s="8" t="s">
        <v>11723</v>
      </c>
    </row>
    <row r="697" spans="1:9" s="117" customFormat="1" ht="46.5" customHeight="1" x14ac:dyDescent="0.2">
      <c r="A697" s="12" t="s">
        <v>8186</v>
      </c>
      <c r="B697" s="12" t="s">
        <v>8376</v>
      </c>
      <c r="C697" s="667" t="s">
        <v>10302</v>
      </c>
      <c r="D697" s="12" t="s">
        <v>8075</v>
      </c>
      <c r="E697" s="12" t="s">
        <v>7027</v>
      </c>
      <c r="F697" s="65">
        <v>1200</v>
      </c>
      <c r="G697" s="57">
        <v>136032</v>
      </c>
      <c r="H697" s="12"/>
      <c r="I697" s="8" t="s">
        <v>11723</v>
      </c>
    </row>
    <row r="698" spans="1:9" s="117" customFormat="1" ht="46.5" customHeight="1" x14ac:dyDescent="0.2">
      <c r="A698" s="12" t="s">
        <v>8187</v>
      </c>
      <c r="B698" s="12" t="s">
        <v>8376</v>
      </c>
      <c r="C698" s="667" t="s">
        <v>10303</v>
      </c>
      <c r="D698" s="12" t="s">
        <v>8039</v>
      </c>
      <c r="E698" s="12" t="s">
        <v>7027</v>
      </c>
      <c r="F698" s="65">
        <v>1200</v>
      </c>
      <c r="G698" s="57">
        <v>136032</v>
      </c>
      <c r="H698" s="12"/>
      <c r="I698" s="8" t="s">
        <v>11723</v>
      </c>
    </row>
    <row r="699" spans="1:9" s="117" customFormat="1" ht="46.5" customHeight="1" x14ac:dyDescent="0.2">
      <c r="A699" s="12" t="s">
        <v>8188</v>
      </c>
      <c r="B699" s="12" t="s">
        <v>8376</v>
      </c>
      <c r="C699" s="667" t="s">
        <v>10304</v>
      </c>
      <c r="D699" s="12" t="s">
        <v>8040</v>
      </c>
      <c r="E699" s="12" t="s">
        <v>7027</v>
      </c>
      <c r="F699" s="65">
        <v>1200</v>
      </c>
      <c r="G699" s="57">
        <v>136032</v>
      </c>
      <c r="H699" s="12"/>
      <c r="I699" s="8" t="s">
        <v>11723</v>
      </c>
    </row>
    <row r="700" spans="1:9" s="117" customFormat="1" ht="46.5" customHeight="1" x14ac:dyDescent="0.2">
      <c r="A700" s="12" t="s">
        <v>8189</v>
      </c>
      <c r="B700" s="12" t="s">
        <v>8376</v>
      </c>
      <c r="C700" s="667" t="s">
        <v>10305</v>
      </c>
      <c r="D700" s="12" t="s">
        <v>8041</v>
      </c>
      <c r="E700" s="12" t="s">
        <v>7027</v>
      </c>
      <c r="F700" s="65">
        <v>1200</v>
      </c>
      <c r="G700" s="57">
        <v>136032</v>
      </c>
      <c r="H700" s="12"/>
      <c r="I700" s="8" t="s">
        <v>11723</v>
      </c>
    </row>
    <row r="701" spans="1:9" s="117" customFormat="1" ht="46.5" customHeight="1" x14ac:dyDescent="0.2">
      <c r="A701" s="12" t="s">
        <v>8190</v>
      </c>
      <c r="B701" s="12" t="s">
        <v>8376</v>
      </c>
      <c r="C701" s="667" t="s">
        <v>10306</v>
      </c>
      <c r="D701" s="12" t="s">
        <v>8042</v>
      </c>
      <c r="E701" s="12" t="s">
        <v>7027</v>
      </c>
      <c r="F701" s="65">
        <v>1200</v>
      </c>
      <c r="G701" s="57">
        <v>136032</v>
      </c>
      <c r="H701" s="12"/>
      <c r="I701" s="8" t="s">
        <v>11723</v>
      </c>
    </row>
    <row r="702" spans="1:9" s="117" customFormat="1" ht="46.5" customHeight="1" x14ac:dyDescent="0.2">
      <c r="A702" s="12" t="s">
        <v>8191</v>
      </c>
      <c r="B702" s="12" t="s">
        <v>8376</v>
      </c>
      <c r="C702" s="667" t="s">
        <v>10307</v>
      </c>
      <c r="D702" s="12" t="s">
        <v>8076</v>
      </c>
      <c r="E702" s="12" t="s">
        <v>7027</v>
      </c>
      <c r="F702" s="65">
        <v>1200</v>
      </c>
      <c r="G702" s="57">
        <v>136032</v>
      </c>
      <c r="H702" s="12"/>
      <c r="I702" s="8" t="s">
        <v>11723</v>
      </c>
    </row>
    <row r="703" spans="1:9" s="117" customFormat="1" ht="46.5" customHeight="1" x14ac:dyDescent="0.2">
      <c r="A703" s="12" t="s">
        <v>8192</v>
      </c>
      <c r="B703" s="12" t="s">
        <v>8376</v>
      </c>
      <c r="C703" s="667" t="s">
        <v>10308</v>
      </c>
      <c r="D703" s="12" t="s">
        <v>8077</v>
      </c>
      <c r="E703" s="12" t="s">
        <v>7027</v>
      </c>
      <c r="F703" s="65">
        <v>1200</v>
      </c>
      <c r="G703" s="57">
        <v>136032</v>
      </c>
      <c r="H703" s="12"/>
      <c r="I703" s="8" t="s">
        <v>11723</v>
      </c>
    </row>
    <row r="704" spans="1:9" s="117" customFormat="1" ht="46.5" customHeight="1" x14ac:dyDescent="0.2">
      <c r="A704" s="12" t="s">
        <v>8193</v>
      </c>
      <c r="B704" s="12" t="s">
        <v>8376</v>
      </c>
      <c r="C704" s="667" t="s">
        <v>10309</v>
      </c>
      <c r="D704" s="12" t="s">
        <v>8159</v>
      </c>
      <c r="E704" s="12" t="s">
        <v>7027</v>
      </c>
      <c r="F704" s="65">
        <v>1200</v>
      </c>
      <c r="G704" s="57">
        <v>136032</v>
      </c>
      <c r="H704" s="12"/>
      <c r="I704" s="8" t="s">
        <v>11723</v>
      </c>
    </row>
    <row r="705" spans="1:9" s="117" customFormat="1" ht="46.5" customHeight="1" x14ac:dyDescent="0.2">
      <c r="A705" s="12" t="s">
        <v>8194</v>
      </c>
      <c r="B705" s="12" t="s">
        <v>8376</v>
      </c>
      <c r="C705" s="667" t="s">
        <v>10310</v>
      </c>
      <c r="D705" s="12" t="s">
        <v>8160</v>
      </c>
      <c r="E705" s="12" t="s">
        <v>7027</v>
      </c>
      <c r="F705" s="65">
        <v>1200</v>
      </c>
      <c r="G705" s="57">
        <v>136032</v>
      </c>
      <c r="H705" s="12"/>
      <c r="I705" s="8" t="s">
        <v>11723</v>
      </c>
    </row>
    <row r="706" spans="1:9" s="117" customFormat="1" ht="46.5" customHeight="1" x14ac:dyDescent="0.2">
      <c r="A706" s="12" t="s">
        <v>8195</v>
      </c>
      <c r="B706" s="12" t="s">
        <v>8376</v>
      </c>
      <c r="C706" s="667" t="s">
        <v>10311</v>
      </c>
      <c r="D706" s="12" t="s">
        <v>8006</v>
      </c>
      <c r="E706" s="12" t="s">
        <v>7027</v>
      </c>
      <c r="F706" s="65">
        <v>1200</v>
      </c>
      <c r="G706" s="57">
        <v>136032</v>
      </c>
      <c r="H706" s="12"/>
      <c r="I706" s="8" t="s">
        <v>11723</v>
      </c>
    </row>
    <row r="707" spans="1:9" s="117" customFormat="1" ht="46.5" customHeight="1" x14ac:dyDescent="0.2">
      <c r="A707" s="12" t="s">
        <v>8196</v>
      </c>
      <c r="B707" s="12" t="s">
        <v>8376</v>
      </c>
      <c r="C707" s="667" t="s">
        <v>10312</v>
      </c>
      <c r="D707" s="12" t="s">
        <v>8005</v>
      </c>
      <c r="E707" s="12" t="s">
        <v>7027</v>
      </c>
      <c r="F707" s="65">
        <v>1200</v>
      </c>
      <c r="G707" s="57">
        <v>136032</v>
      </c>
      <c r="H707" s="12"/>
      <c r="I707" s="8" t="s">
        <v>11723</v>
      </c>
    </row>
    <row r="708" spans="1:9" s="117" customFormat="1" ht="46.5" customHeight="1" x14ac:dyDescent="0.2">
      <c r="A708" s="12" t="s">
        <v>8197</v>
      </c>
      <c r="B708" s="12" t="s">
        <v>8376</v>
      </c>
      <c r="C708" s="667" t="s">
        <v>10313</v>
      </c>
      <c r="D708" s="12" t="s">
        <v>8043</v>
      </c>
      <c r="E708" s="12" t="s">
        <v>7027</v>
      </c>
      <c r="F708" s="65">
        <v>1200</v>
      </c>
      <c r="G708" s="57">
        <v>136032</v>
      </c>
      <c r="H708" s="12"/>
      <c r="I708" s="8" t="s">
        <v>11723</v>
      </c>
    </row>
    <row r="709" spans="1:9" s="117" customFormat="1" ht="46.5" customHeight="1" x14ac:dyDescent="0.2">
      <c r="A709" s="12" t="s">
        <v>8198</v>
      </c>
      <c r="B709" s="12" t="s">
        <v>8376</v>
      </c>
      <c r="C709" s="667" t="s">
        <v>10314</v>
      </c>
      <c r="D709" s="12" t="s">
        <v>8078</v>
      </c>
      <c r="E709" s="12" t="s">
        <v>7027</v>
      </c>
      <c r="F709" s="65">
        <v>1200</v>
      </c>
      <c r="G709" s="57">
        <v>136032</v>
      </c>
      <c r="H709" s="12"/>
      <c r="I709" s="8" t="s">
        <v>11723</v>
      </c>
    </row>
    <row r="710" spans="1:9" s="117" customFormat="1" ht="46.5" customHeight="1" x14ac:dyDescent="0.2">
      <c r="A710" s="12" t="s">
        <v>8199</v>
      </c>
      <c r="B710" s="12" t="s">
        <v>8376</v>
      </c>
      <c r="C710" s="667" t="s">
        <v>10315</v>
      </c>
      <c r="D710" s="12" t="s">
        <v>8079</v>
      </c>
      <c r="E710" s="12" t="s">
        <v>7027</v>
      </c>
      <c r="F710" s="65">
        <v>1200</v>
      </c>
      <c r="G710" s="57">
        <v>136032</v>
      </c>
      <c r="H710" s="12"/>
      <c r="I710" s="8" t="s">
        <v>11723</v>
      </c>
    </row>
    <row r="711" spans="1:9" s="117" customFormat="1" ht="46.5" customHeight="1" x14ac:dyDescent="0.2">
      <c r="A711" s="12" t="s">
        <v>8218</v>
      </c>
      <c r="B711" s="12" t="s">
        <v>8376</v>
      </c>
      <c r="C711" s="667" t="s">
        <v>10316</v>
      </c>
      <c r="D711" s="12" t="s">
        <v>8080</v>
      </c>
      <c r="E711" s="12" t="s">
        <v>7027</v>
      </c>
      <c r="F711" s="65">
        <v>1200</v>
      </c>
      <c r="G711" s="57">
        <v>136032</v>
      </c>
      <c r="H711" s="12"/>
      <c r="I711" s="8" t="s">
        <v>11723</v>
      </c>
    </row>
    <row r="712" spans="1:9" s="117" customFormat="1" ht="46.5" customHeight="1" x14ac:dyDescent="0.2">
      <c r="A712" s="12" t="s">
        <v>8219</v>
      </c>
      <c r="B712" s="12" t="s">
        <v>8376</v>
      </c>
      <c r="C712" s="669" t="s">
        <v>10317</v>
      </c>
      <c r="D712" s="12" t="s">
        <v>8103</v>
      </c>
      <c r="E712" s="12" t="s">
        <v>7027</v>
      </c>
      <c r="F712" s="65">
        <v>1200</v>
      </c>
      <c r="G712" s="57">
        <v>136032</v>
      </c>
      <c r="H712" s="12"/>
      <c r="I712" s="8" t="s">
        <v>11723</v>
      </c>
    </row>
    <row r="713" spans="1:9" s="117" customFormat="1" ht="46.5" customHeight="1" x14ac:dyDescent="0.2">
      <c r="A713" s="12" t="s">
        <v>8460</v>
      </c>
      <c r="B713" s="12" t="s">
        <v>8376</v>
      </c>
      <c r="C713" s="669" t="s">
        <v>10318</v>
      </c>
      <c r="D713" s="12" t="s">
        <v>8104</v>
      </c>
      <c r="E713" s="12" t="s">
        <v>7027</v>
      </c>
      <c r="F713" s="65">
        <v>1200</v>
      </c>
      <c r="G713" s="57">
        <v>136032</v>
      </c>
      <c r="H713" s="12"/>
      <c r="I713" s="8" t="s">
        <v>11723</v>
      </c>
    </row>
    <row r="714" spans="1:9" s="117" customFormat="1" ht="46.5" customHeight="1" x14ac:dyDescent="0.2">
      <c r="A714" s="12" t="s">
        <v>8298</v>
      </c>
      <c r="B714" s="12" t="s">
        <v>8376</v>
      </c>
      <c r="C714" s="669" t="s">
        <v>10319</v>
      </c>
      <c r="D714" s="12" t="s">
        <v>8255</v>
      </c>
      <c r="E714" s="12" t="s">
        <v>7027</v>
      </c>
      <c r="F714" s="65">
        <v>1200</v>
      </c>
      <c r="G714" s="57">
        <v>136032</v>
      </c>
      <c r="H714" s="12"/>
      <c r="I714" s="8" t="s">
        <v>11723</v>
      </c>
    </row>
    <row r="715" spans="1:9" s="117" customFormat="1" ht="46.5" customHeight="1" x14ac:dyDescent="0.2">
      <c r="A715" s="12" t="s">
        <v>8299</v>
      </c>
      <c r="B715" s="12" t="s">
        <v>8376</v>
      </c>
      <c r="C715" s="669" t="s">
        <v>10320</v>
      </c>
      <c r="D715" s="12" t="s">
        <v>8257</v>
      </c>
      <c r="E715" s="12" t="s">
        <v>7027</v>
      </c>
      <c r="F715" s="65">
        <v>1200</v>
      </c>
      <c r="G715" s="57">
        <v>136032</v>
      </c>
      <c r="H715" s="12"/>
      <c r="I715" s="8" t="s">
        <v>11723</v>
      </c>
    </row>
    <row r="716" spans="1:9" s="117" customFormat="1" ht="46.5" customHeight="1" x14ac:dyDescent="0.2">
      <c r="A716" s="12" t="s">
        <v>8300</v>
      </c>
      <c r="B716" s="12" t="s">
        <v>8376</v>
      </c>
      <c r="C716" s="669" t="s">
        <v>10321</v>
      </c>
      <c r="D716" s="12" t="s">
        <v>8258</v>
      </c>
      <c r="E716" s="12" t="s">
        <v>7027</v>
      </c>
      <c r="F716" s="65">
        <v>1200</v>
      </c>
      <c r="G716" s="57">
        <v>136032</v>
      </c>
      <c r="H716" s="12"/>
      <c r="I716" s="8" t="s">
        <v>11723</v>
      </c>
    </row>
    <row r="717" spans="1:9" s="117" customFormat="1" ht="46.5" customHeight="1" x14ac:dyDescent="0.2">
      <c r="A717" s="12" t="s">
        <v>8301</v>
      </c>
      <c r="B717" s="12" t="s">
        <v>8376</v>
      </c>
      <c r="C717" s="669" t="s">
        <v>10322</v>
      </c>
      <c r="D717" s="12" t="s">
        <v>8259</v>
      </c>
      <c r="E717" s="12" t="s">
        <v>7027</v>
      </c>
      <c r="F717" s="65">
        <v>1200</v>
      </c>
      <c r="G717" s="57">
        <v>136032</v>
      </c>
      <c r="H717" s="12"/>
      <c r="I717" s="8" t="s">
        <v>11723</v>
      </c>
    </row>
    <row r="718" spans="1:9" s="117" customFormat="1" ht="46.5" customHeight="1" x14ac:dyDescent="0.2">
      <c r="A718" s="12" t="s">
        <v>8302</v>
      </c>
      <c r="B718" s="12" t="s">
        <v>8376</v>
      </c>
      <c r="C718" s="669" t="s">
        <v>10323</v>
      </c>
      <c r="D718" s="12" t="s">
        <v>8260</v>
      </c>
      <c r="E718" s="12" t="s">
        <v>7027</v>
      </c>
      <c r="F718" s="65">
        <v>1200</v>
      </c>
      <c r="G718" s="57">
        <v>136032</v>
      </c>
      <c r="H718" s="12"/>
      <c r="I718" s="8" t="s">
        <v>11723</v>
      </c>
    </row>
    <row r="719" spans="1:9" s="117" customFormat="1" ht="46.5" customHeight="1" x14ac:dyDescent="0.2">
      <c r="A719" s="12" t="s">
        <v>8303</v>
      </c>
      <c r="B719" s="12" t="s">
        <v>8376</v>
      </c>
      <c r="C719" s="669" t="s">
        <v>10324</v>
      </c>
      <c r="D719" s="12" t="s">
        <v>8261</v>
      </c>
      <c r="E719" s="12" t="s">
        <v>7027</v>
      </c>
      <c r="F719" s="65">
        <v>1200</v>
      </c>
      <c r="G719" s="57">
        <v>136032</v>
      </c>
      <c r="H719" s="12"/>
      <c r="I719" s="8" t="s">
        <v>11723</v>
      </c>
    </row>
    <row r="720" spans="1:9" s="117" customFormat="1" ht="46.5" customHeight="1" x14ac:dyDescent="0.2">
      <c r="A720" s="12" t="s">
        <v>8304</v>
      </c>
      <c r="B720" s="12" t="s">
        <v>8376</v>
      </c>
      <c r="C720" s="669" t="s">
        <v>10325</v>
      </c>
      <c r="D720" s="12" t="s">
        <v>8256</v>
      </c>
      <c r="E720" s="12" t="s">
        <v>7027</v>
      </c>
      <c r="F720" s="65">
        <v>1200</v>
      </c>
      <c r="G720" s="57">
        <v>136032</v>
      </c>
      <c r="H720" s="12"/>
      <c r="I720" s="8" t="s">
        <v>11723</v>
      </c>
    </row>
    <row r="721" spans="1:9" s="117" customFormat="1" ht="46.5" customHeight="1" x14ac:dyDescent="0.2">
      <c r="A721" s="12" t="s">
        <v>8305</v>
      </c>
      <c r="B721" s="12" t="s">
        <v>8376</v>
      </c>
      <c r="C721" s="669" t="s">
        <v>10326</v>
      </c>
      <c r="D721" s="12" t="s">
        <v>8263</v>
      </c>
      <c r="E721" s="12" t="s">
        <v>7027</v>
      </c>
      <c r="F721" s="65">
        <v>1200</v>
      </c>
      <c r="G721" s="57">
        <v>136032</v>
      </c>
      <c r="H721" s="12"/>
      <c r="I721" s="8" t="s">
        <v>11723</v>
      </c>
    </row>
    <row r="722" spans="1:9" s="117" customFormat="1" ht="46.5" customHeight="1" x14ac:dyDescent="0.2">
      <c r="A722" s="12" t="s">
        <v>8306</v>
      </c>
      <c r="B722" s="12" t="s">
        <v>8376</v>
      </c>
      <c r="C722" s="669" t="s">
        <v>10327</v>
      </c>
      <c r="D722" s="12" t="s">
        <v>8265</v>
      </c>
      <c r="E722" s="12" t="s">
        <v>7027</v>
      </c>
      <c r="F722" s="65">
        <v>1200</v>
      </c>
      <c r="G722" s="57">
        <v>136032</v>
      </c>
      <c r="H722" s="12"/>
      <c r="I722" s="8" t="s">
        <v>11723</v>
      </c>
    </row>
    <row r="723" spans="1:9" s="117" customFormat="1" ht="46.5" customHeight="1" x14ac:dyDescent="0.2">
      <c r="A723" s="12" t="s">
        <v>8307</v>
      </c>
      <c r="B723" s="12" t="s">
        <v>8376</v>
      </c>
      <c r="C723" s="669" t="s">
        <v>10328</v>
      </c>
      <c r="D723" s="12" t="s">
        <v>8267</v>
      </c>
      <c r="E723" s="12" t="s">
        <v>7027</v>
      </c>
      <c r="F723" s="65">
        <v>1200</v>
      </c>
      <c r="G723" s="57">
        <v>136032</v>
      </c>
      <c r="H723" s="12"/>
      <c r="I723" s="8" t="s">
        <v>11723</v>
      </c>
    </row>
    <row r="724" spans="1:9" s="117" customFormat="1" ht="46.5" customHeight="1" x14ac:dyDescent="0.2">
      <c r="A724" s="12" t="s">
        <v>8308</v>
      </c>
      <c r="B724" s="12" t="s">
        <v>8376</v>
      </c>
      <c r="C724" s="669" t="s">
        <v>10329</v>
      </c>
      <c r="D724" s="12" t="s">
        <v>8268</v>
      </c>
      <c r="E724" s="12" t="s">
        <v>7027</v>
      </c>
      <c r="F724" s="65">
        <v>1200</v>
      </c>
      <c r="G724" s="57">
        <v>136032</v>
      </c>
      <c r="H724" s="12"/>
      <c r="I724" s="8" t="s">
        <v>11723</v>
      </c>
    </row>
    <row r="725" spans="1:9" s="117" customFormat="1" ht="46.5" customHeight="1" x14ac:dyDescent="0.2">
      <c r="A725" s="12" t="s">
        <v>8309</v>
      </c>
      <c r="B725" s="12" t="s">
        <v>8376</v>
      </c>
      <c r="C725" s="667" t="s">
        <v>10330</v>
      </c>
      <c r="D725" s="12" t="s">
        <v>8270</v>
      </c>
      <c r="E725" s="12" t="s">
        <v>7027</v>
      </c>
      <c r="F725" s="65">
        <v>1200</v>
      </c>
      <c r="G725" s="57">
        <v>136032</v>
      </c>
      <c r="H725" s="12"/>
      <c r="I725" s="8" t="s">
        <v>11723</v>
      </c>
    </row>
    <row r="726" spans="1:9" s="117" customFormat="1" ht="46.5" customHeight="1" x14ac:dyDescent="0.2">
      <c r="A726" s="12" t="s">
        <v>8310</v>
      </c>
      <c r="B726" s="12" t="s">
        <v>8376</v>
      </c>
      <c r="C726" s="667" t="s">
        <v>10331</v>
      </c>
      <c r="D726" s="12" t="s">
        <v>8271</v>
      </c>
      <c r="E726" s="12" t="s">
        <v>7027</v>
      </c>
      <c r="F726" s="65">
        <v>1200</v>
      </c>
      <c r="G726" s="57">
        <v>136032</v>
      </c>
      <c r="H726" s="12"/>
      <c r="I726" s="8" t="s">
        <v>11723</v>
      </c>
    </row>
    <row r="727" spans="1:9" s="117" customFormat="1" ht="46.5" customHeight="1" x14ac:dyDescent="0.2">
      <c r="A727" s="12" t="s">
        <v>8311</v>
      </c>
      <c r="B727" s="12" t="s">
        <v>8376</v>
      </c>
      <c r="C727" s="667" t="s">
        <v>10332</v>
      </c>
      <c r="D727" s="12" t="s">
        <v>8272</v>
      </c>
      <c r="E727" s="12" t="s">
        <v>7027</v>
      </c>
      <c r="F727" s="65">
        <v>1200</v>
      </c>
      <c r="G727" s="57">
        <v>136032</v>
      </c>
      <c r="H727" s="12"/>
      <c r="I727" s="8" t="s">
        <v>11723</v>
      </c>
    </row>
    <row r="728" spans="1:9" s="117" customFormat="1" ht="46.5" customHeight="1" x14ac:dyDescent="0.2">
      <c r="A728" s="12" t="s">
        <v>8312</v>
      </c>
      <c r="B728" s="12" t="s">
        <v>8376</v>
      </c>
      <c r="C728" s="667" t="s">
        <v>10333</v>
      </c>
      <c r="D728" s="12" t="s">
        <v>8273</v>
      </c>
      <c r="E728" s="12" t="s">
        <v>7027</v>
      </c>
      <c r="F728" s="65">
        <v>1200</v>
      </c>
      <c r="G728" s="57">
        <v>136032</v>
      </c>
      <c r="H728" s="12"/>
      <c r="I728" s="8" t="s">
        <v>11723</v>
      </c>
    </row>
    <row r="729" spans="1:9" s="117" customFormat="1" ht="46.5" customHeight="1" x14ac:dyDescent="0.2">
      <c r="A729" s="12" t="s">
        <v>8313</v>
      </c>
      <c r="B729" s="12" t="s">
        <v>8376</v>
      </c>
      <c r="C729" s="667" t="s">
        <v>10334</v>
      </c>
      <c r="D729" s="12" t="s">
        <v>8274</v>
      </c>
      <c r="E729" s="12" t="s">
        <v>7027</v>
      </c>
      <c r="F729" s="65">
        <v>1200</v>
      </c>
      <c r="G729" s="57">
        <v>136032</v>
      </c>
      <c r="H729" s="12"/>
      <c r="I729" s="8" t="s">
        <v>11723</v>
      </c>
    </row>
    <row r="730" spans="1:9" s="117" customFormat="1" ht="46.5" customHeight="1" x14ac:dyDescent="0.2">
      <c r="A730" s="12" t="s">
        <v>8314</v>
      </c>
      <c r="B730" s="12" t="s">
        <v>8376</v>
      </c>
      <c r="C730" s="667" t="s">
        <v>10335</v>
      </c>
      <c r="D730" s="12" t="s">
        <v>8275</v>
      </c>
      <c r="E730" s="12" t="s">
        <v>7027</v>
      </c>
      <c r="F730" s="65">
        <v>1200</v>
      </c>
      <c r="G730" s="57">
        <v>136032</v>
      </c>
      <c r="H730" s="12"/>
      <c r="I730" s="8" t="s">
        <v>11723</v>
      </c>
    </row>
    <row r="731" spans="1:9" s="117" customFormat="1" ht="46.5" customHeight="1" x14ac:dyDescent="0.2">
      <c r="A731" s="12" t="s">
        <v>8315</v>
      </c>
      <c r="B731" s="12" t="s">
        <v>8376</v>
      </c>
      <c r="C731" s="667" t="s">
        <v>10336</v>
      </c>
      <c r="D731" s="12" t="s">
        <v>8264</v>
      </c>
      <c r="E731" s="12" t="s">
        <v>7027</v>
      </c>
      <c r="F731" s="65">
        <v>1200</v>
      </c>
      <c r="G731" s="57">
        <v>136032</v>
      </c>
      <c r="H731" s="12"/>
      <c r="I731" s="8" t="s">
        <v>11723</v>
      </c>
    </row>
    <row r="732" spans="1:9" s="117" customFormat="1" ht="46.5" customHeight="1" x14ac:dyDescent="0.2">
      <c r="A732" s="12" t="s">
        <v>8316</v>
      </c>
      <c r="B732" s="12" t="s">
        <v>8376</v>
      </c>
      <c r="C732" s="667" t="s">
        <v>10337</v>
      </c>
      <c r="D732" s="12" t="s">
        <v>8266</v>
      </c>
      <c r="E732" s="12" t="s">
        <v>7027</v>
      </c>
      <c r="F732" s="65">
        <v>1200</v>
      </c>
      <c r="G732" s="57">
        <v>136032</v>
      </c>
      <c r="H732" s="12"/>
      <c r="I732" s="8" t="s">
        <v>11723</v>
      </c>
    </row>
    <row r="733" spans="1:9" s="117" customFormat="1" ht="46.5" customHeight="1" x14ac:dyDescent="0.2">
      <c r="A733" s="12" t="s">
        <v>8317</v>
      </c>
      <c r="B733" s="12" t="s">
        <v>8376</v>
      </c>
      <c r="C733" s="667" t="s">
        <v>10338</v>
      </c>
      <c r="D733" s="12" t="s">
        <v>8269</v>
      </c>
      <c r="E733" s="12" t="s">
        <v>7027</v>
      </c>
      <c r="F733" s="65">
        <v>1200</v>
      </c>
      <c r="G733" s="57">
        <v>136032</v>
      </c>
      <c r="H733" s="12"/>
      <c r="I733" s="8" t="s">
        <v>11723</v>
      </c>
    </row>
    <row r="734" spans="1:9" s="117" customFormat="1" ht="46.5" customHeight="1" x14ac:dyDescent="0.2">
      <c r="A734" s="12" t="s">
        <v>8318</v>
      </c>
      <c r="B734" s="12" t="s">
        <v>8376</v>
      </c>
      <c r="C734" s="667" t="s">
        <v>10339</v>
      </c>
      <c r="D734" s="12" t="s">
        <v>8277</v>
      </c>
      <c r="E734" s="12" t="s">
        <v>7027</v>
      </c>
      <c r="F734" s="65">
        <v>1200</v>
      </c>
      <c r="G734" s="57">
        <v>136032</v>
      </c>
      <c r="H734" s="12"/>
      <c r="I734" s="8" t="s">
        <v>11723</v>
      </c>
    </row>
    <row r="735" spans="1:9" s="117" customFormat="1" ht="46.5" customHeight="1" x14ac:dyDescent="0.2">
      <c r="A735" s="12" t="s">
        <v>8319</v>
      </c>
      <c r="B735" s="12" t="s">
        <v>8376</v>
      </c>
      <c r="C735" s="667" t="s">
        <v>10340</v>
      </c>
      <c r="D735" s="12" t="s">
        <v>8278</v>
      </c>
      <c r="E735" s="12" t="s">
        <v>7027</v>
      </c>
      <c r="F735" s="65">
        <v>1200</v>
      </c>
      <c r="G735" s="57">
        <v>136032</v>
      </c>
      <c r="H735" s="12"/>
      <c r="I735" s="8" t="s">
        <v>11723</v>
      </c>
    </row>
    <row r="736" spans="1:9" s="117" customFormat="1" ht="46.5" customHeight="1" x14ac:dyDescent="0.2">
      <c r="A736" s="12" t="s">
        <v>8320</v>
      </c>
      <c r="B736" s="12" t="s">
        <v>8376</v>
      </c>
      <c r="C736" s="667" t="s">
        <v>10341</v>
      </c>
      <c r="D736" s="12" t="s">
        <v>8279</v>
      </c>
      <c r="E736" s="12" t="s">
        <v>7027</v>
      </c>
      <c r="F736" s="65">
        <v>1200</v>
      </c>
      <c r="G736" s="57">
        <v>136032</v>
      </c>
      <c r="H736" s="12"/>
      <c r="I736" s="8" t="s">
        <v>11723</v>
      </c>
    </row>
    <row r="737" spans="1:9" s="117" customFormat="1" ht="46.5" customHeight="1" x14ac:dyDescent="0.2">
      <c r="A737" s="12" t="s">
        <v>8321</v>
      </c>
      <c r="B737" s="12" t="s">
        <v>8376</v>
      </c>
      <c r="C737" s="667" t="s">
        <v>10342</v>
      </c>
      <c r="D737" s="12" t="s">
        <v>8280</v>
      </c>
      <c r="E737" s="12" t="s">
        <v>7027</v>
      </c>
      <c r="F737" s="65">
        <v>1200</v>
      </c>
      <c r="G737" s="57">
        <v>136032</v>
      </c>
      <c r="H737" s="12"/>
      <c r="I737" s="8" t="s">
        <v>11723</v>
      </c>
    </row>
    <row r="738" spans="1:9" s="117" customFormat="1" ht="46.5" customHeight="1" x14ac:dyDescent="0.2">
      <c r="A738" s="12" t="s">
        <v>8322</v>
      </c>
      <c r="B738" s="12" t="s">
        <v>8376</v>
      </c>
      <c r="C738" s="667" t="s">
        <v>10343</v>
      </c>
      <c r="D738" s="12" t="s">
        <v>8281</v>
      </c>
      <c r="E738" s="12" t="s">
        <v>7027</v>
      </c>
      <c r="F738" s="65">
        <v>1200</v>
      </c>
      <c r="G738" s="57">
        <v>136032</v>
      </c>
      <c r="H738" s="12"/>
      <c r="I738" s="8" t="s">
        <v>11723</v>
      </c>
    </row>
    <row r="739" spans="1:9" s="117" customFormat="1" ht="46.5" customHeight="1" x14ac:dyDescent="0.2">
      <c r="A739" s="12" t="s">
        <v>8323</v>
      </c>
      <c r="B739" s="12" t="s">
        <v>8376</v>
      </c>
      <c r="C739" s="667" t="s">
        <v>10344</v>
      </c>
      <c r="D739" s="12" t="s">
        <v>8282</v>
      </c>
      <c r="E739" s="12" t="s">
        <v>7027</v>
      </c>
      <c r="F739" s="65">
        <v>1200</v>
      </c>
      <c r="G739" s="57">
        <v>136032</v>
      </c>
      <c r="H739" s="12"/>
      <c r="I739" s="8" t="s">
        <v>11723</v>
      </c>
    </row>
    <row r="740" spans="1:9" s="117" customFormat="1" ht="46.5" customHeight="1" x14ac:dyDescent="0.2">
      <c r="A740" s="12" t="s">
        <v>8324</v>
      </c>
      <c r="B740" s="12" t="s">
        <v>8376</v>
      </c>
      <c r="C740" s="667" t="s">
        <v>10345</v>
      </c>
      <c r="D740" s="12" t="s">
        <v>8262</v>
      </c>
      <c r="E740" s="12" t="s">
        <v>7027</v>
      </c>
      <c r="F740" s="65">
        <v>1200</v>
      </c>
      <c r="G740" s="57">
        <v>136032</v>
      </c>
      <c r="H740" s="12"/>
      <c r="I740" s="8" t="s">
        <v>11723</v>
      </c>
    </row>
    <row r="741" spans="1:9" s="117" customFormat="1" ht="46.5" customHeight="1" x14ac:dyDescent="0.2">
      <c r="A741" s="12" t="s">
        <v>8325</v>
      </c>
      <c r="B741" s="12" t="s">
        <v>8376</v>
      </c>
      <c r="C741" s="667" t="s">
        <v>10346</v>
      </c>
      <c r="D741" s="12" t="s">
        <v>8283</v>
      </c>
      <c r="E741" s="12" t="s">
        <v>7027</v>
      </c>
      <c r="F741" s="65">
        <v>1200</v>
      </c>
      <c r="G741" s="57">
        <v>136032</v>
      </c>
      <c r="H741" s="12"/>
      <c r="I741" s="8" t="s">
        <v>11723</v>
      </c>
    </row>
    <row r="742" spans="1:9" s="117" customFormat="1" ht="46.5" customHeight="1" x14ac:dyDescent="0.2">
      <c r="A742" s="12" t="s">
        <v>8326</v>
      </c>
      <c r="B742" s="12" t="s">
        <v>8376</v>
      </c>
      <c r="C742" s="667" t="s">
        <v>10347</v>
      </c>
      <c r="D742" s="12" t="s">
        <v>8284</v>
      </c>
      <c r="E742" s="12" t="s">
        <v>7027</v>
      </c>
      <c r="F742" s="65">
        <v>1200</v>
      </c>
      <c r="G742" s="57">
        <v>136032</v>
      </c>
      <c r="H742" s="12"/>
      <c r="I742" s="8" t="s">
        <v>11723</v>
      </c>
    </row>
    <row r="743" spans="1:9" s="117" customFormat="1" ht="46.5" customHeight="1" x14ac:dyDescent="0.2">
      <c r="A743" s="12" t="s">
        <v>8327</v>
      </c>
      <c r="B743" s="12" t="s">
        <v>8376</v>
      </c>
      <c r="C743" s="667" t="s">
        <v>10348</v>
      </c>
      <c r="D743" s="12" t="s">
        <v>8285</v>
      </c>
      <c r="E743" s="12" t="s">
        <v>7027</v>
      </c>
      <c r="F743" s="65">
        <v>1200</v>
      </c>
      <c r="G743" s="57">
        <v>136032</v>
      </c>
      <c r="H743" s="12"/>
      <c r="I743" s="8" t="s">
        <v>11723</v>
      </c>
    </row>
    <row r="744" spans="1:9" s="117" customFormat="1" ht="46.5" customHeight="1" x14ac:dyDescent="0.2">
      <c r="A744" s="12" t="s">
        <v>8328</v>
      </c>
      <c r="B744" s="12" t="s">
        <v>8376</v>
      </c>
      <c r="C744" s="667" t="s">
        <v>10349</v>
      </c>
      <c r="D744" s="12" t="s">
        <v>8286</v>
      </c>
      <c r="E744" s="12" t="s">
        <v>7027</v>
      </c>
      <c r="F744" s="65">
        <v>1200</v>
      </c>
      <c r="G744" s="57">
        <v>136032</v>
      </c>
      <c r="H744" s="12"/>
      <c r="I744" s="8" t="s">
        <v>11723</v>
      </c>
    </row>
    <row r="745" spans="1:9" s="117" customFormat="1" ht="46.5" customHeight="1" x14ac:dyDescent="0.2">
      <c r="A745" s="12" t="s">
        <v>8329</v>
      </c>
      <c r="B745" s="12" t="s">
        <v>8376</v>
      </c>
      <c r="C745" s="667" t="s">
        <v>10350</v>
      </c>
      <c r="D745" s="12" t="s">
        <v>8287</v>
      </c>
      <c r="E745" s="12" t="s">
        <v>7027</v>
      </c>
      <c r="F745" s="65">
        <v>1200</v>
      </c>
      <c r="G745" s="57">
        <v>136032</v>
      </c>
      <c r="H745" s="12"/>
      <c r="I745" s="8" t="s">
        <v>11723</v>
      </c>
    </row>
    <row r="746" spans="1:9" s="117" customFormat="1" ht="46.5" customHeight="1" x14ac:dyDescent="0.2">
      <c r="A746" s="12" t="s">
        <v>8330</v>
      </c>
      <c r="B746" s="12" t="s">
        <v>8376</v>
      </c>
      <c r="C746" s="667" t="s">
        <v>10351</v>
      </c>
      <c r="D746" s="12" t="s">
        <v>8288</v>
      </c>
      <c r="E746" s="12" t="s">
        <v>7027</v>
      </c>
      <c r="F746" s="65">
        <v>1200</v>
      </c>
      <c r="G746" s="57">
        <v>136032</v>
      </c>
      <c r="H746" s="12"/>
      <c r="I746" s="8" t="s">
        <v>11723</v>
      </c>
    </row>
    <row r="747" spans="1:9" s="117" customFormat="1" ht="46.5" customHeight="1" x14ac:dyDescent="0.2">
      <c r="A747" s="12" t="s">
        <v>8331</v>
      </c>
      <c r="B747" s="12" t="s">
        <v>8376</v>
      </c>
      <c r="C747" s="667" t="s">
        <v>10352</v>
      </c>
      <c r="D747" s="12" t="s">
        <v>8289</v>
      </c>
      <c r="E747" s="12" t="s">
        <v>7027</v>
      </c>
      <c r="F747" s="65">
        <v>1200</v>
      </c>
      <c r="G747" s="57">
        <v>136032</v>
      </c>
      <c r="H747" s="12"/>
      <c r="I747" s="8" t="s">
        <v>11723</v>
      </c>
    </row>
    <row r="748" spans="1:9" s="117" customFormat="1" ht="46.5" customHeight="1" x14ac:dyDescent="0.2">
      <c r="A748" s="12" t="s">
        <v>8332</v>
      </c>
      <c r="B748" s="12" t="s">
        <v>8376</v>
      </c>
      <c r="C748" s="667" t="s">
        <v>10353</v>
      </c>
      <c r="D748" s="12" t="s">
        <v>8290</v>
      </c>
      <c r="E748" s="12" t="s">
        <v>7027</v>
      </c>
      <c r="F748" s="65">
        <v>1200</v>
      </c>
      <c r="G748" s="57">
        <v>136032</v>
      </c>
      <c r="H748" s="12"/>
      <c r="I748" s="8" t="s">
        <v>11723</v>
      </c>
    </row>
    <row r="749" spans="1:9" s="117" customFormat="1" ht="46.5" customHeight="1" x14ac:dyDescent="0.2">
      <c r="A749" s="12" t="s">
        <v>8333</v>
      </c>
      <c r="B749" s="12" t="s">
        <v>8376</v>
      </c>
      <c r="C749" s="667" t="s">
        <v>10354</v>
      </c>
      <c r="D749" s="12" t="s">
        <v>8291</v>
      </c>
      <c r="E749" s="12" t="s">
        <v>7027</v>
      </c>
      <c r="F749" s="65">
        <v>1200</v>
      </c>
      <c r="G749" s="57">
        <v>136032</v>
      </c>
      <c r="H749" s="12"/>
      <c r="I749" s="8" t="s">
        <v>11723</v>
      </c>
    </row>
    <row r="750" spans="1:9" s="117" customFormat="1" ht="46.5" customHeight="1" x14ac:dyDescent="0.2">
      <c r="A750" s="12" t="s">
        <v>8334</v>
      </c>
      <c r="B750" s="12" t="s">
        <v>8376</v>
      </c>
      <c r="C750" s="667" t="s">
        <v>10355</v>
      </c>
      <c r="D750" s="12" t="s">
        <v>8293</v>
      </c>
      <c r="E750" s="12" t="s">
        <v>7027</v>
      </c>
      <c r="F750" s="65">
        <v>1200</v>
      </c>
      <c r="G750" s="57">
        <v>136032</v>
      </c>
      <c r="H750" s="12"/>
      <c r="I750" s="8" t="s">
        <v>11723</v>
      </c>
    </row>
    <row r="751" spans="1:9" s="117" customFormat="1" ht="46.5" customHeight="1" x14ac:dyDescent="0.2">
      <c r="A751" s="12" t="s">
        <v>8335</v>
      </c>
      <c r="B751" s="12" t="s">
        <v>8376</v>
      </c>
      <c r="C751" s="667" t="s">
        <v>10356</v>
      </c>
      <c r="D751" s="12" t="s">
        <v>8276</v>
      </c>
      <c r="E751" s="12" t="s">
        <v>7027</v>
      </c>
      <c r="F751" s="65">
        <v>1200</v>
      </c>
      <c r="G751" s="57">
        <v>136032</v>
      </c>
      <c r="H751" s="12"/>
      <c r="I751" s="8" t="s">
        <v>11723</v>
      </c>
    </row>
    <row r="752" spans="1:9" s="117" customFormat="1" ht="46.5" customHeight="1" x14ac:dyDescent="0.2">
      <c r="A752" s="12" t="s">
        <v>8336</v>
      </c>
      <c r="B752" s="12" t="s">
        <v>8376</v>
      </c>
      <c r="C752" s="667" t="s">
        <v>10357</v>
      </c>
      <c r="D752" s="12" t="s">
        <v>8294</v>
      </c>
      <c r="E752" s="12" t="s">
        <v>7027</v>
      </c>
      <c r="F752" s="65">
        <v>1200</v>
      </c>
      <c r="G752" s="57">
        <v>136032</v>
      </c>
      <c r="H752" s="12"/>
      <c r="I752" s="8" t="s">
        <v>11723</v>
      </c>
    </row>
    <row r="753" spans="1:9" s="117" customFormat="1" ht="46.5" customHeight="1" x14ac:dyDescent="0.2">
      <c r="A753" s="12" t="s">
        <v>8337</v>
      </c>
      <c r="B753" s="12" t="s">
        <v>8376</v>
      </c>
      <c r="C753" s="667" t="s">
        <v>10358</v>
      </c>
      <c r="D753" s="12" t="s">
        <v>8295</v>
      </c>
      <c r="E753" s="12" t="s">
        <v>7027</v>
      </c>
      <c r="F753" s="65">
        <v>1200</v>
      </c>
      <c r="G753" s="57">
        <v>136032</v>
      </c>
      <c r="H753" s="12"/>
      <c r="I753" s="8" t="s">
        <v>11723</v>
      </c>
    </row>
    <row r="754" spans="1:9" s="117" customFormat="1" ht="46.5" customHeight="1" x14ac:dyDescent="0.2">
      <c r="A754" s="12" t="s">
        <v>8338</v>
      </c>
      <c r="B754" s="12" t="s">
        <v>8376</v>
      </c>
      <c r="C754" s="667" t="s">
        <v>10359</v>
      </c>
      <c r="D754" s="12" t="s">
        <v>8296</v>
      </c>
      <c r="E754" s="12" t="s">
        <v>7027</v>
      </c>
      <c r="F754" s="65">
        <v>1200</v>
      </c>
      <c r="G754" s="57">
        <v>136032</v>
      </c>
      <c r="H754" s="12"/>
      <c r="I754" s="8" t="s">
        <v>11723</v>
      </c>
    </row>
    <row r="755" spans="1:9" s="117" customFormat="1" ht="46.5" customHeight="1" x14ac:dyDescent="0.2">
      <c r="A755" s="12" t="s">
        <v>8339</v>
      </c>
      <c r="B755" s="12" t="s">
        <v>8376</v>
      </c>
      <c r="C755" s="667" t="s">
        <v>10360</v>
      </c>
      <c r="D755" s="12" t="s">
        <v>8372</v>
      </c>
      <c r="E755" s="12" t="s">
        <v>7027</v>
      </c>
      <c r="F755" s="65">
        <v>1200</v>
      </c>
      <c r="G755" s="57">
        <v>136032</v>
      </c>
      <c r="H755" s="12"/>
      <c r="I755" s="8" t="s">
        <v>11723</v>
      </c>
    </row>
    <row r="756" spans="1:9" s="117" customFormat="1" ht="46.5" customHeight="1" x14ac:dyDescent="0.2">
      <c r="A756" s="12" t="s">
        <v>8340</v>
      </c>
      <c r="B756" s="12" t="s">
        <v>8376</v>
      </c>
      <c r="C756" s="667" t="s">
        <v>10361</v>
      </c>
      <c r="D756" s="12" t="s">
        <v>8292</v>
      </c>
      <c r="E756" s="12" t="s">
        <v>7027</v>
      </c>
      <c r="F756" s="65">
        <v>1200</v>
      </c>
      <c r="G756" s="57">
        <v>136032</v>
      </c>
      <c r="H756" s="12"/>
      <c r="I756" s="8" t="s">
        <v>11723</v>
      </c>
    </row>
    <row r="757" spans="1:9" s="117" customFormat="1" ht="46.5" customHeight="1" x14ac:dyDescent="0.2">
      <c r="A757" s="12" t="s">
        <v>8341</v>
      </c>
      <c r="B757" s="12" t="s">
        <v>8376</v>
      </c>
      <c r="C757" s="667" t="s">
        <v>10362</v>
      </c>
      <c r="D757" s="12" t="s">
        <v>8297</v>
      </c>
      <c r="E757" s="12" t="s">
        <v>7027</v>
      </c>
      <c r="F757" s="65">
        <v>1200</v>
      </c>
      <c r="G757" s="57">
        <v>136032</v>
      </c>
      <c r="H757" s="12"/>
      <c r="I757" s="8" t="s">
        <v>11723</v>
      </c>
    </row>
    <row r="758" spans="1:9" s="117" customFormat="1" ht="46.5" customHeight="1" x14ac:dyDescent="0.2">
      <c r="A758" s="12" t="s">
        <v>8342</v>
      </c>
      <c r="B758" s="12" t="s">
        <v>8376</v>
      </c>
      <c r="C758" s="667" t="s">
        <v>10363</v>
      </c>
      <c r="D758" s="12" t="s">
        <v>8385</v>
      </c>
      <c r="E758" s="12" t="s">
        <v>7027</v>
      </c>
      <c r="F758" s="65">
        <v>1200</v>
      </c>
      <c r="G758" s="57">
        <v>136032</v>
      </c>
      <c r="H758" s="12"/>
      <c r="I758" s="8" t="s">
        <v>11723</v>
      </c>
    </row>
    <row r="759" spans="1:9" s="117" customFormat="1" ht="46.5" customHeight="1" x14ac:dyDescent="0.2">
      <c r="A759" s="12" t="s">
        <v>8343</v>
      </c>
      <c r="B759" s="12" t="s">
        <v>8376</v>
      </c>
      <c r="C759" s="667" t="s">
        <v>10364</v>
      </c>
      <c r="D759" s="12" t="s">
        <v>8386</v>
      </c>
      <c r="E759" s="12" t="s">
        <v>7027</v>
      </c>
      <c r="F759" s="65">
        <v>1200</v>
      </c>
      <c r="G759" s="57">
        <v>136032</v>
      </c>
      <c r="H759" s="12"/>
      <c r="I759" s="8" t="s">
        <v>11723</v>
      </c>
    </row>
    <row r="760" spans="1:9" s="117" customFormat="1" ht="46.5" customHeight="1" x14ac:dyDescent="0.2">
      <c r="A760" s="12" t="s">
        <v>8344</v>
      </c>
      <c r="B760" s="12" t="s">
        <v>8376</v>
      </c>
      <c r="C760" s="667" t="s">
        <v>10365</v>
      </c>
      <c r="D760" s="12" t="s">
        <v>8375</v>
      </c>
      <c r="E760" s="12" t="s">
        <v>7027</v>
      </c>
      <c r="F760" s="65">
        <v>1200</v>
      </c>
      <c r="G760" s="57">
        <v>136032</v>
      </c>
      <c r="H760" s="12"/>
      <c r="I760" s="8" t="s">
        <v>11723</v>
      </c>
    </row>
    <row r="761" spans="1:9" s="117" customFormat="1" ht="46.5" customHeight="1" x14ac:dyDescent="0.2">
      <c r="A761" s="12" t="s">
        <v>8345</v>
      </c>
      <c r="B761" s="12" t="s">
        <v>8376</v>
      </c>
      <c r="C761" s="667" t="s">
        <v>10366</v>
      </c>
      <c r="D761" s="12" t="s">
        <v>8362</v>
      </c>
      <c r="E761" s="12" t="s">
        <v>7027</v>
      </c>
      <c r="F761" s="65">
        <v>1200</v>
      </c>
      <c r="G761" s="57">
        <v>136032</v>
      </c>
      <c r="H761" s="12"/>
      <c r="I761" s="8" t="s">
        <v>11723</v>
      </c>
    </row>
    <row r="762" spans="1:9" s="117" customFormat="1" ht="46.5" customHeight="1" x14ac:dyDescent="0.2">
      <c r="A762" s="12" t="s">
        <v>8346</v>
      </c>
      <c r="B762" s="12" t="s">
        <v>8376</v>
      </c>
      <c r="C762" s="667" t="s">
        <v>10367</v>
      </c>
      <c r="D762" s="12" t="s">
        <v>8715</v>
      </c>
      <c r="E762" s="12" t="s">
        <v>7027</v>
      </c>
      <c r="F762" s="65">
        <v>1200</v>
      </c>
      <c r="G762" s="57">
        <v>136032</v>
      </c>
      <c r="H762" s="12"/>
      <c r="I762" s="8" t="s">
        <v>11723</v>
      </c>
    </row>
    <row r="763" spans="1:9" s="117" customFormat="1" ht="46.5" customHeight="1" x14ac:dyDescent="0.2">
      <c r="A763" s="12" t="s">
        <v>8347</v>
      </c>
      <c r="B763" s="12" t="s">
        <v>8376</v>
      </c>
      <c r="C763" s="667" t="s">
        <v>10368</v>
      </c>
      <c r="D763" s="12" t="s">
        <v>8363</v>
      </c>
      <c r="E763" s="12" t="s">
        <v>7027</v>
      </c>
      <c r="F763" s="65">
        <v>1200</v>
      </c>
      <c r="G763" s="57">
        <v>136032</v>
      </c>
      <c r="H763" s="12"/>
      <c r="I763" s="8" t="s">
        <v>11723</v>
      </c>
    </row>
    <row r="764" spans="1:9" s="117" customFormat="1" ht="46.5" customHeight="1" x14ac:dyDescent="0.2">
      <c r="A764" s="12" t="s">
        <v>8348</v>
      </c>
      <c r="B764" s="12" t="s">
        <v>8376</v>
      </c>
      <c r="C764" s="667" t="s">
        <v>10369</v>
      </c>
      <c r="D764" s="12" t="s">
        <v>8364</v>
      </c>
      <c r="E764" s="12" t="s">
        <v>7027</v>
      </c>
      <c r="F764" s="65">
        <v>1200</v>
      </c>
      <c r="G764" s="57">
        <v>136032</v>
      </c>
      <c r="H764" s="12"/>
      <c r="I764" s="8" t="s">
        <v>11723</v>
      </c>
    </row>
    <row r="765" spans="1:9" s="117" customFormat="1" ht="46.5" customHeight="1" x14ac:dyDescent="0.2">
      <c r="A765" s="12" t="s">
        <v>8349</v>
      </c>
      <c r="B765" s="12" t="s">
        <v>8376</v>
      </c>
      <c r="C765" s="667" t="s">
        <v>10370</v>
      </c>
      <c r="D765" s="12" t="s">
        <v>8365</v>
      </c>
      <c r="E765" s="12" t="s">
        <v>7027</v>
      </c>
      <c r="F765" s="65">
        <v>1200</v>
      </c>
      <c r="G765" s="57">
        <v>136032</v>
      </c>
      <c r="H765" s="12"/>
      <c r="I765" s="8" t="s">
        <v>11723</v>
      </c>
    </row>
    <row r="766" spans="1:9" s="117" customFormat="1" ht="46.5" customHeight="1" x14ac:dyDescent="0.2">
      <c r="A766" s="12" t="s">
        <v>8350</v>
      </c>
      <c r="B766" s="12" t="s">
        <v>8376</v>
      </c>
      <c r="C766" s="667" t="s">
        <v>10371</v>
      </c>
      <c r="D766" s="12" t="s">
        <v>8366</v>
      </c>
      <c r="E766" s="12" t="s">
        <v>7027</v>
      </c>
      <c r="F766" s="65">
        <v>1200</v>
      </c>
      <c r="G766" s="57">
        <v>136032</v>
      </c>
      <c r="H766" s="12"/>
      <c r="I766" s="8" t="s">
        <v>11723</v>
      </c>
    </row>
    <row r="767" spans="1:9" s="117" customFormat="1" ht="46.5" customHeight="1" x14ac:dyDescent="0.2">
      <c r="A767" s="12" t="s">
        <v>8351</v>
      </c>
      <c r="B767" s="12" t="s">
        <v>8376</v>
      </c>
      <c r="C767" s="667" t="s">
        <v>10372</v>
      </c>
      <c r="D767" s="12" t="s">
        <v>8354</v>
      </c>
      <c r="E767" s="12" t="s">
        <v>7027</v>
      </c>
      <c r="F767" s="65">
        <v>1200</v>
      </c>
      <c r="G767" s="57">
        <v>136032</v>
      </c>
      <c r="H767" s="12"/>
      <c r="I767" s="8" t="s">
        <v>11723</v>
      </c>
    </row>
    <row r="768" spans="1:9" s="117" customFormat="1" ht="46.5" customHeight="1" x14ac:dyDescent="0.2">
      <c r="A768" s="12" t="s">
        <v>8352</v>
      </c>
      <c r="B768" s="12" t="s">
        <v>8376</v>
      </c>
      <c r="C768" s="667" t="s">
        <v>10373</v>
      </c>
      <c r="D768" s="12" t="s">
        <v>8355</v>
      </c>
      <c r="E768" s="12" t="s">
        <v>7027</v>
      </c>
      <c r="F768" s="65">
        <v>1200</v>
      </c>
      <c r="G768" s="57">
        <v>136032</v>
      </c>
      <c r="H768" s="12"/>
      <c r="I768" s="8" t="s">
        <v>11723</v>
      </c>
    </row>
    <row r="769" spans="1:9" s="117" customFormat="1" ht="46.5" customHeight="1" x14ac:dyDescent="0.2">
      <c r="A769" s="12" t="s">
        <v>8353</v>
      </c>
      <c r="B769" s="12" t="s">
        <v>8376</v>
      </c>
      <c r="C769" s="667" t="s">
        <v>10374</v>
      </c>
      <c r="D769" s="12" t="s">
        <v>8387</v>
      </c>
      <c r="E769" s="12" t="s">
        <v>7027</v>
      </c>
      <c r="F769" s="65">
        <v>1200</v>
      </c>
      <c r="G769" s="57">
        <v>136032</v>
      </c>
      <c r="H769" s="12"/>
      <c r="I769" s="8" t="s">
        <v>11723</v>
      </c>
    </row>
    <row r="770" spans="1:9" s="117" customFormat="1" ht="46.5" customHeight="1" x14ac:dyDescent="0.2">
      <c r="A770" s="12" t="s">
        <v>8388</v>
      </c>
      <c r="B770" s="12" t="s">
        <v>8376</v>
      </c>
      <c r="C770" s="667" t="s">
        <v>10375</v>
      </c>
      <c r="D770" s="12" t="s">
        <v>8374</v>
      </c>
      <c r="E770" s="12" t="s">
        <v>7027</v>
      </c>
      <c r="F770" s="65">
        <v>1200</v>
      </c>
      <c r="G770" s="57">
        <v>136032</v>
      </c>
      <c r="H770" s="12"/>
      <c r="I770" s="8" t="s">
        <v>11723</v>
      </c>
    </row>
    <row r="771" spans="1:9" s="117" customFormat="1" ht="46.5" customHeight="1" x14ac:dyDescent="0.2">
      <c r="A771" s="12" t="s">
        <v>8389</v>
      </c>
      <c r="B771" s="12" t="s">
        <v>8376</v>
      </c>
      <c r="C771" s="667" t="s">
        <v>10376</v>
      </c>
      <c r="D771" s="12" t="s">
        <v>8367</v>
      </c>
      <c r="E771" s="12" t="s">
        <v>7027</v>
      </c>
      <c r="F771" s="65">
        <v>1200</v>
      </c>
      <c r="G771" s="57">
        <v>136032</v>
      </c>
      <c r="H771" s="12"/>
      <c r="I771" s="8" t="s">
        <v>11723</v>
      </c>
    </row>
    <row r="772" spans="1:9" s="117" customFormat="1" ht="46.5" customHeight="1" x14ac:dyDescent="0.2">
      <c r="A772" s="12" t="s">
        <v>8390</v>
      </c>
      <c r="B772" s="12" t="s">
        <v>8376</v>
      </c>
      <c r="C772" s="667" t="s">
        <v>10377</v>
      </c>
      <c r="D772" s="12" t="s">
        <v>8414</v>
      </c>
      <c r="E772" s="12" t="s">
        <v>7027</v>
      </c>
      <c r="F772" s="65">
        <v>1200</v>
      </c>
      <c r="G772" s="57">
        <v>136032</v>
      </c>
      <c r="H772" s="12"/>
      <c r="I772" s="8" t="s">
        <v>11723</v>
      </c>
    </row>
    <row r="773" spans="1:9" s="117" customFormat="1" ht="46.5" customHeight="1" x14ac:dyDescent="0.2">
      <c r="A773" s="12" t="s">
        <v>8391</v>
      </c>
      <c r="B773" s="12" t="s">
        <v>8376</v>
      </c>
      <c r="C773" s="667" t="s">
        <v>10378</v>
      </c>
      <c r="D773" s="12" t="s">
        <v>8415</v>
      </c>
      <c r="E773" s="12" t="s">
        <v>7027</v>
      </c>
      <c r="F773" s="65">
        <v>1200</v>
      </c>
      <c r="G773" s="57">
        <v>136032</v>
      </c>
      <c r="H773" s="12"/>
      <c r="I773" s="8" t="s">
        <v>11723</v>
      </c>
    </row>
    <row r="774" spans="1:9" s="117" customFormat="1" ht="46.5" customHeight="1" x14ac:dyDescent="0.2">
      <c r="A774" s="12" t="s">
        <v>8392</v>
      </c>
      <c r="B774" s="12" t="s">
        <v>8376</v>
      </c>
      <c r="C774" s="667" t="s">
        <v>10379</v>
      </c>
      <c r="D774" s="12" t="s">
        <v>8368</v>
      </c>
      <c r="E774" s="12" t="s">
        <v>7027</v>
      </c>
      <c r="F774" s="65">
        <v>1200</v>
      </c>
      <c r="G774" s="57">
        <v>136032</v>
      </c>
      <c r="H774" s="12"/>
      <c r="I774" s="8" t="s">
        <v>11723</v>
      </c>
    </row>
    <row r="775" spans="1:9" s="117" customFormat="1" ht="46.5" customHeight="1" x14ac:dyDescent="0.2">
      <c r="A775" s="12" t="s">
        <v>8393</v>
      </c>
      <c r="B775" s="12" t="s">
        <v>8376</v>
      </c>
      <c r="C775" s="667" t="s">
        <v>10380</v>
      </c>
      <c r="D775" s="12" t="s">
        <v>8417</v>
      </c>
      <c r="E775" s="12" t="s">
        <v>7027</v>
      </c>
      <c r="F775" s="65">
        <v>1200</v>
      </c>
      <c r="G775" s="57">
        <v>136032</v>
      </c>
      <c r="H775" s="12"/>
      <c r="I775" s="8" t="s">
        <v>11723</v>
      </c>
    </row>
    <row r="776" spans="1:9" s="117" customFormat="1" ht="46.5" customHeight="1" x14ac:dyDescent="0.2">
      <c r="A776" s="12" t="s">
        <v>8394</v>
      </c>
      <c r="B776" s="12" t="s">
        <v>8376</v>
      </c>
      <c r="C776" s="667" t="s">
        <v>10381</v>
      </c>
      <c r="D776" s="12" t="s">
        <v>8418</v>
      </c>
      <c r="E776" s="12" t="s">
        <v>7027</v>
      </c>
      <c r="F776" s="65">
        <v>1200</v>
      </c>
      <c r="G776" s="57">
        <v>136032</v>
      </c>
      <c r="H776" s="12"/>
      <c r="I776" s="8" t="s">
        <v>11723</v>
      </c>
    </row>
    <row r="777" spans="1:9" s="117" customFormat="1" ht="46.5" customHeight="1" x14ac:dyDescent="0.2">
      <c r="A777" s="12" t="s">
        <v>8395</v>
      </c>
      <c r="B777" s="12" t="s">
        <v>8376</v>
      </c>
      <c r="C777" s="667" t="s">
        <v>10382</v>
      </c>
      <c r="D777" s="12" t="s">
        <v>8420</v>
      </c>
      <c r="E777" s="12" t="s">
        <v>7027</v>
      </c>
      <c r="F777" s="65">
        <v>1200</v>
      </c>
      <c r="G777" s="57">
        <v>136032</v>
      </c>
      <c r="H777" s="12"/>
      <c r="I777" s="8" t="s">
        <v>11723</v>
      </c>
    </row>
    <row r="778" spans="1:9" s="117" customFormat="1" ht="46.5" customHeight="1" x14ac:dyDescent="0.2">
      <c r="A778" s="12" t="s">
        <v>8396</v>
      </c>
      <c r="B778" s="12" t="s">
        <v>8376</v>
      </c>
      <c r="C778" s="667" t="s">
        <v>10383</v>
      </c>
      <c r="D778" s="12" t="s">
        <v>8421</v>
      </c>
      <c r="E778" s="12" t="s">
        <v>7027</v>
      </c>
      <c r="F778" s="65">
        <v>1200</v>
      </c>
      <c r="G778" s="57">
        <v>136032</v>
      </c>
      <c r="H778" s="12"/>
      <c r="I778" s="8" t="s">
        <v>11723</v>
      </c>
    </row>
    <row r="779" spans="1:9" s="117" customFormat="1" ht="46.5" customHeight="1" x14ac:dyDescent="0.2">
      <c r="A779" s="12" t="s">
        <v>8397</v>
      </c>
      <c r="B779" s="12" t="s">
        <v>8376</v>
      </c>
      <c r="C779" s="667" t="s">
        <v>10384</v>
      </c>
      <c r="D779" s="12" t="s">
        <v>8419</v>
      </c>
      <c r="E779" s="12" t="s">
        <v>7027</v>
      </c>
      <c r="F779" s="65">
        <v>1200</v>
      </c>
      <c r="G779" s="57">
        <v>136032</v>
      </c>
      <c r="H779" s="12"/>
      <c r="I779" s="8" t="s">
        <v>11723</v>
      </c>
    </row>
    <row r="780" spans="1:9" s="117" customFormat="1" ht="46.5" customHeight="1" x14ac:dyDescent="0.2">
      <c r="A780" s="12" t="s">
        <v>8398</v>
      </c>
      <c r="B780" s="12" t="s">
        <v>8376</v>
      </c>
      <c r="C780" s="667" t="s">
        <v>10385</v>
      </c>
      <c r="D780" s="12" t="s">
        <v>8422</v>
      </c>
      <c r="E780" s="12" t="s">
        <v>7027</v>
      </c>
      <c r="F780" s="65">
        <v>1200</v>
      </c>
      <c r="G780" s="57">
        <v>136032</v>
      </c>
      <c r="H780" s="12"/>
      <c r="I780" s="8" t="s">
        <v>11723</v>
      </c>
    </row>
    <row r="781" spans="1:9" s="117" customFormat="1" ht="46.5" customHeight="1" x14ac:dyDescent="0.2">
      <c r="A781" s="12" t="s">
        <v>8399</v>
      </c>
      <c r="B781" s="12" t="s">
        <v>8376</v>
      </c>
      <c r="C781" s="667" t="s">
        <v>10386</v>
      </c>
      <c r="D781" s="12" t="s">
        <v>8423</v>
      </c>
      <c r="E781" s="12" t="s">
        <v>7027</v>
      </c>
      <c r="F781" s="65">
        <v>1200</v>
      </c>
      <c r="G781" s="57">
        <v>136032</v>
      </c>
      <c r="H781" s="12"/>
      <c r="I781" s="8" t="s">
        <v>11723</v>
      </c>
    </row>
    <row r="782" spans="1:9" s="117" customFormat="1" ht="46.5" customHeight="1" x14ac:dyDescent="0.2">
      <c r="A782" s="12" t="s">
        <v>8400</v>
      </c>
      <c r="B782" s="12" t="s">
        <v>8376</v>
      </c>
      <c r="C782" s="667" t="s">
        <v>10387</v>
      </c>
      <c r="D782" s="12" t="s">
        <v>8424</v>
      </c>
      <c r="E782" s="12" t="s">
        <v>7027</v>
      </c>
      <c r="F782" s="65">
        <v>1200</v>
      </c>
      <c r="G782" s="57">
        <v>136032</v>
      </c>
      <c r="H782" s="12"/>
      <c r="I782" s="8" t="s">
        <v>11723</v>
      </c>
    </row>
    <row r="783" spans="1:9" s="117" customFormat="1" ht="46.5" customHeight="1" x14ac:dyDescent="0.2">
      <c r="A783" s="12" t="s">
        <v>8401</v>
      </c>
      <c r="B783" s="12" t="s">
        <v>8376</v>
      </c>
      <c r="C783" s="667" t="s">
        <v>10388</v>
      </c>
      <c r="D783" s="12" t="s">
        <v>8425</v>
      </c>
      <c r="E783" s="12" t="s">
        <v>7027</v>
      </c>
      <c r="F783" s="65">
        <v>1200</v>
      </c>
      <c r="G783" s="57">
        <v>136032</v>
      </c>
      <c r="H783" s="12"/>
      <c r="I783" s="8" t="s">
        <v>11723</v>
      </c>
    </row>
    <row r="784" spans="1:9" s="117" customFormat="1" ht="46.5" customHeight="1" x14ac:dyDescent="0.2">
      <c r="A784" s="12" t="s">
        <v>8402</v>
      </c>
      <c r="B784" s="12" t="s">
        <v>8376</v>
      </c>
      <c r="C784" s="667" t="s">
        <v>10389</v>
      </c>
      <c r="D784" s="12" t="s">
        <v>8426</v>
      </c>
      <c r="E784" s="12" t="s">
        <v>7027</v>
      </c>
      <c r="F784" s="65">
        <v>1200</v>
      </c>
      <c r="G784" s="57">
        <v>136032</v>
      </c>
      <c r="H784" s="12"/>
      <c r="I784" s="8" t="s">
        <v>11723</v>
      </c>
    </row>
    <row r="785" spans="1:9" s="117" customFormat="1" ht="46.5" customHeight="1" x14ac:dyDescent="0.2">
      <c r="A785" s="12" t="s">
        <v>8403</v>
      </c>
      <c r="B785" s="12" t="s">
        <v>8376</v>
      </c>
      <c r="C785" s="667" t="s">
        <v>10390</v>
      </c>
      <c r="D785" s="12" t="s">
        <v>8427</v>
      </c>
      <c r="E785" s="12" t="s">
        <v>7027</v>
      </c>
      <c r="F785" s="65">
        <v>1200</v>
      </c>
      <c r="G785" s="57">
        <v>136032</v>
      </c>
      <c r="H785" s="12"/>
      <c r="I785" s="8" t="s">
        <v>11723</v>
      </c>
    </row>
    <row r="786" spans="1:9" s="117" customFormat="1" ht="46.5" customHeight="1" x14ac:dyDescent="0.2">
      <c r="A786" s="12" t="s">
        <v>8404</v>
      </c>
      <c r="B786" s="12" t="s">
        <v>8376</v>
      </c>
      <c r="C786" s="667" t="s">
        <v>10391</v>
      </c>
      <c r="D786" s="12" t="s">
        <v>8428</v>
      </c>
      <c r="E786" s="12" t="s">
        <v>7027</v>
      </c>
      <c r="F786" s="65">
        <v>1200</v>
      </c>
      <c r="G786" s="57">
        <v>136032</v>
      </c>
      <c r="H786" s="12"/>
      <c r="I786" s="8" t="s">
        <v>11723</v>
      </c>
    </row>
    <row r="787" spans="1:9" s="117" customFormat="1" ht="46.5" customHeight="1" x14ac:dyDescent="0.2">
      <c r="A787" s="12" t="s">
        <v>8405</v>
      </c>
      <c r="B787" s="12" t="s">
        <v>8376</v>
      </c>
      <c r="C787" s="667" t="s">
        <v>10392</v>
      </c>
      <c r="D787" s="12" t="s">
        <v>8429</v>
      </c>
      <c r="E787" s="12" t="s">
        <v>7027</v>
      </c>
      <c r="F787" s="65">
        <v>1200</v>
      </c>
      <c r="G787" s="57">
        <v>136032</v>
      </c>
      <c r="H787" s="12"/>
      <c r="I787" s="8" t="s">
        <v>11723</v>
      </c>
    </row>
    <row r="788" spans="1:9" s="117" customFormat="1" ht="46.5" customHeight="1" x14ac:dyDescent="0.2">
      <c r="A788" s="12" t="s">
        <v>8406</v>
      </c>
      <c r="B788" s="12" t="s">
        <v>8376</v>
      </c>
      <c r="C788" s="667" t="s">
        <v>10393</v>
      </c>
      <c r="D788" s="12" t="s">
        <v>8432</v>
      </c>
      <c r="E788" s="12" t="s">
        <v>7027</v>
      </c>
      <c r="F788" s="65">
        <v>1200</v>
      </c>
      <c r="G788" s="57">
        <v>136032</v>
      </c>
      <c r="H788" s="12"/>
      <c r="I788" s="8" t="s">
        <v>11723</v>
      </c>
    </row>
    <row r="789" spans="1:9" s="117" customFormat="1" ht="46.5" customHeight="1" x14ac:dyDescent="0.2">
      <c r="A789" s="12" t="s">
        <v>8407</v>
      </c>
      <c r="B789" s="12" t="s">
        <v>8376</v>
      </c>
      <c r="C789" s="667" t="s">
        <v>10394</v>
      </c>
      <c r="D789" s="12" t="s">
        <v>8433</v>
      </c>
      <c r="E789" s="12" t="s">
        <v>7027</v>
      </c>
      <c r="F789" s="65">
        <v>1200</v>
      </c>
      <c r="G789" s="57">
        <v>136032</v>
      </c>
      <c r="H789" s="12"/>
      <c r="I789" s="8" t="s">
        <v>11723</v>
      </c>
    </row>
    <row r="790" spans="1:9" s="117" customFormat="1" ht="46.5" customHeight="1" x14ac:dyDescent="0.2">
      <c r="A790" s="12" t="s">
        <v>8408</v>
      </c>
      <c r="B790" s="12" t="s">
        <v>8376</v>
      </c>
      <c r="C790" s="667" t="s">
        <v>10395</v>
      </c>
      <c r="D790" s="12" t="s">
        <v>8434</v>
      </c>
      <c r="E790" s="12" t="s">
        <v>7027</v>
      </c>
      <c r="F790" s="65">
        <v>1200</v>
      </c>
      <c r="G790" s="57">
        <v>136032</v>
      </c>
      <c r="H790" s="12"/>
      <c r="I790" s="8" t="s">
        <v>11723</v>
      </c>
    </row>
    <row r="791" spans="1:9" s="117" customFormat="1" ht="46.5" customHeight="1" x14ac:dyDescent="0.2">
      <c r="A791" s="12" t="s">
        <v>8409</v>
      </c>
      <c r="B791" s="12" t="s">
        <v>8376</v>
      </c>
      <c r="C791" s="667" t="s">
        <v>10396</v>
      </c>
      <c r="D791" s="12" t="s">
        <v>8435</v>
      </c>
      <c r="E791" s="12" t="s">
        <v>7027</v>
      </c>
      <c r="F791" s="65">
        <v>1200</v>
      </c>
      <c r="G791" s="57">
        <v>136032</v>
      </c>
      <c r="H791" s="12"/>
      <c r="I791" s="8" t="s">
        <v>11723</v>
      </c>
    </row>
    <row r="792" spans="1:9" s="117" customFormat="1" ht="46.5" customHeight="1" x14ac:dyDescent="0.2">
      <c r="A792" s="12" t="s">
        <v>8410</v>
      </c>
      <c r="B792" s="12" t="s">
        <v>8376</v>
      </c>
      <c r="C792" s="667" t="s">
        <v>10397</v>
      </c>
      <c r="D792" s="12" t="s">
        <v>8436</v>
      </c>
      <c r="E792" s="12" t="s">
        <v>7027</v>
      </c>
      <c r="F792" s="65">
        <v>1200</v>
      </c>
      <c r="G792" s="57">
        <v>136032</v>
      </c>
      <c r="H792" s="12"/>
      <c r="I792" s="8" t="s">
        <v>11723</v>
      </c>
    </row>
    <row r="793" spans="1:9" s="117" customFormat="1" ht="46.5" customHeight="1" x14ac:dyDescent="0.2">
      <c r="A793" s="12" t="s">
        <v>8411</v>
      </c>
      <c r="B793" s="12" t="s">
        <v>8376</v>
      </c>
      <c r="C793" s="667" t="s">
        <v>10398</v>
      </c>
      <c r="D793" s="12" t="s">
        <v>8437</v>
      </c>
      <c r="E793" s="12" t="s">
        <v>7027</v>
      </c>
      <c r="F793" s="65">
        <v>1200</v>
      </c>
      <c r="G793" s="57">
        <v>136032</v>
      </c>
      <c r="H793" s="12"/>
      <c r="I793" s="8" t="s">
        <v>11723</v>
      </c>
    </row>
    <row r="794" spans="1:9" s="117" customFormat="1" ht="46.5" customHeight="1" x14ac:dyDescent="0.2">
      <c r="A794" s="12" t="s">
        <v>8412</v>
      </c>
      <c r="B794" s="12" t="s">
        <v>8376</v>
      </c>
      <c r="C794" s="667" t="s">
        <v>10399</v>
      </c>
      <c r="D794" s="12" t="s">
        <v>8438</v>
      </c>
      <c r="E794" s="12" t="s">
        <v>7027</v>
      </c>
      <c r="F794" s="65">
        <v>1200</v>
      </c>
      <c r="G794" s="57">
        <v>136032</v>
      </c>
      <c r="H794" s="12"/>
      <c r="I794" s="8" t="s">
        <v>11723</v>
      </c>
    </row>
    <row r="795" spans="1:9" s="117" customFormat="1" ht="46.5" customHeight="1" x14ac:dyDescent="0.2">
      <c r="A795" s="12" t="s">
        <v>8413</v>
      </c>
      <c r="B795" s="12" t="s">
        <v>8376</v>
      </c>
      <c r="C795" s="667" t="s">
        <v>10400</v>
      </c>
      <c r="D795" s="12" t="s">
        <v>8439</v>
      </c>
      <c r="E795" s="12" t="s">
        <v>7027</v>
      </c>
      <c r="F795" s="65">
        <v>1200</v>
      </c>
      <c r="G795" s="57">
        <v>136032</v>
      </c>
      <c r="H795" s="12"/>
      <c r="I795" s="8" t="s">
        <v>11723</v>
      </c>
    </row>
    <row r="796" spans="1:9" s="117" customFormat="1" ht="46.5" customHeight="1" x14ac:dyDescent="0.2">
      <c r="A796" s="12" t="s">
        <v>8430</v>
      </c>
      <c r="B796" s="12" t="s">
        <v>8376</v>
      </c>
      <c r="C796" s="667" t="s">
        <v>10401</v>
      </c>
      <c r="D796" s="12" t="s">
        <v>8468</v>
      </c>
      <c r="E796" s="12" t="s">
        <v>7027</v>
      </c>
      <c r="F796" s="65">
        <v>1200</v>
      </c>
      <c r="G796" s="57">
        <v>136032</v>
      </c>
      <c r="H796" s="12"/>
      <c r="I796" s="8" t="s">
        <v>11723</v>
      </c>
    </row>
    <row r="797" spans="1:9" s="117" customFormat="1" ht="46.5" customHeight="1" x14ac:dyDescent="0.2">
      <c r="A797" s="12" t="s">
        <v>8431</v>
      </c>
      <c r="B797" s="12" t="s">
        <v>8376</v>
      </c>
      <c r="C797" s="667" t="s">
        <v>10402</v>
      </c>
      <c r="D797" s="12" t="s">
        <v>8469</v>
      </c>
      <c r="E797" s="12" t="s">
        <v>7027</v>
      </c>
      <c r="F797" s="65">
        <v>1200</v>
      </c>
      <c r="G797" s="57">
        <v>136032</v>
      </c>
      <c r="H797" s="12"/>
      <c r="I797" s="8" t="s">
        <v>11723</v>
      </c>
    </row>
    <row r="798" spans="1:9" s="117" customFormat="1" ht="46.5" customHeight="1" x14ac:dyDescent="0.2">
      <c r="A798" s="12" t="s">
        <v>8461</v>
      </c>
      <c r="B798" s="12" t="s">
        <v>8376</v>
      </c>
      <c r="C798" s="667" t="s">
        <v>10403</v>
      </c>
      <c r="D798" s="12" t="s">
        <v>8470</v>
      </c>
      <c r="E798" s="12" t="s">
        <v>7027</v>
      </c>
      <c r="F798" s="65">
        <v>1200</v>
      </c>
      <c r="G798" s="57">
        <v>136032</v>
      </c>
      <c r="H798" s="12"/>
      <c r="I798" s="8" t="s">
        <v>11723</v>
      </c>
    </row>
    <row r="799" spans="1:9" s="117" customFormat="1" ht="46.5" customHeight="1" x14ac:dyDescent="0.2">
      <c r="A799" s="12" t="s">
        <v>8462</v>
      </c>
      <c r="B799" s="12" t="s">
        <v>8376</v>
      </c>
      <c r="C799" s="667" t="s">
        <v>10404</v>
      </c>
      <c r="D799" s="12" t="s">
        <v>8471</v>
      </c>
      <c r="E799" s="12" t="s">
        <v>7027</v>
      </c>
      <c r="F799" s="65">
        <v>1200</v>
      </c>
      <c r="G799" s="57">
        <v>136032</v>
      </c>
      <c r="H799" s="12"/>
      <c r="I799" s="8" t="s">
        <v>11723</v>
      </c>
    </row>
    <row r="800" spans="1:9" s="117" customFormat="1" ht="46.5" customHeight="1" x14ac:dyDescent="0.2">
      <c r="A800" s="12" t="s">
        <v>8463</v>
      </c>
      <c r="B800" s="12" t="s">
        <v>8376</v>
      </c>
      <c r="C800" s="667" t="s">
        <v>10405</v>
      </c>
      <c r="D800" s="12" t="s">
        <v>8472</v>
      </c>
      <c r="E800" s="12" t="s">
        <v>7027</v>
      </c>
      <c r="F800" s="65">
        <v>1200</v>
      </c>
      <c r="G800" s="57">
        <v>136032</v>
      </c>
      <c r="H800" s="12"/>
      <c r="I800" s="8" t="s">
        <v>11723</v>
      </c>
    </row>
    <row r="801" spans="1:9" s="117" customFormat="1" ht="46.5" customHeight="1" x14ac:dyDescent="0.2">
      <c r="A801" s="12" t="s">
        <v>8464</v>
      </c>
      <c r="B801" s="12" t="s">
        <v>8376</v>
      </c>
      <c r="C801" s="667" t="s">
        <v>10406</v>
      </c>
      <c r="D801" s="12" t="s">
        <v>8473</v>
      </c>
      <c r="E801" s="12" t="s">
        <v>7027</v>
      </c>
      <c r="F801" s="65">
        <v>1200</v>
      </c>
      <c r="G801" s="57">
        <v>136032</v>
      </c>
      <c r="H801" s="12"/>
      <c r="I801" s="8" t="s">
        <v>11723</v>
      </c>
    </row>
    <row r="802" spans="1:9" s="117" customFormat="1" ht="46.5" customHeight="1" x14ac:dyDescent="0.2">
      <c r="A802" s="12" t="s">
        <v>8465</v>
      </c>
      <c r="B802" s="12" t="s">
        <v>8376</v>
      </c>
      <c r="C802" s="667" t="s">
        <v>10407</v>
      </c>
      <c r="D802" s="12" t="s">
        <v>8474</v>
      </c>
      <c r="E802" s="12" t="s">
        <v>7027</v>
      </c>
      <c r="F802" s="65">
        <v>1200</v>
      </c>
      <c r="G802" s="57">
        <v>136032</v>
      </c>
      <c r="H802" s="12"/>
      <c r="I802" s="8" t="s">
        <v>11723</v>
      </c>
    </row>
    <row r="803" spans="1:9" s="117" customFormat="1" ht="46.5" customHeight="1" x14ac:dyDescent="0.2">
      <c r="A803" s="12" t="s">
        <v>8466</v>
      </c>
      <c r="B803" s="12" t="s">
        <v>8376</v>
      </c>
      <c r="C803" s="667" t="s">
        <v>10408</v>
      </c>
      <c r="D803" s="12" t="s">
        <v>8493</v>
      </c>
      <c r="E803" s="12" t="s">
        <v>7027</v>
      </c>
      <c r="F803" s="65">
        <v>1200</v>
      </c>
      <c r="G803" s="57">
        <v>136032</v>
      </c>
      <c r="H803" s="12"/>
      <c r="I803" s="8" t="s">
        <v>11723</v>
      </c>
    </row>
    <row r="804" spans="1:9" s="117" customFormat="1" ht="46.5" customHeight="1" x14ac:dyDescent="0.2">
      <c r="A804" s="12" t="s">
        <v>8467</v>
      </c>
      <c r="B804" s="12" t="s">
        <v>8376</v>
      </c>
      <c r="C804" s="667" t="s">
        <v>10409</v>
      </c>
      <c r="D804" s="12" t="s">
        <v>8494</v>
      </c>
      <c r="E804" s="12" t="s">
        <v>7027</v>
      </c>
      <c r="F804" s="65">
        <v>1200</v>
      </c>
      <c r="G804" s="57">
        <v>136032</v>
      </c>
      <c r="H804" s="12"/>
      <c r="I804" s="8" t="s">
        <v>11723</v>
      </c>
    </row>
    <row r="805" spans="1:9" s="117" customFormat="1" ht="46.5" customHeight="1" x14ac:dyDescent="0.2">
      <c r="A805" s="12" t="s">
        <v>8475</v>
      </c>
      <c r="B805" s="12" t="s">
        <v>8376</v>
      </c>
      <c r="C805" s="667" t="s">
        <v>10410</v>
      </c>
      <c r="D805" s="12" t="s">
        <v>8495</v>
      </c>
      <c r="E805" s="12" t="s">
        <v>7027</v>
      </c>
      <c r="F805" s="65">
        <v>1200</v>
      </c>
      <c r="G805" s="57">
        <v>136032</v>
      </c>
      <c r="H805" s="12"/>
      <c r="I805" s="8" t="s">
        <v>11723</v>
      </c>
    </row>
    <row r="806" spans="1:9" s="117" customFormat="1" ht="46.5" customHeight="1" x14ac:dyDescent="0.2">
      <c r="A806" s="12" t="s">
        <v>8476</v>
      </c>
      <c r="B806" s="12" t="s">
        <v>8376</v>
      </c>
      <c r="C806" s="667" t="s">
        <v>10411</v>
      </c>
      <c r="D806" s="12" t="s">
        <v>8496</v>
      </c>
      <c r="E806" s="12" t="s">
        <v>7027</v>
      </c>
      <c r="F806" s="65">
        <v>1200</v>
      </c>
      <c r="G806" s="57">
        <v>136032</v>
      </c>
      <c r="H806" s="12"/>
      <c r="I806" s="8" t="s">
        <v>11723</v>
      </c>
    </row>
    <row r="807" spans="1:9" s="117" customFormat="1" ht="46.5" customHeight="1" x14ac:dyDescent="0.2">
      <c r="A807" s="12" t="s">
        <v>8477</v>
      </c>
      <c r="B807" s="12" t="s">
        <v>8376</v>
      </c>
      <c r="C807" s="667" t="s">
        <v>10120</v>
      </c>
      <c r="D807" s="12" t="s">
        <v>8497</v>
      </c>
      <c r="E807" s="12" t="s">
        <v>7027</v>
      </c>
      <c r="F807" s="65">
        <v>1200</v>
      </c>
      <c r="G807" s="57">
        <v>136032</v>
      </c>
      <c r="H807" s="12"/>
      <c r="I807" s="8" t="s">
        <v>11723</v>
      </c>
    </row>
    <row r="808" spans="1:9" s="117" customFormat="1" ht="46.5" customHeight="1" x14ac:dyDescent="0.2">
      <c r="A808" s="12" t="s">
        <v>8478</v>
      </c>
      <c r="B808" s="12" t="s">
        <v>8376</v>
      </c>
      <c r="C808" s="667" t="s">
        <v>10119</v>
      </c>
      <c r="D808" s="12" t="s">
        <v>8498</v>
      </c>
      <c r="E808" s="12" t="s">
        <v>7027</v>
      </c>
      <c r="F808" s="65">
        <v>1200</v>
      </c>
      <c r="G808" s="57">
        <v>136032</v>
      </c>
      <c r="H808" s="12"/>
      <c r="I808" s="8" t="s">
        <v>11723</v>
      </c>
    </row>
    <row r="809" spans="1:9" s="117" customFormat="1" ht="46.5" customHeight="1" x14ac:dyDescent="0.2">
      <c r="A809" s="12" t="s">
        <v>8479</v>
      </c>
      <c r="B809" s="12" t="s">
        <v>8376</v>
      </c>
      <c r="C809" s="667" t="s">
        <v>10118</v>
      </c>
      <c r="D809" s="12" t="s">
        <v>8499</v>
      </c>
      <c r="E809" s="12" t="s">
        <v>7027</v>
      </c>
      <c r="F809" s="65">
        <v>1200</v>
      </c>
      <c r="G809" s="57">
        <v>136032</v>
      </c>
      <c r="H809" s="12"/>
      <c r="I809" s="8" t="s">
        <v>11723</v>
      </c>
    </row>
    <row r="810" spans="1:9" s="117" customFormat="1" ht="46.5" customHeight="1" x14ac:dyDescent="0.2">
      <c r="A810" s="12" t="s">
        <v>8480</v>
      </c>
      <c r="B810" s="12" t="s">
        <v>8376</v>
      </c>
      <c r="C810" s="667" t="s">
        <v>10117</v>
      </c>
      <c r="D810" s="12" t="s">
        <v>8484</v>
      </c>
      <c r="E810" s="12" t="s">
        <v>7027</v>
      </c>
      <c r="F810" s="65">
        <v>1200</v>
      </c>
      <c r="G810" s="57">
        <v>136032</v>
      </c>
      <c r="H810" s="12"/>
      <c r="I810" s="8" t="s">
        <v>11723</v>
      </c>
    </row>
    <row r="811" spans="1:9" s="117" customFormat="1" ht="46.5" customHeight="1" x14ac:dyDescent="0.2">
      <c r="A811" s="12" t="s">
        <v>8481</v>
      </c>
      <c r="B811" s="12" t="s">
        <v>8376</v>
      </c>
      <c r="C811" s="667" t="s">
        <v>10116</v>
      </c>
      <c r="D811" s="12" t="s">
        <v>8485</v>
      </c>
      <c r="E811" s="12" t="s">
        <v>7027</v>
      </c>
      <c r="F811" s="65">
        <v>1200</v>
      </c>
      <c r="G811" s="57">
        <v>136032</v>
      </c>
      <c r="H811" s="12"/>
      <c r="I811" s="8" t="s">
        <v>11723</v>
      </c>
    </row>
    <row r="812" spans="1:9" s="117" customFormat="1" ht="46.5" customHeight="1" x14ac:dyDescent="0.2">
      <c r="A812" s="12" t="s">
        <v>8482</v>
      </c>
      <c r="B812" s="12" t="s">
        <v>8376</v>
      </c>
      <c r="C812" s="667" t="s">
        <v>10115</v>
      </c>
      <c r="D812" s="12" t="s">
        <v>8486</v>
      </c>
      <c r="E812" s="12" t="s">
        <v>7027</v>
      </c>
      <c r="F812" s="65">
        <v>1200</v>
      </c>
      <c r="G812" s="57">
        <v>136032</v>
      </c>
      <c r="H812" s="12"/>
      <c r="I812" s="8" t="s">
        <v>11723</v>
      </c>
    </row>
    <row r="813" spans="1:9" s="117" customFormat="1" ht="46.5" customHeight="1" x14ac:dyDescent="0.2">
      <c r="A813" s="12" t="s">
        <v>8483</v>
      </c>
      <c r="B813" s="12" t="s">
        <v>8376</v>
      </c>
      <c r="C813" s="667" t="s">
        <v>10114</v>
      </c>
      <c r="D813" s="12" t="s">
        <v>8487</v>
      </c>
      <c r="E813" s="12" t="s">
        <v>7027</v>
      </c>
      <c r="F813" s="65">
        <v>1200</v>
      </c>
      <c r="G813" s="57">
        <v>136032</v>
      </c>
      <c r="H813" s="12"/>
      <c r="I813" s="8" t="s">
        <v>11723</v>
      </c>
    </row>
    <row r="814" spans="1:9" s="117" customFormat="1" ht="46.5" customHeight="1" x14ac:dyDescent="0.2">
      <c r="A814" s="12" t="s">
        <v>8503</v>
      </c>
      <c r="B814" s="12" t="s">
        <v>8376</v>
      </c>
      <c r="C814" s="667" t="s">
        <v>10113</v>
      </c>
      <c r="D814" s="12" t="s">
        <v>8488</v>
      </c>
      <c r="E814" s="12" t="s">
        <v>7027</v>
      </c>
      <c r="F814" s="65">
        <v>1200</v>
      </c>
      <c r="G814" s="57">
        <v>136032</v>
      </c>
      <c r="H814" s="12"/>
      <c r="I814" s="8" t="s">
        <v>11723</v>
      </c>
    </row>
    <row r="815" spans="1:9" s="117" customFormat="1" ht="46.5" customHeight="1" x14ac:dyDescent="0.2">
      <c r="A815" s="12" t="s">
        <v>8504</v>
      </c>
      <c r="B815" s="12" t="s">
        <v>8376</v>
      </c>
      <c r="C815" s="667" t="s">
        <v>10112</v>
      </c>
      <c r="D815" s="12" t="s">
        <v>8489</v>
      </c>
      <c r="E815" s="12" t="s">
        <v>7027</v>
      </c>
      <c r="F815" s="65">
        <v>1200</v>
      </c>
      <c r="G815" s="57">
        <v>136032</v>
      </c>
      <c r="H815" s="12"/>
      <c r="I815" s="8" t="s">
        <v>11723</v>
      </c>
    </row>
    <row r="816" spans="1:9" s="117" customFormat="1" ht="46.5" customHeight="1" x14ac:dyDescent="0.2">
      <c r="A816" s="12" t="s">
        <v>8505</v>
      </c>
      <c r="B816" s="12" t="s">
        <v>8376</v>
      </c>
      <c r="C816" s="667" t="s">
        <v>10111</v>
      </c>
      <c r="D816" s="12" t="s">
        <v>8520</v>
      </c>
      <c r="E816" s="12" t="s">
        <v>7027</v>
      </c>
      <c r="F816" s="65">
        <v>1200</v>
      </c>
      <c r="G816" s="57">
        <v>136032</v>
      </c>
      <c r="H816" s="12"/>
      <c r="I816" s="8" t="s">
        <v>11723</v>
      </c>
    </row>
    <row r="817" spans="1:9" s="117" customFormat="1" ht="46.5" customHeight="1" x14ac:dyDescent="0.2">
      <c r="A817" s="12" t="s">
        <v>8506</v>
      </c>
      <c r="B817" s="12" t="s">
        <v>8376</v>
      </c>
      <c r="C817" s="667" t="s">
        <v>10110</v>
      </c>
      <c r="D817" s="12" t="s">
        <v>8500</v>
      </c>
      <c r="E817" s="12" t="s">
        <v>7027</v>
      </c>
      <c r="F817" s="65">
        <v>1200</v>
      </c>
      <c r="G817" s="57">
        <v>136032</v>
      </c>
      <c r="H817" s="12"/>
      <c r="I817" s="8" t="s">
        <v>11723</v>
      </c>
    </row>
    <row r="818" spans="1:9" s="117" customFormat="1" ht="46.5" customHeight="1" x14ac:dyDescent="0.2">
      <c r="A818" s="12" t="s">
        <v>8507</v>
      </c>
      <c r="B818" s="12" t="s">
        <v>8376</v>
      </c>
      <c r="C818" s="667" t="s">
        <v>10109</v>
      </c>
      <c r="D818" s="12" t="s">
        <v>8501</v>
      </c>
      <c r="E818" s="12" t="s">
        <v>7027</v>
      </c>
      <c r="F818" s="65">
        <v>1200</v>
      </c>
      <c r="G818" s="57">
        <v>136032</v>
      </c>
      <c r="H818" s="12"/>
      <c r="I818" s="8" t="s">
        <v>11723</v>
      </c>
    </row>
    <row r="819" spans="1:9" s="117" customFormat="1" ht="46.5" customHeight="1" x14ac:dyDescent="0.2">
      <c r="A819" s="12" t="s">
        <v>8508</v>
      </c>
      <c r="B819" s="12" t="s">
        <v>8376</v>
      </c>
      <c r="C819" s="667" t="s">
        <v>10108</v>
      </c>
      <c r="D819" s="12" t="s">
        <v>8502</v>
      </c>
      <c r="E819" s="12" t="s">
        <v>7027</v>
      </c>
      <c r="F819" s="65">
        <v>1200</v>
      </c>
      <c r="G819" s="57">
        <v>136032</v>
      </c>
      <c r="H819" s="12"/>
      <c r="I819" s="8" t="s">
        <v>11723</v>
      </c>
    </row>
    <row r="820" spans="1:9" s="117" customFormat="1" ht="46.5" customHeight="1" x14ac:dyDescent="0.2">
      <c r="A820" s="12" t="s">
        <v>8509</v>
      </c>
      <c r="B820" s="12" t="s">
        <v>8376</v>
      </c>
      <c r="C820" s="667" t="s">
        <v>10107</v>
      </c>
      <c r="D820" s="12" t="s">
        <v>8528</v>
      </c>
      <c r="E820" s="12" t="s">
        <v>7027</v>
      </c>
      <c r="F820" s="65">
        <v>1200</v>
      </c>
      <c r="G820" s="57">
        <v>136032</v>
      </c>
      <c r="H820" s="12"/>
      <c r="I820" s="8" t="s">
        <v>11723</v>
      </c>
    </row>
    <row r="821" spans="1:9" s="117" customFormat="1" ht="46.5" customHeight="1" x14ac:dyDescent="0.2">
      <c r="A821" s="12" t="s">
        <v>8510</v>
      </c>
      <c r="B821" s="12" t="s">
        <v>8376</v>
      </c>
      <c r="C821" s="667" t="s">
        <v>10106</v>
      </c>
      <c r="D821" s="12" t="s">
        <v>8521</v>
      </c>
      <c r="E821" s="12" t="s">
        <v>7027</v>
      </c>
      <c r="F821" s="65">
        <v>1200</v>
      </c>
      <c r="G821" s="57">
        <v>136032</v>
      </c>
      <c r="H821" s="12"/>
      <c r="I821" s="8" t="s">
        <v>11723</v>
      </c>
    </row>
    <row r="822" spans="1:9" s="117" customFormat="1" ht="46.5" customHeight="1" x14ac:dyDescent="0.2">
      <c r="A822" s="12" t="s">
        <v>8511</v>
      </c>
      <c r="B822" s="12" t="s">
        <v>8376</v>
      </c>
      <c r="C822" s="667" t="s">
        <v>10105</v>
      </c>
      <c r="D822" s="12" t="s">
        <v>8516</v>
      </c>
      <c r="E822" s="12" t="s">
        <v>7027</v>
      </c>
      <c r="F822" s="65">
        <v>1200</v>
      </c>
      <c r="G822" s="57">
        <v>136032</v>
      </c>
      <c r="H822" s="12"/>
      <c r="I822" s="8" t="s">
        <v>11723</v>
      </c>
    </row>
    <row r="823" spans="1:9" s="117" customFormat="1" ht="46.5" customHeight="1" x14ac:dyDescent="0.2">
      <c r="A823" s="12" t="s">
        <v>8512</v>
      </c>
      <c r="B823" s="12" t="s">
        <v>8376</v>
      </c>
      <c r="C823" s="667" t="s">
        <v>10104</v>
      </c>
      <c r="D823" s="12" t="s">
        <v>8517</v>
      </c>
      <c r="E823" s="12" t="s">
        <v>7027</v>
      </c>
      <c r="F823" s="65">
        <v>1200</v>
      </c>
      <c r="G823" s="57">
        <v>136032</v>
      </c>
      <c r="H823" s="12"/>
      <c r="I823" s="8" t="s">
        <v>11723</v>
      </c>
    </row>
    <row r="824" spans="1:9" s="117" customFormat="1" ht="46.5" customHeight="1" x14ac:dyDescent="0.2">
      <c r="A824" s="12" t="s">
        <v>8513</v>
      </c>
      <c r="B824" s="12" t="s">
        <v>8376</v>
      </c>
      <c r="C824" s="667" t="s">
        <v>10103</v>
      </c>
      <c r="D824" s="12" t="s">
        <v>8490</v>
      </c>
      <c r="E824" s="12" t="s">
        <v>7027</v>
      </c>
      <c r="F824" s="65">
        <v>1200</v>
      </c>
      <c r="G824" s="57">
        <v>136032</v>
      </c>
      <c r="H824" s="12"/>
      <c r="I824" s="8" t="s">
        <v>11723</v>
      </c>
    </row>
    <row r="825" spans="1:9" s="117" customFormat="1" ht="46.5" customHeight="1" x14ac:dyDescent="0.2">
      <c r="A825" s="12" t="s">
        <v>8514</v>
      </c>
      <c r="B825" s="12" t="s">
        <v>8376</v>
      </c>
      <c r="C825" s="667" t="s">
        <v>10102</v>
      </c>
      <c r="D825" s="12" t="s">
        <v>8491</v>
      </c>
      <c r="E825" s="12" t="s">
        <v>7027</v>
      </c>
      <c r="F825" s="65">
        <v>1200</v>
      </c>
      <c r="G825" s="57">
        <v>136032</v>
      </c>
      <c r="H825" s="12"/>
      <c r="I825" s="8" t="s">
        <v>11723</v>
      </c>
    </row>
    <row r="826" spans="1:9" s="117" customFormat="1" ht="46.5" customHeight="1" x14ac:dyDescent="0.2">
      <c r="A826" s="12" t="s">
        <v>8515</v>
      </c>
      <c r="B826" s="12" t="s">
        <v>8376</v>
      </c>
      <c r="C826" s="667" t="s">
        <v>10101</v>
      </c>
      <c r="D826" s="12" t="s">
        <v>8492</v>
      </c>
      <c r="E826" s="12" t="s">
        <v>7027</v>
      </c>
      <c r="F826" s="65">
        <v>1200</v>
      </c>
      <c r="G826" s="57">
        <v>136032</v>
      </c>
      <c r="H826" s="12"/>
      <c r="I826" s="8" t="s">
        <v>11723</v>
      </c>
    </row>
    <row r="827" spans="1:9" s="117" customFormat="1" ht="46.5" customHeight="1" x14ac:dyDescent="0.2">
      <c r="A827" s="12" t="s">
        <v>8522</v>
      </c>
      <c r="B827" s="12" t="s">
        <v>8376</v>
      </c>
      <c r="C827" s="667" t="s">
        <v>10100</v>
      </c>
      <c r="D827" s="12" t="s">
        <v>8518</v>
      </c>
      <c r="E827" s="12" t="s">
        <v>7027</v>
      </c>
      <c r="F827" s="65">
        <v>1200</v>
      </c>
      <c r="G827" s="57">
        <v>136032</v>
      </c>
      <c r="H827" s="12"/>
      <c r="I827" s="8" t="s">
        <v>11723</v>
      </c>
    </row>
    <row r="828" spans="1:9" s="117" customFormat="1" ht="46.5" customHeight="1" x14ac:dyDescent="0.2">
      <c r="A828" s="12" t="s">
        <v>8523</v>
      </c>
      <c r="B828" s="12" t="s">
        <v>8376</v>
      </c>
      <c r="C828" s="667" t="s">
        <v>10099</v>
      </c>
      <c r="D828" s="12" t="s">
        <v>8533</v>
      </c>
      <c r="E828" s="12" t="s">
        <v>7027</v>
      </c>
      <c r="F828" s="65">
        <v>1200</v>
      </c>
      <c r="G828" s="57">
        <v>136032</v>
      </c>
      <c r="H828" s="12"/>
      <c r="I828" s="8" t="s">
        <v>11723</v>
      </c>
    </row>
    <row r="829" spans="1:9" s="117" customFormat="1" ht="46.5" customHeight="1" x14ac:dyDescent="0.2">
      <c r="A829" s="12" t="s">
        <v>8524</v>
      </c>
      <c r="B829" s="12" t="s">
        <v>8376</v>
      </c>
      <c r="C829" s="667" t="s">
        <v>10098</v>
      </c>
      <c r="D829" s="12" t="s">
        <v>8534</v>
      </c>
      <c r="E829" s="12" t="s">
        <v>7027</v>
      </c>
      <c r="F829" s="65">
        <v>1200</v>
      </c>
      <c r="G829" s="57">
        <v>136032</v>
      </c>
      <c r="H829" s="12"/>
      <c r="I829" s="8" t="s">
        <v>11723</v>
      </c>
    </row>
    <row r="830" spans="1:9" s="117" customFormat="1" ht="46.5" customHeight="1" x14ac:dyDescent="0.2">
      <c r="A830" s="12" t="s">
        <v>8527</v>
      </c>
      <c r="B830" s="12" t="s">
        <v>8376</v>
      </c>
      <c r="C830" s="667" t="s">
        <v>10097</v>
      </c>
      <c r="D830" s="12" t="s">
        <v>8542</v>
      </c>
      <c r="E830" s="12" t="s">
        <v>7027</v>
      </c>
      <c r="F830" s="65">
        <v>1200</v>
      </c>
      <c r="G830" s="57">
        <v>136032</v>
      </c>
      <c r="H830" s="12"/>
      <c r="I830" s="8" t="s">
        <v>11723</v>
      </c>
    </row>
    <row r="831" spans="1:9" s="117" customFormat="1" ht="46.5" customHeight="1" x14ac:dyDescent="0.2">
      <c r="A831" s="12" t="s">
        <v>8529</v>
      </c>
      <c r="B831" s="12" t="s">
        <v>8376</v>
      </c>
      <c r="C831" s="667" t="s">
        <v>10096</v>
      </c>
      <c r="D831" s="12" t="s">
        <v>8535</v>
      </c>
      <c r="E831" s="12" t="s">
        <v>7027</v>
      </c>
      <c r="F831" s="65">
        <v>1200</v>
      </c>
      <c r="G831" s="57">
        <v>136032</v>
      </c>
      <c r="H831" s="12"/>
      <c r="I831" s="8" t="s">
        <v>11723</v>
      </c>
    </row>
    <row r="832" spans="1:9" s="117" customFormat="1" ht="46.5" customHeight="1" x14ac:dyDescent="0.2">
      <c r="A832" s="12" t="s">
        <v>8536</v>
      </c>
      <c r="B832" s="12" t="s">
        <v>8376</v>
      </c>
      <c r="C832" s="667" t="s">
        <v>10095</v>
      </c>
      <c r="D832" s="12" t="s">
        <v>8543</v>
      </c>
      <c r="E832" s="12" t="s">
        <v>7027</v>
      </c>
      <c r="F832" s="65">
        <v>1200</v>
      </c>
      <c r="G832" s="57">
        <v>136032</v>
      </c>
      <c r="H832" s="12"/>
      <c r="I832" s="8" t="s">
        <v>11723</v>
      </c>
    </row>
    <row r="833" spans="1:9" s="117" customFormat="1" ht="46.5" customHeight="1" x14ac:dyDescent="0.2">
      <c r="A833" s="12" t="s">
        <v>8537</v>
      </c>
      <c r="B833" s="12" t="s">
        <v>8376</v>
      </c>
      <c r="C833" s="669" t="s">
        <v>10094</v>
      </c>
      <c r="D833" s="12" t="s">
        <v>8544</v>
      </c>
      <c r="E833" s="12" t="s">
        <v>7027</v>
      </c>
      <c r="F833" s="65">
        <v>1200</v>
      </c>
      <c r="G833" s="57">
        <v>136032</v>
      </c>
      <c r="H833" s="12"/>
      <c r="I833" s="8" t="s">
        <v>11723</v>
      </c>
    </row>
    <row r="834" spans="1:9" s="117" customFormat="1" ht="46.5" customHeight="1" x14ac:dyDescent="0.2">
      <c r="A834" s="12" t="s">
        <v>8538</v>
      </c>
      <c r="B834" s="12" t="s">
        <v>8376</v>
      </c>
      <c r="C834" s="669" t="s">
        <v>10093</v>
      </c>
      <c r="D834" s="12" t="s">
        <v>8554</v>
      </c>
      <c r="E834" s="12" t="s">
        <v>7027</v>
      </c>
      <c r="F834" s="65">
        <v>1200</v>
      </c>
      <c r="G834" s="57">
        <v>136032</v>
      </c>
      <c r="H834" s="12"/>
      <c r="I834" s="8" t="s">
        <v>11723</v>
      </c>
    </row>
    <row r="835" spans="1:9" s="117" customFormat="1" ht="46.5" customHeight="1" x14ac:dyDescent="0.2">
      <c r="A835" s="12" t="s">
        <v>8539</v>
      </c>
      <c r="B835" s="12" t="s">
        <v>8376</v>
      </c>
      <c r="C835" s="667" t="s">
        <v>10092</v>
      </c>
      <c r="D835" s="12" t="s">
        <v>8549</v>
      </c>
      <c r="E835" s="12" t="s">
        <v>7027</v>
      </c>
      <c r="F835" s="65">
        <v>1200</v>
      </c>
      <c r="G835" s="57">
        <v>136032</v>
      </c>
      <c r="H835" s="12"/>
      <c r="I835" s="8" t="s">
        <v>11723</v>
      </c>
    </row>
    <row r="836" spans="1:9" s="117" customFormat="1" ht="46.5" customHeight="1" x14ac:dyDescent="0.2">
      <c r="A836" s="12" t="s">
        <v>8540</v>
      </c>
      <c r="B836" s="12" t="s">
        <v>8376</v>
      </c>
      <c r="C836" s="667" t="s">
        <v>10091</v>
      </c>
      <c r="D836" s="12" t="s">
        <v>8550</v>
      </c>
      <c r="E836" s="12" t="s">
        <v>7027</v>
      </c>
      <c r="F836" s="65">
        <v>1200</v>
      </c>
      <c r="G836" s="57">
        <v>136032</v>
      </c>
      <c r="H836" s="12"/>
      <c r="I836" s="8" t="s">
        <v>11723</v>
      </c>
    </row>
    <row r="837" spans="1:9" s="117" customFormat="1" ht="46.5" customHeight="1" x14ac:dyDescent="0.2">
      <c r="A837" s="12" t="s">
        <v>8541</v>
      </c>
      <c r="B837" s="12" t="s">
        <v>8376</v>
      </c>
      <c r="C837" s="667" t="s">
        <v>10090</v>
      </c>
      <c r="D837" s="12" t="s">
        <v>8558</v>
      </c>
      <c r="E837" s="12" t="s">
        <v>7027</v>
      </c>
      <c r="F837" s="65">
        <v>1200</v>
      </c>
      <c r="G837" s="57">
        <v>136032</v>
      </c>
      <c r="H837" s="12"/>
      <c r="I837" s="8" t="s">
        <v>11723</v>
      </c>
    </row>
    <row r="838" spans="1:9" s="117" customFormat="1" ht="46.5" customHeight="1" x14ac:dyDescent="0.2">
      <c r="A838" s="12" t="s">
        <v>8546</v>
      </c>
      <c r="B838" s="12" t="s">
        <v>8376</v>
      </c>
      <c r="C838" s="667" t="s">
        <v>10089</v>
      </c>
      <c r="D838" s="12" t="s">
        <v>8559</v>
      </c>
      <c r="E838" s="12" t="s">
        <v>7027</v>
      </c>
      <c r="F838" s="65">
        <v>1200</v>
      </c>
      <c r="G838" s="57">
        <v>136032</v>
      </c>
      <c r="H838" s="12"/>
      <c r="I838" s="8" t="s">
        <v>11723</v>
      </c>
    </row>
    <row r="839" spans="1:9" s="117" customFormat="1" ht="46.5" customHeight="1" x14ac:dyDescent="0.2">
      <c r="A839" s="12" t="s">
        <v>8547</v>
      </c>
      <c r="B839" s="12" t="s">
        <v>8376</v>
      </c>
      <c r="C839" s="667" t="s">
        <v>10088</v>
      </c>
      <c r="D839" s="12" t="s">
        <v>8594</v>
      </c>
      <c r="E839" s="12" t="s">
        <v>7027</v>
      </c>
      <c r="F839" s="65">
        <v>1200</v>
      </c>
      <c r="G839" s="57">
        <v>136032</v>
      </c>
      <c r="H839" s="12"/>
      <c r="I839" s="8" t="s">
        <v>11723</v>
      </c>
    </row>
    <row r="840" spans="1:9" s="117" customFormat="1" ht="46.5" customHeight="1" x14ac:dyDescent="0.2">
      <c r="A840" s="12" t="s">
        <v>8548</v>
      </c>
      <c r="B840" s="12" t="s">
        <v>8376</v>
      </c>
      <c r="C840" s="667" t="s">
        <v>10087</v>
      </c>
      <c r="D840" s="12" t="s">
        <v>8596</v>
      </c>
      <c r="E840" s="12" t="s">
        <v>7027</v>
      </c>
      <c r="F840" s="65">
        <v>1200</v>
      </c>
      <c r="G840" s="57">
        <v>136032</v>
      </c>
      <c r="H840" s="12"/>
      <c r="I840" s="8" t="s">
        <v>11723</v>
      </c>
    </row>
    <row r="841" spans="1:9" s="117" customFormat="1" ht="46.5" customHeight="1" x14ac:dyDescent="0.2">
      <c r="A841" s="12" t="s">
        <v>8555</v>
      </c>
      <c r="B841" s="12" t="s">
        <v>8376</v>
      </c>
      <c r="C841" s="667" t="s">
        <v>10086</v>
      </c>
      <c r="D841" s="12" t="s">
        <v>8595</v>
      </c>
      <c r="E841" s="12" t="s">
        <v>7027</v>
      </c>
      <c r="F841" s="65">
        <v>1200</v>
      </c>
      <c r="G841" s="57">
        <v>136032</v>
      </c>
      <c r="H841" s="12"/>
      <c r="I841" s="8" t="s">
        <v>11723</v>
      </c>
    </row>
    <row r="842" spans="1:9" s="117" customFormat="1" ht="46.5" customHeight="1" x14ac:dyDescent="0.2">
      <c r="A842" s="12" t="s">
        <v>8556</v>
      </c>
      <c r="B842" s="12" t="s">
        <v>8376</v>
      </c>
      <c r="C842" s="667" t="s">
        <v>10085</v>
      </c>
      <c r="D842" s="12" t="s">
        <v>8597</v>
      </c>
      <c r="E842" s="12" t="s">
        <v>7027</v>
      </c>
      <c r="F842" s="65">
        <v>1200</v>
      </c>
      <c r="G842" s="57">
        <v>136032</v>
      </c>
      <c r="H842" s="12"/>
      <c r="I842" s="8" t="s">
        <v>11723</v>
      </c>
    </row>
    <row r="843" spans="1:9" s="117" customFormat="1" ht="46.5" customHeight="1" x14ac:dyDescent="0.2">
      <c r="A843" s="12" t="s">
        <v>8557</v>
      </c>
      <c r="B843" s="12" t="s">
        <v>8376</v>
      </c>
      <c r="C843" s="667" t="s">
        <v>10084</v>
      </c>
      <c r="D843" s="12" t="s">
        <v>8606</v>
      </c>
      <c r="E843" s="12" t="s">
        <v>7027</v>
      </c>
      <c r="F843" s="65">
        <v>1200</v>
      </c>
      <c r="G843" s="57">
        <v>136032</v>
      </c>
      <c r="H843" s="12"/>
      <c r="I843" s="8" t="s">
        <v>11723</v>
      </c>
    </row>
    <row r="844" spans="1:9" s="117" customFormat="1" ht="46.5" customHeight="1" x14ac:dyDescent="0.2">
      <c r="A844" s="12" t="s">
        <v>8570</v>
      </c>
      <c r="B844" s="12" t="s">
        <v>8376</v>
      </c>
      <c r="C844" s="667" t="s">
        <v>10083</v>
      </c>
      <c r="D844" s="12" t="s">
        <v>8607</v>
      </c>
      <c r="E844" s="12" t="s">
        <v>7027</v>
      </c>
      <c r="F844" s="65">
        <v>1200</v>
      </c>
      <c r="G844" s="57">
        <v>136032</v>
      </c>
      <c r="H844" s="12"/>
      <c r="I844" s="8" t="s">
        <v>11723</v>
      </c>
    </row>
    <row r="845" spans="1:9" s="117" customFormat="1" ht="46.5" customHeight="1" x14ac:dyDescent="0.2">
      <c r="A845" s="12" t="s">
        <v>8571</v>
      </c>
      <c r="B845" s="12" t="s">
        <v>8376</v>
      </c>
      <c r="C845" s="667" t="s">
        <v>10082</v>
      </c>
      <c r="D845" s="12" t="s">
        <v>8608</v>
      </c>
      <c r="E845" s="12" t="s">
        <v>7027</v>
      </c>
      <c r="F845" s="65">
        <v>1200</v>
      </c>
      <c r="G845" s="57">
        <v>136032</v>
      </c>
      <c r="H845" s="12"/>
      <c r="I845" s="8" t="s">
        <v>11723</v>
      </c>
    </row>
    <row r="846" spans="1:9" s="117" customFormat="1" ht="46.5" customHeight="1" x14ac:dyDescent="0.2">
      <c r="A846" s="12" t="s">
        <v>8572</v>
      </c>
      <c r="B846" s="12" t="s">
        <v>8376</v>
      </c>
      <c r="C846" s="667" t="s">
        <v>10081</v>
      </c>
      <c r="D846" s="12" t="s">
        <v>8609</v>
      </c>
      <c r="E846" s="12" t="s">
        <v>7027</v>
      </c>
      <c r="F846" s="65">
        <v>1200</v>
      </c>
      <c r="G846" s="57">
        <v>136032</v>
      </c>
      <c r="H846" s="12"/>
      <c r="I846" s="8" t="s">
        <v>11723</v>
      </c>
    </row>
    <row r="847" spans="1:9" s="117" customFormat="1" ht="46.5" customHeight="1" x14ac:dyDescent="0.2">
      <c r="A847" s="12" t="s">
        <v>8576</v>
      </c>
      <c r="B847" s="12" t="s">
        <v>8376</v>
      </c>
      <c r="C847" s="667" t="s">
        <v>10080</v>
      </c>
      <c r="D847" s="12" t="s">
        <v>8610</v>
      </c>
      <c r="E847" s="12" t="s">
        <v>7027</v>
      </c>
      <c r="F847" s="65">
        <v>1200</v>
      </c>
      <c r="G847" s="57">
        <v>136032</v>
      </c>
      <c r="H847" s="12"/>
      <c r="I847" s="8" t="s">
        <v>11723</v>
      </c>
    </row>
    <row r="848" spans="1:9" s="117" customFormat="1" ht="46.5" customHeight="1" x14ac:dyDescent="0.2">
      <c r="A848" s="12" t="s">
        <v>8577</v>
      </c>
      <c r="B848" s="12" t="s">
        <v>8376</v>
      </c>
      <c r="C848" s="667" t="s">
        <v>10079</v>
      </c>
      <c r="D848" s="12" t="s">
        <v>8611</v>
      </c>
      <c r="E848" s="12" t="s">
        <v>7027</v>
      </c>
      <c r="F848" s="65">
        <v>1200</v>
      </c>
      <c r="G848" s="57">
        <v>136032</v>
      </c>
      <c r="H848" s="12"/>
      <c r="I848" s="8" t="s">
        <v>11723</v>
      </c>
    </row>
    <row r="849" spans="1:9" s="117" customFormat="1" ht="46.5" customHeight="1" x14ac:dyDescent="0.2">
      <c r="A849" s="12" t="s">
        <v>8578</v>
      </c>
      <c r="B849" s="12" t="s">
        <v>8376</v>
      </c>
      <c r="C849" s="667" t="s">
        <v>10078</v>
      </c>
      <c r="D849" s="12" t="s">
        <v>8585</v>
      </c>
      <c r="E849" s="12" t="s">
        <v>7027</v>
      </c>
      <c r="F849" s="65">
        <v>1200</v>
      </c>
      <c r="G849" s="57">
        <v>136032</v>
      </c>
      <c r="H849" s="12"/>
      <c r="I849" s="8" t="s">
        <v>11723</v>
      </c>
    </row>
    <row r="850" spans="1:9" s="117" customFormat="1" ht="46.5" customHeight="1" x14ac:dyDescent="0.2">
      <c r="A850" s="12" t="s">
        <v>8579</v>
      </c>
      <c r="B850" s="12" t="s">
        <v>8376</v>
      </c>
      <c r="C850" s="667" t="s">
        <v>10077</v>
      </c>
      <c r="D850" s="12" t="s">
        <v>8560</v>
      </c>
      <c r="E850" s="12" t="s">
        <v>7027</v>
      </c>
      <c r="F850" s="65">
        <v>1200</v>
      </c>
      <c r="G850" s="57">
        <v>136032</v>
      </c>
      <c r="H850" s="12"/>
      <c r="I850" s="8" t="s">
        <v>11723</v>
      </c>
    </row>
    <row r="851" spans="1:9" s="117" customFormat="1" ht="46.5" customHeight="1" x14ac:dyDescent="0.2">
      <c r="A851" s="12" t="s">
        <v>8587</v>
      </c>
      <c r="B851" s="12" t="s">
        <v>8376</v>
      </c>
      <c r="C851" s="667" t="s">
        <v>10076</v>
      </c>
      <c r="D851" s="12" t="s">
        <v>8586</v>
      </c>
      <c r="E851" s="12" t="s">
        <v>7027</v>
      </c>
      <c r="F851" s="65">
        <v>1200</v>
      </c>
      <c r="G851" s="57">
        <v>136032</v>
      </c>
      <c r="H851" s="12"/>
      <c r="I851" s="8" t="s">
        <v>11723</v>
      </c>
    </row>
    <row r="852" spans="1:9" s="117" customFormat="1" ht="46.5" customHeight="1" x14ac:dyDescent="0.2">
      <c r="A852" s="12" t="s">
        <v>8588</v>
      </c>
      <c r="B852" s="12" t="s">
        <v>8376</v>
      </c>
      <c r="C852" s="667" t="s">
        <v>10075</v>
      </c>
      <c r="D852" s="12" t="s">
        <v>8573</v>
      </c>
      <c r="E852" s="12" t="s">
        <v>7027</v>
      </c>
      <c r="F852" s="65">
        <v>1200</v>
      </c>
      <c r="G852" s="57">
        <v>136032</v>
      </c>
      <c r="H852" s="12"/>
      <c r="I852" s="8" t="s">
        <v>11723</v>
      </c>
    </row>
    <row r="853" spans="1:9" s="117" customFormat="1" ht="46.5" customHeight="1" x14ac:dyDescent="0.2">
      <c r="A853" s="12" t="s">
        <v>8589</v>
      </c>
      <c r="B853" s="12" t="s">
        <v>8376</v>
      </c>
      <c r="C853" s="667" t="s">
        <v>10074</v>
      </c>
      <c r="D853" s="12" t="s">
        <v>8574</v>
      </c>
      <c r="E853" s="12" t="s">
        <v>7027</v>
      </c>
      <c r="F853" s="65">
        <v>1200</v>
      </c>
      <c r="G853" s="57">
        <v>136032</v>
      </c>
      <c r="H853" s="12"/>
      <c r="I853" s="8" t="s">
        <v>11723</v>
      </c>
    </row>
    <row r="854" spans="1:9" s="117" customFormat="1" ht="46.5" customHeight="1" x14ac:dyDescent="0.2">
      <c r="A854" s="12" t="s">
        <v>8598</v>
      </c>
      <c r="B854" s="12" t="s">
        <v>8376</v>
      </c>
      <c r="C854" s="667" t="s">
        <v>10073</v>
      </c>
      <c r="D854" s="12" t="s">
        <v>8575</v>
      </c>
      <c r="E854" s="12" t="s">
        <v>7027</v>
      </c>
      <c r="F854" s="65">
        <v>1200</v>
      </c>
      <c r="G854" s="57">
        <v>136032</v>
      </c>
      <c r="H854" s="12"/>
      <c r="I854" s="8" t="s">
        <v>11723</v>
      </c>
    </row>
    <row r="855" spans="1:9" s="117" customFormat="1" ht="46.5" customHeight="1" x14ac:dyDescent="0.2">
      <c r="A855" s="12" t="s">
        <v>8599</v>
      </c>
      <c r="B855" s="12" t="s">
        <v>8376</v>
      </c>
      <c r="C855" s="667" t="s">
        <v>10072</v>
      </c>
      <c r="D855" s="12" t="s">
        <v>8580</v>
      </c>
      <c r="E855" s="12" t="s">
        <v>7027</v>
      </c>
      <c r="F855" s="65">
        <v>1200</v>
      </c>
      <c r="G855" s="57">
        <v>136032</v>
      </c>
      <c r="H855" s="12"/>
      <c r="I855" s="8" t="s">
        <v>11723</v>
      </c>
    </row>
    <row r="856" spans="1:9" s="117" customFormat="1" ht="46.5" customHeight="1" x14ac:dyDescent="0.2">
      <c r="A856" s="12" t="s">
        <v>8600</v>
      </c>
      <c r="B856" s="12" t="s">
        <v>8376</v>
      </c>
      <c r="C856" s="667" t="s">
        <v>10071</v>
      </c>
      <c r="D856" s="12" t="s">
        <v>8581</v>
      </c>
      <c r="E856" s="12" t="s">
        <v>7027</v>
      </c>
      <c r="F856" s="65">
        <v>1200</v>
      </c>
      <c r="G856" s="57">
        <v>136032</v>
      </c>
      <c r="H856" s="12"/>
      <c r="I856" s="8" t="s">
        <v>11723</v>
      </c>
    </row>
    <row r="857" spans="1:9" s="117" customFormat="1" ht="46.5" customHeight="1" x14ac:dyDescent="0.2">
      <c r="A857" s="12" t="s">
        <v>8601</v>
      </c>
      <c r="B857" s="12" t="s">
        <v>8376</v>
      </c>
      <c r="C857" s="667" t="s">
        <v>10070</v>
      </c>
      <c r="D857" s="12" t="s">
        <v>8582</v>
      </c>
      <c r="E857" s="12" t="s">
        <v>7027</v>
      </c>
      <c r="F857" s="65">
        <v>1200</v>
      </c>
      <c r="G857" s="57">
        <v>136032</v>
      </c>
      <c r="H857" s="12"/>
      <c r="I857" s="8" t="s">
        <v>11723</v>
      </c>
    </row>
    <row r="858" spans="1:9" s="117" customFormat="1" ht="46.5" customHeight="1" x14ac:dyDescent="0.2">
      <c r="A858" s="12" t="s">
        <v>8602</v>
      </c>
      <c r="B858" s="12" t="s">
        <v>8376</v>
      </c>
      <c r="C858" s="667" t="s">
        <v>10069</v>
      </c>
      <c r="D858" s="12" t="s">
        <v>8583</v>
      </c>
      <c r="E858" s="12" t="s">
        <v>7027</v>
      </c>
      <c r="F858" s="65">
        <v>1200</v>
      </c>
      <c r="G858" s="57">
        <v>136032</v>
      </c>
      <c r="H858" s="12"/>
      <c r="I858" s="8" t="s">
        <v>11723</v>
      </c>
    </row>
    <row r="859" spans="1:9" s="117" customFormat="1" ht="46.5" customHeight="1" x14ac:dyDescent="0.2">
      <c r="A859" s="12" t="s">
        <v>8603</v>
      </c>
      <c r="B859" s="12" t="s">
        <v>8376</v>
      </c>
      <c r="C859" s="667" t="s">
        <v>10068</v>
      </c>
      <c r="D859" s="12" t="s">
        <v>8584</v>
      </c>
      <c r="E859" s="12" t="s">
        <v>7027</v>
      </c>
      <c r="F859" s="65">
        <v>1200</v>
      </c>
      <c r="G859" s="57">
        <v>136032</v>
      </c>
      <c r="H859" s="12"/>
      <c r="I859" s="8" t="s">
        <v>11723</v>
      </c>
    </row>
    <row r="860" spans="1:9" s="117" customFormat="1" ht="46.5" customHeight="1" x14ac:dyDescent="0.2">
      <c r="A860" s="12" t="s">
        <v>8604</v>
      </c>
      <c r="B860" s="12" t="s">
        <v>8376</v>
      </c>
      <c r="C860" s="667" t="s">
        <v>10067</v>
      </c>
      <c r="D860" s="12" t="s">
        <v>8631</v>
      </c>
      <c r="E860" s="12" t="s">
        <v>7027</v>
      </c>
      <c r="F860" s="65">
        <v>1200</v>
      </c>
      <c r="G860" s="57">
        <v>136032</v>
      </c>
      <c r="H860" s="12"/>
      <c r="I860" s="8" t="s">
        <v>11723</v>
      </c>
    </row>
    <row r="861" spans="1:9" s="117" customFormat="1" ht="46.5" customHeight="1" x14ac:dyDescent="0.2">
      <c r="A861" s="12" t="s">
        <v>8689</v>
      </c>
      <c r="B861" s="12" t="s">
        <v>8376</v>
      </c>
      <c r="C861" s="667" t="s">
        <v>10066</v>
      </c>
      <c r="D861" s="12" t="s">
        <v>8632</v>
      </c>
      <c r="E861" s="12" t="s">
        <v>7027</v>
      </c>
      <c r="F861" s="65">
        <v>1200</v>
      </c>
      <c r="G861" s="57">
        <v>136032</v>
      </c>
      <c r="H861" s="12"/>
      <c r="I861" s="8" t="s">
        <v>11723</v>
      </c>
    </row>
    <row r="862" spans="1:9" s="117" customFormat="1" ht="46.5" customHeight="1" x14ac:dyDescent="0.2">
      <c r="A862" s="12" t="s">
        <v>8605</v>
      </c>
      <c r="B862" s="12" t="s">
        <v>8376</v>
      </c>
      <c r="C862" s="667" t="s">
        <v>10065</v>
      </c>
      <c r="D862" s="12" t="s">
        <v>8615</v>
      </c>
      <c r="E862" s="12" t="s">
        <v>7027</v>
      </c>
      <c r="F862" s="65">
        <v>1200</v>
      </c>
      <c r="G862" s="57">
        <v>136032</v>
      </c>
      <c r="H862" s="12"/>
      <c r="I862" s="8" t="s">
        <v>11723</v>
      </c>
    </row>
    <row r="863" spans="1:9" s="117" customFormat="1" ht="46.5" customHeight="1" x14ac:dyDescent="0.2">
      <c r="A863" s="12" t="s">
        <v>8614</v>
      </c>
      <c r="B863" s="12" t="s">
        <v>8376</v>
      </c>
      <c r="C863" s="667" t="s">
        <v>10064</v>
      </c>
      <c r="D863" s="12" t="s">
        <v>8633</v>
      </c>
      <c r="E863" s="12" t="s">
        <v>7027</v>
      </c>
      <c r="F863" s="65">
        <v>1200</v>
      </c>
      <c r="G863" s="57">
        <v>136032</v>
      </c>
      <c r="H863" s="12"/>
      <c r="I863" s="8" t="s">
        <v>11723</v>
      </c>
    </row>
    <row r="864" spans="1:9" s="117" customFormat="1" ht="46.5" customHeight="1" x14ac:dyDescent="0.2">
      <c r="A864" s="12" t="s">
        <v>8626</v>
      </c>
      <c r="B864" s="12" t="s">
        <v>8376</v>
      </c>
      <c r="C864" s="667" t="s">
        <v>10063</v>
      </c>
      <c r="D864" s="12" t="s">
        <v>8634</v>
      </c>
      <c r="E864" s="12" t="s">
        <v>7027</v>
      </c>
      <c r="F864" s="65">
        <v>1200</v>
      </c>
      <c r="G864" s="57">
        <v>136032</v>
      </c>
      <c r="H864" s="12"/>
      <c r="I864" s="8" t="s">
        <v>11723</v>
      </c>
    </row>
    <row r="865" spans="1:9" s="117" customFormat="1" ht="46.5" customHeight="1" x14ac:dyDescent="0.2">
      <c r="A865" s="12" t="s">
        <v>8627</v>
      </c>
      <c r="B865" s="12" t="s">
        <v>8376</v>
      </c>
      <c r="C865" s="667" t="s">
        <v>10062</v>
      </c>
      <c r="D865" s="12" t="s">
        <v>8635</v>
      </c>
      <c r="E865" s="12" t="s">
        <v>7027</v>
      </c>
      <c r="F865" s="65">
        <v>1200</v>
      </c>
      <c r="G865" s="57">
        <v>136032</v>
      </c>
      <c r="H865" s="12"/>
      <c r="I865" s="8" t="s">
        <v>11723</v>
      </c>
    </row>
    <row r="866" spans="1:9" s="117" customFormat="1" ht="46.5" customHeight="1" x14ac:dyDescent="0.2">
      <c r="A866" s="12" t="s">
        <v>8628</v>
      </c>
      <c r="B866" s="12" t="s">
        <v>8376</v>
      </c>
      <c r="C866" s="667" t="s">
        <v>10061</v>
      </c>
      <c r="D866" s="12" t="s">
        <v>8638</v>
      </c>
      <c r="E866" s="12" t="s">
        <v>7027</v>
      </c>
      <c r="F866" s="65">
        <v>1200</v>
      </c>
      <c r="G866" s="57">
        <v>136032</v>
      </c>
      <c r="H866" s="12"/>
      <c r="I866" s="8" t="s">
        <v>11723</v>
      </c>
    </row>
    <row r="867" spans="1:9" s="117" customFormat="1" ht="46.5" customHeight="1" x14ac:dyDescent="0.2">
      <c r="A867" s="12" t="s">
        <v>8629</v>
      </c>
      <c r="B867" s="12" t="s">
        <v>8376</v>
      </c>
      <c r="C867" s="667" t="s">
        <v>10060</v>
      </c>
      <c r="D867" s="12" t="s">
        <v>8416</v>
      </c>
      <c r="E867" s="12" t="s">
        <v>7027</v>
      </c>
      <c r="F867" s="65">
        <v>1200</v>
      </c>
      <c r="G867" s="57">
        <v>136032</v>
      </c>
      <c r="H867" s="12"/>
      <c r="I867" s="8" t="s">
        <v>11723</v>
      </c>
    </row>
    <row r="868" spans="1:9" s="117" customFormat="1" ht="46.5" customHeight="1" x14ac:dyDescent="0.2">
      <c r="A868" s="12" t="s">
        <v>8630</v>
      </c>
      <c r="B868" s="12" t="s">
        <v>8376</v>
      </c>
      <c r="C868" s="667" t="s">
        <v>10059</v>
      </c>
      <c r="D868" s="12" t="s">
        <v>8673</v>
      </c>
      <c r="E868" s="12" t="s">
        <v>7027</v>
      </c>
      <c r="F868" s="65">
        <v>1200</v>
      </c>
      <c r="G868" s="57">
        <v>136032</v>
      </c>
      <c r="H868" s="12"/>
      <c r="I868" s="8" t="s">
        <v>11723</v>
      </c>
    </row>
    <row r="869" spans="1:9" s="117" customFormat="1" ht="46.5" customHeight="1" x14ac:dyDescent="0.2">
      <c r="A869" s="12" t="s">
        <v>8639</v>
      </c>
      <c r="B869" s="12" t="s">
        <v>8376</v>
      </c>
      <c r="C869" s="667" t="s">
        <v>10058</v>
      </c>
      <c r="D869" s="12" t="s">
        <v>8672</v>
      </c>
      <c r="E869" s="12" t="s">
        <v>7027</v>
      </c>
      <c r="F869" s="65">
        <v>1200</v>
      </c>
      <c r="G869" s="57">
        <v>136032</v>
      </c>
      <c r="H869" s="12"/>
      <c r="I869" s="8" t="s">
        <v>11723</v>
      </c>
    </row>
    <row r="870" spans="1:9" s="117" customFormat="1" ht="46.5" customHeight="1" x14ac:dyDescent="0.2">
      <c r="A870" s="12" t="s">
        <v>8640</v>
      </c>
      <c r="B870" s="12" t="s">
        <v>8376</v>
      </c>
      <c r="C870" s="667" t="s">
        <v>10057</v>
      </c>
      <c r="D870" s="12" t="s">
        <v>8519</v>
      </c>
      <c r="E870" s="12" t="s">
        <v>7027</v>
      </c>
      <c r="F870" s="65">
        <v>1200</v>
      </c>
      <c r="G870" s="57">
        <v>136032</v>
      </c>
      <c r="H870" s="12"/>
      <c r="I870" s="8" t="s">
        <v>11723</v>
      </c>
    </row>
    <row r="871" spans="1:9" s="117" customFormat="1" ht="46.5" customHeight="1" x14ac:dyDescent="0.2">
      <c r="A871" s="12" t="s">
        <v>8674</v>
      </c>
      <c r="B871" s="12" t="s">
        <v>8376</v>
      </c>
      <c r="C871" s="667" t="s">
        <v>10056</v>
      </c>
      <c r="D871" s="12" t="s">
        <v>8641</v>
      </c>
      <c r="E871" s="12" t="s">
        <v>7027</v>
      </c>
      <c r="F871" s="65">
        <v>1200</v>
      </c>
      <c r="G871" s="57">
        <v>136032</v>
      </c>
      <c r="H871" s="12"/>
      <c r="I871" s="8" t="s">
        <v>11723</v>
      </c>
    </row>
    <row r="872" spans="1:9" s="117" customFormat="1" ht="46.5" customHeight="1" x14ac:dyDescent="0.2">
      <c r="A872" s="12" t="s">
        <v>8675</v>
      </c>
      <c r="B872" s="12" t="s">
        <v>8376</v>
      </c>
      <c r="C872" s="667" t="s">
        <v>10055</v>
      </c>
      <c r="D872" s="12" t="s">
        <v>8677</v>
      </c>
      <c r="E872" s="12" t="s">
        <v>7027</v>
      </c>
      <c r="F872" s="65">
        <v>1200</v>
      </c>
      <c r="G872" s="57">
        <v>136032</v>
      </c>
      <c r="H872" s="12"/>
      <c r="I872" s="8" t="s">
        <v>11723</v>
      </c>
    </row>
    <row r="873" spans="1:9" s="117" customFormat="1" ht="46.5" customHeight="1" x14ac:dyDescent="0.2">
      <c r="A873" s="12" t="s">
        <v>8676</v>
      </c>
      <c r="B873" s="12" t="s">
        <v>8376</v>
      </c>
      <c r="C873" s="667" t="s">
        <v>10054</v>
      </c>
      <c r="D873" s="12" t="s">
        <v>8684</v>
      </c>
      <c r="E873" s="12" t="s">
        <v>7027</v>
      </c>
      <c r="F873" s="65">
        <v>1200</v>
      </c>
      <c r="G873" s="57">
        <v>136032</v>
      </c>
      <c r="H873" s="12"/>
      <c r="I873" s="8" t="s">
        <v>11723</v>
      </c>
    </row>
    <row r="874" spans="1:9" s="117" customFormat="1" ht="46.5" customHeight="1" x14ac:dyDescent="0.2">
      <c r="A874" s="12" t="s">
        <v>8678</v>
      </c>
      <c r="B874" s="12" t="s">
        <v>8376</v>
      </c>
      <c r="C874" s="667" t="s">
        <v>10053</v>
      </c>
      <c r="D874" s="12" t="s">
        <v>8685</v>
      </c>
      <c r="E874" s="12" t="s">
        <v>7027</v>
      </c>
      <c r="F874" s="65">
        <v>1200</v>
      </c>
      <c r="G874" s="57">
        <v>136032</v>
      </c>
      <c r="H874" s="12"/>
      <c r="I874" s="8" t="s">
        <v>11723</v>
      </c>
    </row>
    <row r="875" spans="1:9" s="117" customFormat="1" ht="46.5" customHeight="1" x14ac:dyDescent="0.2">
      <c r="A875" s="12" t="s">
        <v>8679</v>
      </c>
      <c r="B875" s="12" t="s">
        <v>8376</v>
      </c>
      <c r="C875" s="667" t="s">
        <v>10052</v>
      </c>
      <c r="D875" s="12" t="s">
        <v>8686</v>
      </c>
      <c r="E875" s="12" t="s">
        <v>7027</v>
      </c>
      <c r="F875" s="65">
        <v>1200</v>
      </c>
      <c r="G875" s="57">
        <v>136032</v>
      </c>
      <c r="H875" s="12"/>
      <c r="I875" s="8" t="s">
        <v>11723</v>
      </c>
    </row>
    <row r="876" spans="1:9" s="117" customFormat="1" ht="46.5" customHeight="1" x14ac:dyDescent="0.2">
      <c r="A876" s="12" t="s">
        <v>8680</v>
      </c>
      <c r="B876" s="12" t="s">
        <v>8376</v>
      </c>
      <c r="C876" s="667" t="s">
        <v>10051</v>
      </c>
      <c r="D876" s="12" t="s">
        <v>8687</v>
      </c>
      <c r="E876" s="12" t="s">
        <v>7027</v>
      </c>
      <c r="F876" s="65">
        <v>1200</v>
      </c>
      <c r="G876" s="57">
        <v>136032</v>
      </c>
      <c r="H876" s="12"/>
      <c r="I876" s="8" t="s">
        <v>11723</v>
      </c>
    </row>
    <row r="877" spans="1:9" s="117" customFormat="1" ht="46.5" customHeight="1" x14ac:dyDescent="0.2">
      <c r="A877" s="12" t="s">
        <v>8681</v>
      </c>
      <c r="B877" s="12" t="s">
        <v>8376</v>
      </c>
      <c r="C877" s="667" t="s">
        <v>10050</v>
      </c>
      <c r="D877" s="12" t="s">
        <v>8688</v>
      </c>
      <c r="E877" s="12" t="s">
        <v>7027</v>
      </c>
      <c r="F877" s="65">
        <v>1200</v>
      </c>
      <c r="G877" s="57">
        <v>136032</v>
      </c>
      <c r="H877" s="12"/>
      <c r="I877" s="8" t="s">
        <v>11723</v>
      </c>
    </row>
    <row r="878" spans="1:9" s="117" customFormat="1" ht="46.5" customHeight="1" x14ac:dyDescent="0.2">
      <c r="A878" s="12" t="s">
        <v>8682</v>
      </c>
      <c r="B878" s="12" t="s">
        <v>8376</v>
      </c>
      <c r="C878" s="667" t="s">
        <v>10049</v>
      </c>
      <c r="D878" s="12" t="s">
        <v>8530</v>
      </c>
      <c r="E878" s="12" t="s">
        <v>7027</v>
      </c>
      <c r="F878" s="65">
        <v>1200</v>
      </c>
      <c r="G878" s="57">
        <v>136032</v>
      </c>
      <c r="H878" s="12"/>
      <c r="I878" s="8" t="s">
        <v>11723</v>
      </c>
    </row>
    <row r="879" spans="1:9" s="117" customFormat="1" ht="46.5" customHeight="1" x14ac:dyDescent="0.2">
      <c r="A879" s="12" t="s">
        <v>8683</v>
      </c>
      <c r="B879" s="12" t="s">
        <v>8376</v>
      </c>
      <c r="C879" s="667" t="s">
        <v>10048</v>
      </c>
      <c r="D879" s="12" t="s">
        <v>8672</v>
      </c>
      <c r="E879" s="12" t="s">
        <v>7027</v>
      </c>
      <c r="F879" s="65">
        <v>1200</v>
      </c>
      <c r="G879" s="57">
        <v>136032</v>
      </c>
      <c r="H879" s="12"/>
      <c r="I879" s="8" t="s">
        <v>11723</v>
      </c>
    </row>
    <row r="880" spans="1:9" s="117" customFormat="1" ht="46.5" customHeight="1" x14ac:dyDescent="0.2">
      <c r="A880" s="12" t="s">
        <v>8690</v>
      </c>
      <c r="B880" s="12" t="s">
        <v>8376</v>
      </c>
      <c r="C880" s="667" t="s">
        <v>10047</v>
      </c>
      <c r="D880" s="12" t="s">
        <v>8694</v>
      </c>
      <c r="E880" s="12" t="s">
        <v>7027</v>
      </c>
      <c r="F880" s="65">
        <v>1200</v>
      </c>
      <c r="G880" s="57">
        <v>136032</v>
      </c>
      <c r="H880" s="12"/>
      <c r="I880" s="8" t="s">
        <v>11723</v>
      </c>
    </row>
    <row r="881" spans="1:9" s="117" customFormat="1" ht="46.5" customHeight="1" x14ac:dyDescent="0.2">
      <c r="A881" s="12" t="s">
        <v>8691</v>
      </c>
      <c r="B881" s="12" t="s">
        <v>8376</v>
      </c>
      <c r="C881" s="667" t="s">
        <v>10046</v>
      </c>
      <c r="D881" s="12" t="s">
        <v>8693</v>
      </c>
      <c r="E881" s="12" t="s">
        <v>7027</v>
      </c>
      <c r="F881" s="65">
        <v>1200</v>
      </c>
      <c r="G881" s="57">
        <v>136032</v>
      </c>
      <c r="H881" s="12"/>
      <c r="I881" s="8" t="s">
        <v>11723</v>
      </c>
    </row>
    <row r="882" spans="1:9" s="117" customFormat="1" ht="46.5" customHeight="1" x14ac:dyDescent="0.2">
      <c r="A882" s="12" t="s">
        <v>8692</v>
      </c>
      <c r="B882" s="12" t="s">
        <v>8376</v>
      </c>
      <c r="C882" s="667" t="s">
        <v>10045</v>
      </c>
      <c r="D882" s="12" t="s">
        <v>8695</v>
      </c>
      <c r="E882" s="12" t="s">
        <v>7027</v>
      </c>
      <c r="F882" s="65">
        <v>1200</v>
      </c>
      <c r="G882" s="57">
        <v>136032</v>
      </c>
      <c r="H882" s="12"/>
      <c r="I882" s="8" t="s">
        <v>11723</v>
      </c>
    </row>
    <row r="883" spans="1:9" s="117" customFormat="1" ht="46.5" customHeight="1" x14ac:dyDescent="0.2">
      <c r="A883" s="12" t="s">
        <v>8757</v>
      </c>
      <c r="B883" s="12" t="s">
        <v>8376</v>
      </c>
      <c r="C883" s="667" t="s">
        <v>10044</v>
      </c>
      <c r="D883" s="12" t="s">
        <v>8782</v>
      </c>
      <c r="E883" s="12" t="s">
        <v>7027</v>
      </c>
      <c r="F883" s="65">
        <v>1200</v>
      </c>
      <c r="G883" s="57">
        <v>136032</v>
      </c>
      <c r="H883" s="12"/>
      <c r="I883" s="8" t="s">
        <v>11723</v>
      </c>
    </row>
    <row r="884" spans="1:9" s="117" customFormat="1" ht="46.5" customHeight="1" x14ac:dyDescent="0.2">
      <c r="A884" s="12" t="s">
        <v>8758</v>
      </c>
      <c r="B884" s="12" t="s">
        <v>8376</v>
      </c>
      <c r="C884" s="667" t="s">
        <v>10043</v>
      </c>
      <c r="D884" s="12" t="s">
        <v>8783</v>
      </c>
      <c r="E884" s="12" t="s">
        <v>7027</v>
      </c>
      <c r="F884" s="65">
        <v>1200</v>
      </c>
      <c r="G884" s="57">
        <v>136032</v>
      </c>
      <c r="H884" s="12"/>
      <c r="I884" s="8" t="s">
        <v>11723</v>
      </c>
    </row>
    <row r="885" spans="1:9" s="117" customFormat="1" ht="46.5" customHeight="1" x14ac:dyDescent="0.2">
      <c r="A885" s="12" t="s">
        <v>8759</v>
      </c>
      <c r="B885" s="12" t="s">
        <v>8376</v>
      </c>
      <c r="C885" s="667" t="s">
        <v>10042</v>
      </c>
      <c r="D885" s="12" t="s">
        <v>8784</v>
      </c>
      <c r="E885" s="12" t="s">
        <v>7027</v>
      </c>
      <c r="F885" s="65">
        <v>1200</v>
      </c>
      <c r="G885" s="57">
        <v>136032</v>
      </c>
      <c r="H885" s="12"/>
      <c r="I885" s="8" t="s">
        <v>11723</v>
      </c>
    </row>
    <row r="886" spans="1:9" s="117" customFormat="1" ht="46.5" customHeight="1" x14ac:dyDescent="0.2">
      <c r="A886" s="12" t="s">
        <v>8760</v>
      </c>
      <c r="B886" s="12" t="s">
        <v>8376</v>
      </c>
      <c r="C886" s="667" t="s">
        <v>10041</v>
      </c>
      <c r="D886" s="12" t="s">
        <v>8786</v>
      </c>
      <c r="E886" s="12" t="s">
        <v>7027</v>
      </c>
      <c r="F886" s="65">
        <v>1200</v>
      </c>
      <c r="G886" s="57">
        <v>136032</v>
      </c>
      <c r="H886" s="12"/>
      <c r="I886" s="8" t="s">
        <v>11723</v>
      </c>
    </row>
    <row r="887" spans="1:9" s="117" customFormat="1" ht="46.5" customHeight="1" x14ac:dyDescent="0.2">
      <c r="A887" s="12" t="s">
        <v>8761</v>
      </c>
      <c r="B887" s="12" t="s">
        <v>8376</v>
      </c>
      <c r="C887" s="667" t="s">
        <v>10040</v>
      </c>
      <c r="D887" s="12" t="s">
        <v>8768</v>
      </c>
      <c r="E887" s="12" t="s">
        <v>7027</v>
      </c>
      <c r="F887" s="65">
        <v>1200</v>
      </c>
      <c r="G887" s="57">
        <v>136032</v>
      </c>
      <c r="H887" s="12"/>
      <c r="I887" s="8" t="s">
        <v>11723</v>
      </c>
    </row>
    <row r="888" spans="1:9" s="117" customFormat="1" ht="46.5" customHeight="1" x14ac:dyDescent="0.2">
      <c r="A888" s="12" t="s">
        <v>8762</v>
      </c>
      <c r="B888" s="12" t="s">
        <v>8376</v>
      </c>
      <c r="C888" s="667" t="s">
        <v>10039</v>
      </c>
      <c r="D888" s="12" t="s">
        <v>8769</v>
      </c>
      <c r="E888" s="12" t="s">
        <v>7027</v>
      </c>
      <c r="F888" s="65">
        <v>1200</v>
      </c>
      <c r="G888" s="57">
        <v>136032</v>
      </c>
      <c r="H888" s="12"/>
      <c r="I888" s="8" t="s">
        <v>11723</v>
      </c>
    </row>
    <row r="889" spans="1:9" s="117" customFormat="1" ht="46.5" customHeight="1" x14ac:dyDescent="0.2">
      <c r="A889" s="12" t="s">
        <v>8763</v>
      </c>
      <c r="B889" s="12" t="s">
        <v>8376</v>
      </c>
      <c r="C889" s="667" t="s">
        <v>10038</v>
      </c>
      <c r="D889" s="12" t="s">
        <v>8770</v>
      </c>
      <c r="E889" s="12" t="s">
        <v>7027</v>
      </c>
      <c r="F889" s="65">
        <v>1200</v>
      </c>
      <c r="G889" s="57">
        <v>136032</v>
      </c>
      <c r="H889" s="12"/>
      <c r="I889" s="8" t="s">
        <v>11723</v>
      </c>
    </row>
    <row r="890" spans="1:9" s="117" customFormat="1" ht="46.5" customHeight="1" x14ac:dyDescent="0.2">
      <c r="A890" s="12" t="s">
        <v>8764</v>
      </c>
      <c r="B890" s="12" t="s">
        <v>8376</v>
      </c>
      <c r="C890" s="667" t="s">
        <v>10037</v>
      </c>
      <c r="D890" s="12" t="s">
        <v>8785</v>
      </c>
      <c r="E890" s="12" t="s">
        <v>7027</v>
      </c>
      <c r="F890" s="65">
        <v>1200</v>
      </c>
      <c r="G890" s="57">
        <v>136032</v>
      </c>
      <c r="H890" s="12"/>
      <c r="I890" s="8" t="s">
        <v>11723</v>
      </c>
    </row>
    <row r="891" spans="1:9" s="117" customFormat="1" ht="46.5" customHeight="1" x14ac:dyDescent="0.2">
      <c r="A891" s="12" t="s">
        <v>8765</v>
      </c>
      <c r="B891" s="12" t="s">
        <v>8376</v>
      </c>
      <c r="C891" s="667" t="s">
        <v>10036</v>
      </c>
      <c r="D891" s="12" t="s">
        <v>8832</v>
      </c>
      <c r="E891" s="12" t="s">
        <v>7027</v>
      </c>
      <c r="F891" s="65">
        <v>1200</v>
      </c>
      <c r="G891" s="57">
        <v>136032</v>
      </c>
      <c r="H891" s="12"/>
      <c r="I891" s="8" t="s">
        <v>11723</v>
      </c>
    </row>
    <row r="892" spans="1:9" s="117" customFormat="1" ht="46.5" customHeight="1" x14ac:dyDescent="0.2">
      <c r="A892" s="12" t="s">
        <v>8766</v>
      </c>
      <c r="B892" s="12" t="s">
        <v>8376</v>
      </c>
      <c r="C892" s="667" t="s">
        <v>8901</v>
      </c>
      <c r="D892" s="12" t="s">
        <v>8902</v>
      </c>
      <c r="E892" s="12" t="s">
        <v>7027</v>
      </c>
      <c r="F892" s="65">
        <v>1200</v>
      </c>
      <c r="G892" s="57">
        <v>136032</v>
      </c>
      <c r="H892" s="12"/>
      <c r="I892" s="8" t="s">
        <v>11723</v>
      </c>
    </row>
    <row r="893" spans="1:9" s="117" customFormat="1" ht="46.5" customHeight="1" x14ac:dyDescent="0.2">
      <c r="A893" s="12" t="s">
        <v>8767</v>
      </c>
      <c r="B893" s="12" t="s">
        <v>8376</v>
      </c>
      <c r="C893" s="667" t="s">
        <v>10035</v>
      </c>
      <c r="D893" s="12" t="s">
        <v>8787</v>
      </c>
      <c r="E893" s="12" t="s">
        <v>7027</v>
      </c>
      <c r="F893" s="65">
        <v>1200</v>
      </c>
      <c r="G893" s="57">
        <v>136032</v>
      </c>
      <c r="H893" s="12"/>
      <c r="I893" s="8" t="s">
        <v>11723</v>
      </c>
    </row>
    <row r="894" spans="1:9" s="117" customFormat="1" ht="46.5" customHeight="1" x14ac:dyDescent="0.2">
      <c r="A894" s="12" t="s">
        <v>8780</v>
      </c>
      <c r="B894" s="12" t="s">
        <v>8376</v>
      </c>
      <c r="C894" s="667" t="s">
        <v>10034</v>
      </c>
      <c r="D894" s="12" t="s">
        <v>8771</v>
      </c>
      <c r="E894" s="12" t="s">
        <v>7027</v>
      </c>
      <c r="F894" s="65">
        <v>1200</v>
      </c>
      <c r="G894" s="57">
        <v>136032</v>
      </c>
      <c r="H894" s="12"/>
      <c r="I894" s="8" t="s">
        <v>11723</v>
      </c>
    </row>
    <row r="895" spans="1:9" s="117" customFormat="1" ht="46.5" customHeight="1" x14ac:dyDescent="0.2">
      <c r="A895" s="12" t="s">
        <v>8790</v>
      </c>
      <c r="B895" s="12" t="s">
        <v>8376</v>
      </c>
      <c r="C895" s="667" t="s">
        <v>10033</v>
      </c>
      <c r="D895" s="12" t="s">
        <v>8772</v>
      </c>
      <c r="E895" s="12" t="s">
        <v>7027</v>
      </c>
      <c r="F895" s="65">
        <v>1200</v>
      </c>
      <c r="G895" s="57">
        <v>136032</v>
      </c>
      <c r="H895" s="12"/>
      <c r="I895" s="8" t="s">
        <v>11723</v>
      </c>
    </row>
    <row r="896" spans="1:9" s="117" customFormat="1" ht="46.5" customHeight="1" x14ac:dyDescent="0.2">
      <c r="A896" s="12" t="s">
        <v>8791</v>
      </c>
      <c r="B896" s="12" t="s">
        <v>8376</v>
      </c>
      <c r="C896" s="667" t="s">
        <v>10032</v>
      </c>
      <c r="D896" s="12" t="s">
        <v>8773</v>
      </c>
      <c r="E896" s="12" t="s">
        <v>7027</v>
      </c>
      <c r="F896" s="65">
        <v>1200</v>
      </c>
      <c r="G896" s="57">
        <v>136032</v>
      </c>
      <c r="H896" s="12"/>
      <c r="I896" s="8" t="s">
        <v>11723</v>
      </c>
    </row>
    <row r="897" spans="1:9" s="117" customFormat="1" ht="46.5" customHeight="1" x14ac:dyDescent="0.2">
      <c r="A897" s="12" t="s">
        <v>8792</v>
      </c>
      <c r="B897" s="12" t="s">
        <v>8376</v>
      </c>
      <c r="C897" s="667" t="s">
        <v>10031</v>
      </c>
      <c r="D897" s="12" t="s">
        <v>8774</v>
      </c>
      <c r="E897" s="12" t="s">
        <v>7027</v>
      </c>
      <c r="F897" s="65">
        <v>1200</v>
      </c>
      <c r="G897" s="57">
        <v>136032</v>
      </c>
      <c r="H897" s="12"/>
      <c r="I897" s="8" t="s">
        <v>11723</v>
      </c>
    </row>
    <row r="898" spans="1:9" s="117" customFormat="1" ht="46.5" customHeight="1" x14ac:dyDescent="0.2">
      <c r="A898" s="12" t="s">
        <v>8793</v>
      </c>
      <c r="B898" s="12" t="s">
        <v>8376</v>
      </c>
      <c r="C898" s="667" t="s">
        <v>10030</v>
      </c>
      <c r="D898" s="12" t="s">
        <v>8775</v>
      </c>
      <c r="E898" s="12" t="s">
        <v>7027</v>
      </c>
      <c r="F898" s="65">
        <v>1200</v>
      </c>
      <c r="G898" s="57">
        <v>136032</v>
      </c>
      <c r="H898" s="12"/>
      <c r="I898" s="8" t="s">
        <v>11723</v>
      </c>
    </row>
    <row r="899" spans="1:9" s="117" customFormat="1" ht="46.5" customHeight="1" x14ac:dyDescent="0.2">
      <c r="A899" s="12" t="s">
        <v>8794</v>
      </c>
      <c r="B899" s="12" t="s">
        <v>8376</v>
      </c>
      <c r="C899" s="667" t="s">
        <v>10029</v>
      </c>
      <c r="D899" s="12" t="s">
        <v>8930</v>
      </c>
      <c r="E899" s="12" t="s">
        <v>7027</v>
      </c>
      <c r="F899" s="65">
        <v>1200</v>
      </c>
      <c r="G899" s="57">
        <v>136032</v>
      </c>
      <c r="H899" s="12"/>
      <c r="I899" s="8" t="s">
        <v>11723</v>
      </c>
    </row>
    <row r="900" spans="1:9" s="117" customFormat="1" ht="46.5" customHeight="1" x14ac:dyDescent="0.2">
      <c r="A900" s="12" t="s">
        <v>8795</v>
      </c>
      <c r="B900" s="12" t="s">
        <v>8376</v>
      </c>
      <c r="C900" s="667" t="s">
        <v>10028</v>
      </c>
      <c r="D900" s="12" t="s">
        <v>8931</v>
      </c>
      <c r="E900" s="12" t="s">
        <v>7027</v>
      </c>
      <c r="F900" s="65">
        <v>1200</v>
      </c>
      <c r="G900" s="57">
        <v>136032</v>
      </c>
      <c r="H900" s="12"/>
      <c r="I900" s="8" t="s">
        <v>11723</v>
      </c>
    </row>
    <row r="901" spans="1:9" s="117" customFormat="1" ht="46.5" customHeight="1" x14ac:dyDescent="0.2">
      <c r="A901" s="12" t="s">
        <v>8796</v>
      </c>
      <c r="B901" s="12" t="s">
        <v>8376</v>
      </c>
      <c r="C901" s="667" t="s">
        <v>10027</v>
      </c>
      <c r="D901" s="12" t="s">
        <v>8788</v>
      </c>
      <c r="E901" s="12" t="s">
        <v>7027</v>
      </c>
      <c r="F901" s="65">
        <v>1200</v>
      </c>
      <c r="G901" s="57">
        <v>136032</v>
      </c>
      <c r="H901" s="12"/>
      <c r="I901" s="8" t="s">
        <v>11723</v>
      </c>
    </row>
    <row r="902" spans="1:9" s="117" customFormat="1" ht="46.5" customHeight="1" x14ac:dyDescent="0.2">
      <c r="A902" s="12" t="s">
        <v>8797</v>
      </c>
      <c r="B902" s="12" t="s">
        <v>8376</v>
      </c>
      <c r="C902" s="667" t="s">
        <v>10026</v>
      </c>
      <c r="D902" s="12" t="s">
        <v>8776</v>
      </c>
      <c r="E902" s="12" t="s">
        <v>7027</v>
      </c>
      <c r="F902" s="65">
        <v>1200</v>
      </c>
      <c r="G902" s="57">
        <v>136032</v>
      </c>
      <c r="H902" s="12"/>
      <c r="I902" s="8" t="s">
        <v>11723</v>
      </c>
    </row>
    <row r="903" spans="1:9" s="117" customFormat="1" ht="46.5" customHeight="1" x14ac:dyDescent="0.2">
      <c r="A903" s="12" t="s">
        <v>8798</v>
      </c>
      <c r="B903" s="12" t="s">
        <v>8376</v>
      </c>
      <c r="C903" s="667" t="s">
        <v>10025</v>
      </c>
      <c r="D903" s="12" t="s">
        <v>8789</v>
      </c>
      <c r="E903" s="12" t="s">
        <v>7027</v>
      </c>
      <c r="F903" s="65">
        <v>1200</v>
      </c>
      <c r="G903" s="57">
        <v>136032</v>
      </c>
      <c r="H903" s="12"/>
      <c r="I903" s="8" t="s">
        <v>11723</v>
      </c>
    </row>
    <row r="904" spans="1:9" s="117" customFormat="1" ht="46.5" customHeight="1" x14ac:dyDescent="0.2">
      <c r="A904" s="12" t="s">
        <v>8833</v>
      </c>
      <c r="B904" s="12" t="s">
        <v>8376</v>
      </c>
      <c r="C904" s="667" t="s">
        <v>10024</v>
      </c>
      <c r="D904" s="12" t="s">
        <v>8777</v>
      </c>
      <c r="E904" s="12" t="s">
        <v>7027</v>
      </c>
      <c r="F904" s="65">
        <v>1200</v>
      </c>
      <c r="G904" s="57">
        <v>136032</v>
      </c>
      <c r="H904" s="12"/>
      <c r="I904" s="8" t="s">
        <v>11723</v>
      </c>
    </row>
    <row r="905" spans="1:9" s="117" customFormat="1" ht="46.5" customHeight="1" x14ac:dyDescent="0.2">
      <c r="A905" s="12" t="s">
        <v>8840</v>
      </c>
      <c r="B905" s="12" t="s">
        <v>8376</v>
      </c>
      <c r="C905" s="667" t="s">
        <v>10023</v>
      </c>
      <c r="D905" s="12" t="s">
        <v>8922</v>
      </c>
      <c r="E905" s="12" t="s">
        <v>7027</v>
      </c>
      <c r="F905" s="65">
        <v>1200</v>
      </c>
      <c r="G905" s="57">
        <v>136032</v>
      </c>
      <c r="H905" s="12"/>
      <c r="I905" s="8" t="s">
        <v>11723</v>
      </c>
    </row>
    <row r="906" spans="1:9" s="117" customFormat="1" ht="46.5" customHeight="1" x14ac:dyDescent="0.2">
      <c r="A906" s="12" t="s">
        <v>8841</v>
      </c>
      <c r="B906" s="12" t="s">
        <v>8376</v>
      </c>
      <c r="C906" s="667" t="s">
        <v>10022</v>
      </c>
      <c r="D906" s="12" t="s">
        <v>8778</v>
      </c>
      <c r="E906" s="12" t="s">
        <v>7027</v>
      </c>
      <c r="F906" s="65">
        <v>1200</v>
      </c>
      <c r="G906" s="57">
        <v>136032</v>
      </c>
      <c r="H906" s="12"/>
      <c r="I906" s="8" t="s">
        <v>11723</v>
      </c>
    </row>
    <row r="907" spans="1:9" s="117" customFormat="1" ht="46.5" customHeight="1" x14ac:dyDescent="0.2">
      <c r="A907" s="12" t="s">
        <v>8898</v>
      </c>
      <c r="B907" s="12" t="s">
        <v>8376</v>
      </c>
      <c r="C907" s="667" t="s">
        <v>10021</v>
      </c>
      <c r="D907" s="12" t="s">
        <v>8779</v>
      </c>
      <c r="E907" s="12" t="s">
        <v>7027</v>
      </c>
      <c r="F907" s="65">
        <v>1200</v>
      </c>
      <c r="G907" s="57">
        <v>136032</v>
      </c>
      <c r="H907" s="12"/>
      <c r="I907" s="8" t="s">
        <v>11723</v>
      </c>
    </row>
    <row r="908" spans="1:9" s="117" customFormat="1" ht="46.5" customHeight="1" x14ac:dyDescent="0.2">
      <c r="A908" s="12" t="s">
        <v>8899</v>
      </c>
      <c r="B908" s="12" t="s">
        <v>8376</v>
      </c>
      <c r="C908" s="667" t="s">
        <v>10020</v>
      </c>
      <c r="D908" s="12" t="s">
        <v>8842</v>
      </c>
      <c r="E908" s="12" t="s">
        <v>7027</v>
      </c>
      <c r="F908" s="65">
        <v>1200</v>
      </c>
      <c r="G908" s="57">
        <v>136032</v>
      </c>
      <c r="H908" s="12"/>
      <c r="I908" s="8" t="s">
        <v>11723</v>
      </c>
    </row>
    <row r="909" spans="1:9" s="117" customFormat="1" ht="46.5" customHeight="1" x14ac:dyDescent="0.2">
      <c r="A909" s="12" t="s">
        <v>8926</v>
      </c>
      <c r="B909" s="12" t="s">
        <v>8376</v>
      </c>
      <c r="C909" s="667" t="s">
        <v>10019</v>
      </c>
      <c r="D909" s="12" t="s">
        <v>8781</v>
      </c>
      <c r="E909" s="12" t="s">
        <v>7027</v>
      </c>
      <c r="F909" s="65">
        <v>1200</v>
      </c>
      <c r="G909" s="57">
        <v>136032</v>
      </c>
      <c r="H909" s="12"/>
      <c r="I909" s="8" t="s">
        <v>11723</v>
      </c>
    </row>
    <row r="910" spans="1:9" s="117" customFormat="1" ht="46.5" customHeight="1" x14ac:dyDescent="0.2">
      <c r="A910" s="12" t="s">
        <v>8927</v>
      </c>
      <c r="B910" s="12" t="s">
        <v>8376</v>
      </c>
      <c r="C910" s="667" t="s">
        <v>10018</v>
      </c>
      <c r="D910" s="12" t="s">
        <v>8843</v>
      </c>
      <c r="E910" s="12" t="s">
        <v>7027</v>
      </c>
      <c r="F910" s="65">
        <v>1200</v>
      </c>
      <c r="G910" s="57">
        <v>136032</v>
      </c>
      <c r="H910" s="12"/>
      <c r="I910" s="8" t="s">
        <v>11723</v>
      </c>
    </row>
    <row r="911" spans="1:9" s="117" customFormat="1" ht="46.5" customHeight="1" x14ac:dyDescent="0.2">
      <c r="A911" s="12" t="s">
        <v>8928</v>
      </c>
      <c r="B911" s="12" t="s">
        <v>8376</v>
      </c>
      <c r="C911" s="667" t="s">
        <v>10017</v>
      </c>
      <c r="D911" s="12" t="s">
        <v>8932</v>
      </c>
      <c r="E911" s="12" t="s">
        <v>7027</v>
      </c>
      <c r="F911" s="65">
        <v>1200</v>
      </c>
      <c r="G911" s="57">
        <v>136032</v>
      </c>
      <c r="H911" s="12"/>
      <c r="I911" s="8" t="s">
        <v>11723</v>
      </c>
    </row>
    <row r="912" spans="1:9" s="117" customFormat="1" ht="46.5" customHeight="1" x14ac:dyDescent="0.2">
      <c r="A912" s="12" t="s">
        <v>8929</v>
      </c>
      <c r="B912" s="12" t="s">
        <v>8376</v>
      </c>
      <c r="C912" s="667" t="s">
        <v>10016</v>
      </c>
      <c r="D912" s="12" t="s">
        <v>8900</v>
      </c>
      <c r="E912" s="12" t="s">
        <v>7027</v>
      </c>
      <c r="F912" s="65">
        <v>1200</v>
      </c>
      <c r="G912" s="57">
        <v>136032</v>
      </c>
      <c r="H912" s="12"/>
      <c r="I912" s="8" t="s">
        <v>11723</v>
      </c>
    </row>
    <row r="913" spans="1:9" s="117" customFormat="1" ht="46.5" customHeight="1" x14ac:dyDescent="0.2">
      <c r="A913" s="12" t="s">
        <v>8933</v>
      </c>
      <c r="B913" s="12" t="s">
        <v>8376</v>
      </c>
      <c r="C913" s="667" t="s">
        <v>10015</v>
      </c>
      <c r="D913" s="12" t="s">
        <v>8923</v>
      </c>
      <c r="E913" s="12" t="s">
        <v>7027</v>
      </c>
      <c r="F913" s="65">
        <v>1200</v>
      </c>
      <c r="G913" s="57">
        <v>136032</v>
      </c>
      <c r="H913" s="12"/>
      <c r="I913" s="8" t="s">
        <v>11723</v>
      </c>
    </row>
    <row r="914" spans="1:9" s="117" customFormat="1" ht="46.5" customHeight="1" x14ac:dyDescent="0.2">
      <c r="A914" s="12" t="s">
        <v>8934</v>
      </c>
      <c r="B914" s="12" t="s">
        <v>8376</v>
      </c>
      <c r="C914" s="667" t="s">
        <v>10014</v>
      </c>
      <c r="D914" s="12" t="s">
        <v>8924</v>
      </c>
      <c r="E914" s="12" t="s">
        <v>7027</v>
      </c>
      <c r="F914" s="65">
        <v>1200</v>
      </c>
      <c r="G914" s="57">
        <v>136032</v>
      </c>
      <c r="H914" s="12"/>
      <c r="I914" s="8" t="s">
        <v>11723</v>
      </c>
    </row>
    <row r="915" spans="1:9" s="117" customFormat="1" ht="46.5" customHeight="1" x14ac:dyDescent="0.2">
      <c r="A915" s="12" t="s">
        <v>8935</v>
      </c>
      <c r="B915" s="12" t="s">
        <v>8376</v>
      </c>
      <c r="C915" s="667" t="s">
        <v>10013</v>
      </c>
      <c r="D915" s="12" t="s">
        <v>8925</v>
      </c>
      <c r="E915" s="12" t="s">
        <v>7027</v>
      </c>
      <c r="F915" s="65">
        <v>1200</v>
      </c>
      <c r="G915" s="57">
        <v>136032</v>
      </c>
      <c r="H915" s="12"/>
      <c r="I915" s="8" t="s">
        <v>11723</v>
      </c>
    </row>
    <row r="916" spans="1:9" s="117" customFormat="1" ht="46.5" customHeight="1" x14ac:dyDescent="0.2">
      <c r="A916" s="12" t="s">
        <v>8998</v>
      </c>
      <c r="B916" s="12" t="s">
        <v>8376</v>
      </c>
      <c r="C916" s="667" t="s">
        <v>10012</v>
      </c>
      <c r="D916" s="12" t="s">
        <v>8999</v>
      </c>
      <c r="E916" s="12" t="s">
        <v>7027</v>
      </c>
      <c r="F916" s="65">
        <v>1200</v>
      </c>
      <c r="G916" s="57">
        <v>136032</v>
      </c>
      <c r="H916" s="12"/>
      <c r="I916" s="8" t="s">
        <v>11723</v>
      </c>
    </row>
    <row r="917" spans="1:9" s="117" customFormat="1" ht="46.5" customHeight="1" x14ac:dyDescent="0.2">
      <c r="A917" s="12" t="s">
        <v>9001</v>
      </c>
      <c r="B917" s="12" t="s">
        <v>8376</v>
      </c>
      <c r="C917" s="667" t="s">
        <v>10011</v>
      </c>
      <c r="D917" s="12" t="s">
        <v>9002</v>
      </c>
      <c r="E917" s="12" t="s">
        <v>7027</v>
      </c>
      <c r="F917" s="65">
        <v>1200</v>
      </c>
      <c r="G917" s="57">
        <v>136032</v>
      </c>
      <c r="H917" s="12"/>
      <c r="I917" s="8" t="s">
        <v>11723</v>
      </c>
    </row>
    <row r="918" spans="1:9" s="117" customFormat="1" ht="46.5" customHeight="1" x14ac:dyDescent="0.2">
      <c r="A918" s="12" t="s">
        <v>9007</v>
      </c>
      <c r="B918" s="12" t="s">
        <v>8376</v>
      </c>
      <c r="C918" s="667" t="s">
        <v>10010</v>
      </c>
      <c r="D918" s="12" t="s">
        <v>9014</v>
      </c>
      <c r="E918" s="12" t="s">
        <v>7027</v>
      </c>
      <c r="F918" s="65">
        <v>1200</v>
      </c>
      <c r="G918" s="57">
        <v>136032</v>
      </c>
      <c r="H918" s="12"/>
      <c r="I918" s="8" t="s">
        <v>11723</v>
      </c>
    </row>
    <row r="919" spans="1:9" s="117" customFormat="1" ht="46.5" customHeight="1" x14ac:dyDescent="0.2">
      <c r="A919" s="12" t="s">
        <v>9008</v>
      </c>
      <c r="B919" s="12" t="s">
        <v>8376</v>
      </c>
      <c r="C919" s="667" t="s">
        <v>10009</v>
      </c>
      <c r="D919" s="12" t="s">
        <v>9010</v>
      </c>
      <c r="E919" s="12" t="s">
        <v>7027</v>
      </c>
      <c r="F919" s="65">
        <v>1200</v>
      </c>
      <c r="G919" s="57">
        <v>136032</v>
      </c>
      <c r="H919" s="12"/>
      <c r="I919" s="8" t="s">
        <v>11723</v>
      </c>
    </row>
    <row r="920" spans="1:9" s="117" customFormat="1" ht="46.5" customHeight="1" x14ac:dyDescent="0.2">
      <c r="A920" s="12" t="s">
        <v>9009</v>
      </c>
      <c r="B920" s="12" t="s">
        <v>8376</v>
      </c>
      <c r="C920" s="667" t="s">
        <v>10008</v>
      </c>
      <c r="D920" s="12" t="s">
        <v>9011</v>
      </c>
      <c r="E920" s="12" t="s">
        <v>7027</v>
      </c>
      <c r="F920" s="65">
        <v>1200</v>
      </c>
      <c r="G920" s="57">
        <v>136032</v>
      </c>
      <c r="H920" s="12"/>
      <c r="I920" s="8" t="s">
        <v>11723</v>
      </c>
    </row>
    <row r="921" spans="1:9" s="117" customFormat="1" ht="46.5" customHeight="1" x14ac:dyDescent="0.2">
      <c r="A921" s="12" t="s">
        <v>9015</v>
      </c>
      <c r="B921" s="12" t="s">
        <v>8376</v>
      </c>
      <c r="C921" s="667" t="s">
        <v>10007</v>
      </c>
      <c r="D921" s="12" t="s">
        <v>9017</v>
      </c>
      <c r="E921" s="12" t="s">
        <v>7027</v>
      </c>
      <c r="F921" s="65">
        <v>1200</v>
      </c>
      <c r="G921" s="57">
        <v>136032</v>
      </c>
      <c r="H921" s="12"/>
      <c r="I921" s="8" t="s">
        <v>11723</v>
      </c>
    </row>
    <row r="922" spans="1:9" s="117" customFormat="1" ht="46.5" customHeight="1" x14ac:dyDescent="0.2">
      <c r="A922" s="12" t="s">
        <v>9016</v>
      </c>
      <c r="B922" s="12" t="s">
        <v>8376</v>
      </c>
      <c r="C922" s="667" t="s">
        <v>10006</v>
      </c>
      <c r="D922" s="12" t="s">
        <v>9018</v>
      </c>
      <c r="E922" s="12" t="s">
        <v>7027</v>
      </c>
      <c r="F922" s="65">
        <v>1200</v>
      </c>
      <c r="G922" s="57">
        <v>136032</v>
      </c>
      <c r="H922" s="12"/>
      <c r="I922" s="8" t="s">
        <v>11723</v>
      </c>
    </row>
    <row r="923" spans="1:9" s="117" customFormat="1" ht="46.5" customHeight="1" x14ac:dyDescent="0.2">
      <c r="A923" s="12" t="s">
        <v>9027</v>
      </c>
      <c r="B923" s="12" t="s">
        <v>8376</v>
      </c>
      <c r="C923" s="259" t="s">
        <v>10005</v>
      </c>
      <c r="D923" s="12" t="s">
        <v>9097</v>
      </c>
      <c r="E923" s="155" t="s">
        <v>7027</v>
      </c>
      <c r="F923" s="57">
        <v>1200</v>
      </c>
      <c r="G923" s="57">
        <v>136032</v>
      </c>
      <c r="H923" s="12"/>
      <c r="I923" s="8" t="s">
        <v>11723</v>
      </c>
    </row>
    <row r="924" spans="1:9" s="117" customFormat="1" ht="46.5" customHeight="1" x14ac:dyDescent="0.2">
      <c r="A924" s="12" t="s">
        <v>9051</v>
      </c>
      <c r="B924" s="12" t="s">
        <v>8376</v>
      </c>
      <c r="C924" s="259" t="s">
        <v>10004</v>
      </c>
      <c r="D924" s="12" t="s">
        <v>9098</v>
      </c>
      <c r="E924" s="155" t="s">
        <v>7027</v>
      </c>
      <c r="F924" s="57">
        <v>1200</v>
      </c>
      <c r="G924" s="57">
        <v>136032</v>
      </c>
      <c r="H924" s="12"/>
      <c r="I924" s="8" t="s">
        <v>11723</v>
      </c>
    </row>
    <row r="925" spans="1:9" s="117" customFormat="1" ht="46.5" customHeight="1" x14ac:dyDescent="0.2">
      <c r="A925" s="12" t="s">
        <v>9052</v>
      </c>
      <c r="B925" s="12" t="s">
        <v>8376</v>
      </c>
      <c r="C925" s="259" t="s">
        <v>10003</v>
      </c>
      <c r="D925" s="12" t="s">
        <v>9099</v>
      </c>
      <c r="E925" s="155" t="s">
        <v>7027</v>
      </c>
      <c r="F925" s="57">
        <v>1200</v>
      </c>
      <c r="G925" s="57">
        <v>136032</v>
      </c>
      <c r="H925" s="12"/>
      <c r="I925" s="8" t="s">
        <v>11723</v>
      </c>
    </row>
    <row r="926" spans="1:9" s="117" customFormat="1" ht="46.5" customHeight="1" x14ac:dyDescent="0.2">
      <c r="A926" s="12" t="s">
        <v>9053</v>
      </c>
      <c r="B926" s="12" t="s">
        <v>8376</v>
      </c>
      <c r="C926" s="259" t="s">
        <v>10002</v>
      </c>
      <c r="D926" s="12" t="s">
        <v>9100</v>
      </c>
      <c r="E926" s="155" t="s">
        <v>7027</v>
      </c>
      <c r="F926" s="57">
        <v>1200</v>
      </c>
      <c r="G926" s="57">
        <v>136032</v>
      </c>
      <c r="H926" s="12"/>
      <c r="I926" s="8" t="s">
        <v>11723</v>
      </c>
    </row>
    <row r="927" spans="1:9" s="117" customFormat="1" ht="46.5" customHeight="1" x14ac:dyDescent="0.2">
      <c r="A927" s="12" t="s">
        <v>9054</v>
      </c>
      <c r="B927" s="12" t="s">
        <v>8376</v>
      </c>
      <c r="C927" s="259" t="s">
        <v>10001</v>
      </c>
      <c r="D927" s="12" t="s">
        <v>9101</v>
      </c>
      <c r="E927" s="155" t="s">
        <v>7027</v>
      </c>
      <c r="F927" s="57">
        <v>1200</v>
      </c>
      <c r="G927" s="57">
        <v>136032</v>
      </c>
      <c r="H927" s="12"/>
      <c r="I927" s="8" t="s">
        <v>11723</v>
      </c>
    </row>
    <row r="928" spans="1:9" customFormat="1" ht="46.5" customHeight="1" x14ac:dyDescent="0.2">
      <c r="A928" s="12" t="s">
        <v>9055</v>
      </c>
      <c r="B928" s="12" t="s">
        <v>8376</v>
      </c>
      <c r="C928" s="259" t="s">
        <v>10000</v>
      </c>
      <c r="D928" s="12" t="s">
        <v>9062</v>
      </c>
      <c r="E928" s="155" t="s">
        <v>7027</v>
      </c>
      <c r="F928" s="57">
        <v>1200</v>
      </c>
      <c r="G928" s="57">
        <v>136032</v>
      </c>
      <c r="H928" s="107"/>
      <c r="I928" s="8" t="s">
        <v>11723</v>
      </c>
    </row>
    <row r="929" spans="1:9" customFormat="1" ht="46.5" customHeight="1" x14ac:dyDescent="0.2">
      <c r="A929" s="12" t="s">
        <v>9056</v>
      </c>
      <c r="B929" s="12" t="s">
        <v>8376</v>
      </c>
      <c r="C929" s="667" t="s">
        <v>9999</v>
      </c>
      <c r="D929" s="12" t="s">
        <v>9059</v>
      </c>
      <c r="E929" s="155" t="s">
        <v>7027</v>
      </c>
      <c r="F929" s="57">
        <v>1200</v>
      </c>
      <c r="G929" s="57">
        <v>136032</v>
      </c>
      <c r="H929" s="107"/>
      <c r="I929" s="8" t="s">
        <v>11723</v>
      </c>
    </row>
    <row r="930" spans="1:9" customFormat="1" ht="46.5" customHeight="1" x14ac:dyDescent="0.2">
      <c r="A930" s="12" t="s">
        <v>9057</v>
      </c>
      <c r="B930" s="12" t="s">
        <v>8376</v>
      </c>
      <c r="C930" s="259" t="s">
        <v>9998</v>
      </c>
      <c r="D930" s="12" t="s">
        <v>9050</v>
      </c>
      <c r="E930" s="155" t="s">
        <v>7027</v>
      </c>
      <c r="F930" s="57">
        <v>1200</v>
      </c>
      <c r="G930" s="57">
        <v>136032</v>
      </c>
      <c r="H930" s="107"/>
      <c r="I930" s="8" t="s">
        <v>11723</v>
      </c>
    </row>
    <row r="931" spans="1:9" customFormat="1" ht="46.5" customHeight="1" x14ac:dyDescent="0.2">
      <c r="A931" s="12" t="s">
        <v>9058</v>
      </c>
      <c r="B931" s="12" t="s">
        <v>8376</v>
      </c>
      <c r="C931" s="667" t="s">
        <v>9997</v>
      </c>
      <c r="D931" s="12" t="s">
        <v>9063</v>
      </c>
      <c r="E931" s="155" t="s">
        <v>7027</v>
      </c>
      <c r="F931" s="57">
        <v>1200</v>
      </c>
      <c r="G931" s="57">
        <v>136032</v>
      </c>
      <c r="H931" s="107"/>
      <c r="I931" s="8" t="s">
        <v>11723</v>
      </c>
    </row>
    <row r="932" spans="1:9" customFormat="1" ht="46.5" customHeight="1" x14ac:dyDescent="0.2">
      <c r="A932" s="12" t="s">
        <v>9066</v>
      </c>
      <c r="B932" s="12" t="s">
        <v>8376</v>
      </c>
      <c r="C932" s="667" t="s">
        <v>9996</v>
      </c>
      <c r="D932" s="12" t="s">
        <v>9064</v>
      </c>
      <c r="E932" s="155" t="s">
        <v>7027</v>
      </c>
      <c r="F932" s="57">
        <v>1200</v>
      </c>
      <c r="G932" s="57">
        <v>136032</v>
      </c>
      <c r="H932" s="107"/>
      <c r="I932" s="8" t="s">
        <v>11723</v>
      </c>
    </row>
    <row r="933" spans="1:9" customFormat="1" ht="46.5" customHeight="1" x14ac:dyDescent="0.2">
      <c r="A933" s="12" t="s">
        <v>9067</v>
      </c>
      <c r="B933" s="12" t="s">
        <v>8376</v>
      </c>
      <c r="C933" s="667" t="s">
        <v>9995</v>
      </c>
      <c r="D933" s="12" t="s">
        <v>9065</v>
      </c>
      <c r="E933" s="155" t="s">
        <v>7027</v>
      </c>
      <c r="F933" s="57">
        <v>1200</v>
      </c>
      <c r="G933" s="57">
        <v>136032</v>
      </c>
      <c r="H933" s="107"/>
      <c r="I933" s="8" t="s">
        <v>11723</v>
      </c>
    </row>
    <row r="934" spans="1:9" customFormat="1" ht="46.5" customHeight="1" x14ac:dyDescent="0.2">
      <c r="A934" s="12" t="s">
        <v>9068</v>
      </c>
      <c r="B934" s="12" t="s">
        <v>8376</v>
      </c>
      <c r="C934" s="667" t="s">
        <v>9994</v>
      </c>
      <c r="D934" s="12" t="s">
        <v>9060</v>
      </c>
      <c r="E934" s="155" t="s">
        <v>7027</v>
      </c>
      <c r="F934" s="57">
        <v>1200</v>
      </c>
      <c r="G934" s="57">
        <v>136032</v>
      </c>
      <c r="H934" s="107"/>
      <c r="I934" s="8" t="s">
        <v>11723</v>
      </c>
    </row>
    <row r="935" spans="1:9" customFormat="1" ht="46.5" customHeight="1" x14ac:dyDescent="0.2">
      <c r="A935" s="12" t="s">
        <v>9069</v>
      </c>
      <c r="B935" s="12" t="s">
        <v>8376</v>
      </c>
      <c r="C935" s="667" t="s">
        <v>9993</v>
      </c>
      <c r="D935" s="12" t="s">
        <v>9061</v>
      </c>
      <c r="E935" s="155" t="s">
        <v>7027</v>
      </c>
      <c r="F935" s="57">
        <v>1200</v>
      </c>
      <c r="G935" s="57">
        <v>136032</v>
      </c>
      <c r="H935" s="107"/>
      <c r="I935" s="8" t="s">
        <v>11723</v>
      </c>
    </row>
    <row r="936" spans="1:9" customFormat="1" ht="46.5" customHeight="1" x14ac:dyDescent="0.2">
      <c r="A936" s="12" t="s">
        <v>9070</v>
      </c>
      <c r="B936" s="12" t="s">
        <v>8376</v>
      </c>
      <c r="C936" s="667" t="s">
        <v>9992</v>
      </c>
      <c r="D936" s="12" t="s">
        <v>9090</v>
      </c>
      <c r="E936" s="155" t="s">
        <v>7027</v>
      </c>
      <c r="F936" s="57">
        <v>1200</v>
      </c>
      <c r="G936" s="57">
        <v>136032</v>
      </c>
      <c r="H936" s="107"/>
      <c r="I936" s="8" t="s">
        <v>11723</v>
      </c>
    </row>
    <row r="937" spans="1:9" s="67" customFormat="1" ht="46.5" customHeight="1" x14ac:dyDescent="0.2">
      <c r="A937" s="12" t="s">
        <v>9071</v>
      </c>
      <c r="B937" s="12" t="s">
        <v>8376</v>
      </c>
      <c r="C937" s="667" t="s">
        <v>9991</v>
      </c>
      <c r="D937" s="12" t="s">
        <v>9088</v>
      </c>
      <c r="E937" s="155" t="s">
        <v>7027</v>
      </c>
      <c r="F937" s="57">
        <v>1127</v>
      </c>
      <c r="G937" s="57">
        <v>127756.72</v>
      </c>
      <c r="H937" s="629"/>
      <c r="I937" s="629"/>
    </row>
    <row r="938" spans="1:9" s="67" customFormat="1" ht="46.5" customHeight="1" x14ac:dyDescent="0.2">
      <c r="A938" s="12" t="s">
        <v>9072</v>
      </c>
      <c r="B938" s="12" t="s">
        <v>8376</v>
      </c>
      <c r="C938" s="667" t="s">
        <v>9990</v>
      </c>
      <c r="D938" s="12" t="s">
        <v>9091</v>
      </c>
      <c r="E938" s="155" t="s">
        <v>7027</v>
      </c>
      <c r="F938" s="57">
        <v>1200</v>
      </c>
      <c r="G938" s="57">
        <v>136032</v>
      </c>
      <c r="H938" s="629"/>
      <c r="I938" s="8" t="s">
        <v>11723</v>
      </c>
    </row>
    <row r="939" spans="1:9" s="67" customFormat="1" ht="46.5" customHeight="1" x14ac:dyDescent="0.2">
      <c r="A939" s="12" t="s">
        <v>9073</v>
      </c>
      <c r="B939" s="12" t="s">
        <v>8376</v>
      </c>
      <c r="C939" s="667" t="s">
        <v>9989</v>
      </c>
      <c r="D939" s="12" t="s">
        <v>9087</v>
      </c>
      <c r="E939" s="155" t="s">
        <v>7027</v>
      </c>
      <c r="F939" s="57">
        <v>1201</v>
      </c>
      <c r="G939" s="57">
        <v>136145.35999999999</v>
      </c>
      <c r="H939" s="629"/>
      <c r="I939" s="629"/>
    </row>
    <row r="940" spans="1:9" customFormat="1" ht="46.5" customHeight="1" x14ac:dyDescent="0.2">
      <c r="A940" s="12" t="s">
        <v>9074</v>
      </c>
      <c r="B940" s="12" t="s">
        <v>8376</v>
      </c>
      <c r="C940" s="667" t="s">
        <v>9988</v>
      </c>
      <c r="D940" s="12" t="s">
        <v>9085</v>
      </c>
      <c r="E940" s="155" t="s">
        <v>7027</v>
      </c>
      <c r="F940" s="57">
        <v>1200</v>
      </c>
      <c r="G940" s="57">
        <v>136032</v>
      </c>
      <c r="H940" s="107"/>
      <c r="I940" s="8" t="s">
        <v>11723</v>
      </c>
    </row>
    <row r="941" spans="1:9" customFormat="1" ht="46.5" customHeight="1" x14ac:dyDescent="0.2">
      <c r="A941" s="12" t="s">
        <v>9075</v>
      </c>
      <c r="B941" s="12" t="s">
        <v>8376</v>
      </c>
      <c r="C941" s="667" t="s">
        <v>9987</v>
      </c>
      <c r="D941" s="12" t="s">
        <v>9086</v>
      </c>
      <c r="E941" s="155" t="s">
        <v>7027</v>
      </c>
      <c r="F941" s="57">
        <v>1200</v>
      </c>
      <c r="G941" s="57">
        <v>136032</v>
      </c>
      <c r="H941" s="107"/>
      <c r="I941" s="8" t="s">
        <v>11723</v>
      </c>
    </row>
    <row r="942" spans="1:9" s="67" customFormat="1" ht="46.5" customHeight="1" x14ac:dyDescent="0.2">
      <c r="A942" s="12" t="s">
        <v>9076</v>
      </c>
      <c r="B942" s="12" t="s">
        <v>8376</v>
      </c>
      <c r="C942" s="667" t="s">
        <v>9986</v>
      </c>
      <c r="D942" s="12" t="s">
        <v>9089</v>
      </c>
      <c r="E942" s="155" t="s">
        <v>7027</v>
      </c>
      <c r="F942" s="57">
        <v>1200</v>
      </c>
      <c r="G942" s="57">
        <v>136032</v>
      </c>
      <c r="H942" s="629"/>
      <c r="I942" s="8" t="s">
        <v>11723</v>
      </c>
    </row>
    <row r="943" spans="1:9" customFormat="1" ht="46.5" customHeight="1" x14ac:dyDescent="0.2">
      <c r="A943" s="12" t="s">
        <v>9077</v>
      </c>
      <c r="B943" s="12" t="s">
        <v>8376</v>
      </c>
      <c r="C943" s="667" t="s">
        <v>9985</v>
      </c>
      <c r="D943" s="12" t="s">
        <v>9081</v>
      </c>
      <c r="E943" s="155" t="s">
        <v>7027</v>
      </c>
      <c r="F943" s="57">
        <v>1200</v>
      </c>
      <c r="G943" s="57">
        <v>136032</v>
      </c>
      <c r="H943" s="107"/>
      <c r="I943" s="8" t="s">
        <v>11723</v>
      </c>
    </row>
    <row r="944" spans="1:9" customFormat="1" ht="46.5" customHeight="1" x14ac:dyDescent="0.2">
      <c r="A944" s="12" t="s">
        <v>9078</v>
      </c>
      <c r="B944" s="12" t="s">
        <v>8376</v>
      </c>
      <c r="C944" s="667" t="s">
        <v>9984</v>
      </c>
      <c r="D944" s="12" t="s">
        <v>9082</v>
      </c>
      <c r="E944" s="155" t="s">
        <v>7027</v>
      </c>
      <c r="F944" s="57">
        <v>1200</v>
      </c>
      <c r="G944" s="57">
        <v>136032</v>
      </c>
      <c r="H944" s="107"/>
      <c r="I944" s="8" t="s">
        <v>11723</v>
      </c>
    </row>
    <row r="945" spans="1:9" customFormat="1" ht="46.5" customHeight="1" x14ac:dyDescent="0.2">
      <c r="A945" s="12" t="s">
        <v>9092</v>
      </c>
      <c r="B945" s="12" t="s">
        <v>8376</v>
      </c>
      <c r="C945" s="667" t="s">
        <v>9983</v>
      </c>
      <c r="D945" s="12" t="s">
        <v>9079</v>
      </c>
      <c r="E945" s="155" t="s">
        <v>7027</v>
      </c>
      <c r="F945" s="57">
        <v>1200</v>
      </c>
      <c r="G945" s="57">
        <v>136032</v>
      </c>
      <c r="H945" s="107"/>
      <c r="I945" s="8" t="s">
        <v>11723</v>
      </c>
    </row>
    <row r="946" spans="1:9" customFormat="1" ht="46.5" customHeight="1" x14ac:dyDescent="0.2">
      <c r="A946" s="12" t="s">
        <v>9093</v>
      </c>
      <c r="B946" s="12" t="s">
        <v>8376</v>
      </c>
      <c r="C946" s="259" t="s">
        <v>9982</v>
      </c>
      <c r="D946" s="12" t="s">
        <v>9028</v>
      </c>
      <c r="E946" s="155" t="s">
        <v>7027</v>
      </c>
      <c r="F946" s="57">
        <v>1200</v>
      </c>
      <c r="G946" s="57">
        <v>136032</v>
      </c>
      <c r="H946" s="107"/>
      <c r="I946" s="8" t="s">
        <v>11723</v>
      </c>
    </row>
    <row r="947" spans="1:9" customFormat="1" ht="46.5" customHeight="1" x14ac:dyDescent="0.2">
      <c r="A947" s="12" t="s">
        <v>9094</v>
      </c>
      <c r="B947" s="12" t="s">
        <v>8376</v>
      </c>
      <c r="C947" s="667" t="s">
        <v>9981</v>
      </c>
      <c r="D947" s="12" t="s">
        <v>9084</v>
      </c>
      <c r="E947" s="155" t="s">
        <v>7027</v>
      </c>
      <c r="F947" s="57">
        <v>1200</v>
      </c>
      <c r="G947" s="57">
        <v>136032</v>
      </c>
      <c r="H947" s="107"/>
      <c r="I947" s="8" t="s">
        <v>11723</v>
      </c>
    </row>
    <row r="948" spans="1:9" customFormat="1" ht="46.5" customHeight="1" x14ac:dyDescent="0.2">
      <c r="A948" s="12" t="s">
        <v>9095</v>
      </c>
      <c r="B948" s="12" t="s">
        <v>8376</v>
      </c>
      <c r="C948" s="667" t="s">
        <v>9980</v>
      </c>
      <c r="D948" s="12" t="s">
        <v>9083</v>
      </c>
      <c r="E948" s="155" t="s">
        <v>7027</v>
      </c>
      <c r="F948" s="57">
        <v>1200</v>
      </c>
      <c r="G948" s="57">
        <v>136032</v>
      </c>
      <c r="H948" s="107"/>
      <c r="I948" s="8" t="s">
        <v>11723</v>
      </c>
    </row>
    <row r="949" spans="1:9" customFormat="1" ht="46.5" customHeight="1" x14ac:dyDescent="0.2">
      <c r="A949" s="12" t="s">
        <v>9096</v>
      </c>
      <c r="B949" s="12" t="s">
        <v>8376</v>
      </c>
      <c r="C949" s="667" t="s">
        <v>9979</v>
      </c>
      <c r="D949" s="12" t="s">
        <v>9080</v>
      </c>
      <c r="E949" s="155" t="s">
        <v>7027</v>
      </c>
      <c r="F949" s="57">
        <v>1200</v>
      </c>
      <c r="G949" s="57">
        <v>136032</v>
      </c>
      <c r="H949" s="107"/>
      <c r="I949" s="8" t="s">
        <v>11723</v>
      </c>
    </row>
    <row r="950" spans="1:9" customFormat="1" ht="46.5" customHeight="1" x14ac:dyDescent="0.2">
      <c r="A950" s="12" t="s">
        <v>9127</v>
      </c>
      <c r="B950" s="12" t="s">
        <v>8376</v>
      </c>
      <c r="C950" s="667" t="s">
        <v>9978</v>
      </c>
      <c r="D950" s="12" t="s">
        <v>9133</v>
      </c>
      <c r="E950" s="155" t="s">
        <v>7027</v>
      </c>
      <c r="F950" s="57">
        <v>1200</v>
      </c>
      <c r="G950" s="57">
        <v>136032</v>
      </c>
      <c r="H950" s="107"/>
      <c r="I950" s="8" t="s">
        <v>11723</v>
      </c>
    </row>
    <row r="951" spans="1:9" customFormat="1" ht="46.5" customHeight="1" x14ac:dyDescent="0.2">
      <c r="A951" s="12" t="s">
        <v>9128</v>
      </c>
      <c r="B951" s="12" t="s">
        <v>8376</v>
      </c>
      <c r="C951" s="667" t="s">
        <v>9977</v>
      </c>
      <c r="D951" s="12" t="s">
        <v>9137</v>
      </c>
      <c r="E951" s="155" t="s">
        <v>7027</v>
      </c>
      <c r="F951" s="57">
        <v>1200</v>
      </c>
      <c r="G951" s="57">
        <v>136032</v>
      </c>
      <c r="H951" s="107"/>
      <c r="I951" s="8" t="s">
        <v>11723</v>
      </c>
    </row>
    <row r="952" spans="1:9" customFormat="1" ht="46.5" customHeight="1" x14ac:dyDescent="0.2">
      <c r="A952" s="12" t="s">
        <v>9129</v>
      </c>
      <c r="B952" s="12" t="s">
        <v>8376</v>
      </c>
      <c r="C952" s="667" t="s">
        <v>9976</v>
      </c>
      <c r="D952" s="12" t="s">
        <v>9139</v>
      </c>
      <c r="E952" s="155" t="s">
        <v>7027</v>
      </c>
      <c r="F952" s="57">
        <v>1200</v>
      </c>
      <c r="G952" s="57">
        <v>136032</v>
      </c>
      <c r="H952" s="107"/>
      <c r="I952" s="8" t="s">
        <v>11723</v>
      </c>
    </row>
    <row r="953" spans="1:9" customFormat="1" ht="46.5" customHeight="1" x14ac:dyDescent="0.2">
      <c r="A953" s="12" t="s">
        <v>9130</v>
      </c>
      <c r="B953" s="12" t="s">
        <v>8376</v>
      </c>
      <c r="C953" s="667" t="s">
        <v>9975</v>
      </c>
      <c r="D953" s="12" t="s">
        <v>9138</v>
      </c>
      <c r="E953" s="155" t="s">
        <v>7027</v>
      </c>
      <c r="F953" s="57">
        <v>1200</v>
      </c>
      <c r="G953" s="57">
        <v>136032</v>
      </c>
      <c r="H953" s="107"/>
      <c r="I953" s="8" t="s">
        <v>11723</v>
      </c>
    </row>
    <row r="954" spans="1:9" customFormat="1" ht="46.5" customHeight="1" x14ac:dyDescent="0.2">
      <c r="A954" s="12" t="s">
        <v>9131</v>
      </c>
      <c r="B954" s="12" t="s">
        <v>8376</v>
      </c>
      <c r="C954" s="667" t="s">
        <v>9974</v>
      </c>
      <c r="D954" s="12" t="s">
        <v>9140</v>
      </c>
      <c r="E954" s="155" t="s">
        <v>7027</v>
      </c>
      <c r="F954" s="57">
        <v>1200</v>
      </c>
      <c r="G954" s="57">
        <v>136032</v>
      </c>
      <c r="H954" s="107"/>
      <c r="I954" s="8" t="s">
        <v>11723</v>
      </c>
    </row>
    <row r="955" spans="1:9" customFormat="1" ht="46.5" customHeight="1" x14ac:dyDescent="0.2">
      <c r="A955" s="12" t="s">
        <v>9132</v>
      </c>
      <c r="B955" s="12" t="s">
        <v>8376</v>
      </c>
      <c r="C955" s="667" t="s">
        <v>9973</v>
      </c>
      <c r="D955" s="12" t="s">
        <v>9141</v>
      </c>
      <c r="E955" s="155" t="s">
        <v>7027</v>
      </c>
      <c r="F955" s="57">
        <v>1200</v>
      </c>
      <c r="G955" s="57">
        <v>136032</v>
      </c>
      <c r="H955" s="107"/>
      <c r="I955" s="8" t="s">
        <v>11723</v>
      </c>
    </row>
    <row r="956" spans="1:9" customFormat="1" ht="46.5" customHeight="1" x14ac:dyDescent="0.2">
      <c r="A956" s="12" t="s">
        <v>9134</v>
      </c>
      <c r="B956" s="12" t="s">
        <v>8376</v>
      </c>
      <c r="C956" s="667" t="s">
        <v>9972</v>
      </c>
      <c r="D956" s="12" t="s">
        <v>9143</v>
      </c>
      <c r="E956" s="155" t="s">
        <v>7027</v>
      </c>
      <c r="F956" s="57">
        <v>1200</v>
      </c>
      <c r="G956" s="57">
        <v>136032</v>
      </c>
      <c r="H956" s="107"/>
      <c r="I956" s="8" t="s">
        <v>11723</v>
      </c>
    </row>
    <row r="957" spans="1:9" customFormat="1" ht="46.5" customHeight="1" x14ac:dyDescent="0.2">
      <c r="A957" s="12" t="s">
        <v>9135</v>
      </c>
      <c r="B957" s="12" t="s">
        <v>8376</v>
      </c>
      <c r="C957" s="667" t="s">
        <v>9145</v>
      </c>
      <c r="D957" s="12" t="s">
        <v>9144</v>
      </c>
      <c r="E957" s="155" t="s">
        <v>7027</v>
      </c>
      <c r="F957" s="57">
        <v>1200</v>
      </c>
      <c r="G957" s="57">
        <v>136032</v>
      </c>
      <c r="H957" s="107"/>
      <c r="I957" s="8" t="s">
        <v>11723</v>
      </c>
    </row>
    <row r="958" spans="1:9" customFormat="1" ht="46.5" customHeight="1" x14ac:dyDescent="0.2">
      <c r="A958" s="12" t="s">
        <v>9136</v>
      </c>
      <c r="B958" s="12" t="s">
        <v>8376</v>
      </c>
      <c r="C958" s="667" t="s">
        <v>9971</v>
      </c>
      <c r="D958" s="12" t="s">
        <v>9142</v>
      </c>
      <c r="E958" s="155" t="s">
        <v>7027</v>
      </c>
      <c r="F958" s="57">
        <v>1200</v>
      </c>
      <c r="G958" s="57">
        <v>136032</v>
      </c>
      <c r="H958" s="107"/>
      <c r="I958" s="8" t="s">
        <v>11723</v>
      </c>
    </row>
    <row r="959" spans="1:9" customFormat="1" ht="46.5" customHeight="1" x14ac:dyDescent="0.2">
      <c r="A959" s="12" t="s">
        <v>9161</v>
      </c>
      <c r="B959" s="12" t="s">
        <v>8376</v>
      </c>
      <c r="C959" s="667" t="s">
        <v>9970</v>
      </c>
      <c r="D959" s="12" t="s">
        <v>9181</v>
      </c>
      <c r="E959" s="155" t="s">
        <v>7027</v>
      </c>
      <c r="F959" s="57">
        <v>1200</v>
      </c>
      <c r="G959" s="57">
        <v>136032</v>
      </c>
      <c r="H959" s="107"/>
      <c r="I959" s="8" t="s">
        <v>11723</v>
      </c>
    </row>
    <row r="960" spans="1:9" customFormat="1" ht="46.5" customHeight="1" x14ac:dyDescent="0.2">
      <c r="A960" s="12" t="s">
        <v>9162</v>
      </c>
      <c r="B960" s="12" t="s">
        <v>8376</v>
      </c>
      <c r="C960" s="667" t="s">
        <v>9969</v>
      </c>
      <c r="D960" s="12" t="s">
        <v>9182</v>
      </c>
      <c r="E960" s="155" t="s">
        <v>7027</v>
      </c>
      <c r="F960" s="57">
        <v>1200</v>
      </c>
      <c r="G960" s="57">
        <v>136032</v>
      </c>
      <c r="H960" s="107"/>
      <c r="I960" s="8" t="s">
        <v>11723</v>
      </c>
    </row>
    <row r="961" spans="1:9" customFormat="1" ht="46.5" customHeight="1" x14ac:dyDescent="0.2">
      <c r="A961" s="12" t="s">
        <v>9163</v>
      </c>
      <c r="B961" s="12" t="s">
        <v>8376</v>
      </c>
      <c r="C961" s="667" t="s">
        <v>9968</v>
      </c>
      <c r="D961" s="12" t="s">
        <v>9183</v>
      </c>
      <c r="E961" s="155" t="s">
        <v>7027</v>
      </c>
      <c r="F961" s="57">
        <v>1200</v>
      </c>
      <c r="G961" s="57">
        <v>136032</v>
      </c>
      <c r="H961" s="107"/>
      <c r="I961" s="8" t="s">
        <v>11723</v>
      </c>
    </row>
    <row r="962" spans="1:9" customFormat="1" ht="46.5" customHeight="1" x14ac:dyDescent="0.2">
      <c r="A962" s="12" t="s">
        <v>9164</v>
      </c>
      <c r="B962" s="12" t="s">
        <v>8376</v>
      </c>
      <c r="C962" s="667" t="s">
        <v>9967</v>
      </c>
      <c r="D962" s="12" t="s">
        <v>9184</v>
      </c>
      <c r="E962" s="155" t="s">
        <v>7027</v>
      </c>
      <c r="F962" s="57">
        <v>1200</v>
      </c>
      <c r="G962" s="57">
        <v>136032</v>
      </c>
      <c r="H962" s="107"/>
      <c r="I962" s="8" t="s">
        <v>11723</v>
      </c>
    </row>
    <row r="963" spans="1:9" customFormat="1" ht="46.5" customHeight="1" x14ac:dyDescent="0.2">
      <c r="A963" s="12" t="s">
        <v>9165</v>
      </c>
      <c r="B963" s="12" t="s">
        <v>8376</v>
      </c>
      <c r="C963" s="667" t="s">
        <v>9966</v>
      </c>
      <c r="D963" s="12" t="s">
        <v>9185</v>
      </c>
      <c r="E963" s="155" t="s">
        <v>7027</v>
      </c>
      <c r="F963" s="57">
        <v>1200</v>
      </c>
      <c r="G963" s="57">
        <v>136032</v>
      </c>
      <c r="H963" s="107"/>
      <c r="I963" s="8" t="s">
        <v>11723</v>
      </c>
    </row>
    <row r="964" spans="1:9" customFormat="1" ht="46.5" customHeight="1" x14ac:dyDescent="0.2">
      <c r="A964" s="12" t="s">
        <v>9166</v>
      </c>
      <c r="B964" s="12" t="s">
        <v>8376</v>
      </c>
      <c r="C964" s="667" t="s">
        <v>9965</v>
      </c>
      <c r="D964" s="12" t="s">
        <v>9186</v>
      </c>
      <c r="E964" s="155" t="s">
        <v>7027</v>
      </c>
      <c r="F964" s="57">
        <v>1200</v>
      </c>
      <c r="G964" s="57">
        <v>136032</v>
      </c>
      <c r="H964" s="107"/>
      <c r="I964" s="8" t="s">
        <v>11723</v>
      </c>
    </row>
    <row r="965" spans="1:9" customFormat="1" ht="46.5" customHeight="1" x14ac:dyDescent="0.2">
      <c r="A965" s="12" t="s">
        <v>9167</v>
      </c>
      <c r="B965" s="12" t="s">
        <v>8376</v>
      </c>
      <c r="C965" s="667" t="s">
        <v>9964</v>
      </c>
      <c r="D965" s="12" t="s">
        <v>9187</v>
      </c>
      <c r="E965" s="155" t="s">
        <v>7027</v>
      </c>
      <c r="F965" s="57">
        <v>1200</v>
      </c>
      <c r="G965" s="57">
        <v>136032</v>
      </c>
      <c r="H965" s="107"/>
      <c r="I965" s="8" t="s">
        <v>11723</v>
      </c>
    </row>
    <row r="966" spans="1:9" customFormat="1" ht="46.5" customHeight="1" x14ac:dyDescent="0.2">
      <c r="A966" s="12" t="s">
        <v>9168</v>
      </c>
      <c r="B966" s="12" t="s">
        <v>8376</v>
      </c>
      <c r="C966" s="667" t="s">
        <v>9963</v>
      </c>
      <c r="D966" s="12" t="s">
        <v>9204</v>
      </c>
      <c r="E966" s="155" t="s">
        <v>7027</v>
      </c>
      <c r="F966" s="57">
        <v>1200</v>
      </c>
      <c r="G966" s="57">
        <v>136032</v>
      </c>
      <c r="H966" s="107"/>
      <c r="I966" s="8" t="s">
        <v>11723</v>
      </c>
    </row>
    <row r="967" spans="1:9" customFormat="1" ht="46.5" customHeight="1" x14ac:dyDescent="0.2">
      <c r="A967" s="12" t="s">
        <v>9169</v>
      </c>
      <c r="B967" s="12" t="s">
        <v>8376</v>
      </c>
      <c r="C967" s="667" t="s">
        <v>9962</v>
      </c>
      <c r="D967" s="12" t="s">
        <v>9205</v>
      </c>
      <c r="E967" s="155" t="s">
        <v>7027</v>
      </c>
      <c r="F967" s="57">
        <v>1200</v>
      </c>
      <c r="G967" s="57">
        <v>136032</v>
      </c>
      <c r="H967" s="107"/>
      <c r="I967" s="8" t="s">
        <v>11723</v>
      </c>
    </row>
    <row r="968" spans="1:9" customFormat="1" ht="46.5" customHeight="1" x14ac:dyDescent="0.2">
      <c r="A968" s="12" t="s">
        <v>9170</v>
      </c>
      <c r="B968" s="12" t="s">
        <v>8376</v>
      </c>
      <c r="C968" s="667" t="s">
        <v>9961</v>
      </c>
      <c r="D968" s="12" t="s">
        <v>9188</v>
      </c>
      <c r="E968" s="155" t="s">
        <v>7027</v>
      </c>
      <c r="F968" s="57">
        <v>1200</v>
      </c>
      <c r="G968" s="57">
        <v>136032</v>
      </c>
      <c r="H968" s="107"/>
      <c r="I968" s="8" t="s">
        <v>11723</v>
      </c>
    </row>
    <row r="969" spans="1:9" customFormat="1" ht="46.5" customHeight="1" x14ac:dyDescent="0.2">
      <c r="A969" s="12" t="s">
        <v>9171</v>
      </c>
      <c r="B969" s="12" t="s">
        <v>8376</v>
      </c>
      <c r="C969" s="667" t="s">
        <v>9960</v>
      </c>
      <c r="D969" s="12" t="s">
        <v>9189</v>
      </c>
      <c r="E969" s="155" t="s">
        <v>7027</v>
      </c>
      <c r="F969" s="57">
        <v>1200</v>
      </c>
      <c r="G969" s="57">
        <v>136032</v>
      </c>
      <c r="H969" s="107"/>
      <c r="I969" s="8" t="s">
        <v>11723</v>
      </c>
    </row>
    <row r="970" spans="1:9" customFormat="1" ht="46.5" customHeight="1" x14ac:dyDescent="0.2">
      <c r="A970" s="12" t="s">
        <v>9172</v>
      </c>
      <c r="B970" s="12" t="s">
        <v>8376</v>
      </c>
      <c r="C970" s="667" t="s">
        <v>9959</v>
      </c>
      <c r="D970" s="12" t="s">
        <v>9190</v>
      </c>
      <c r="E970" s="155" t="s">
        <v>7027</v>
      </c>
      <c r="F970" s="57">
        <v>1200</v>
      </c>
      <c r="G970" s="57">
        <v>136032</v>
      </c>
      <c r="H970" s="107"/>
      <c r="I970" s="8" t="s">
        <v>11723</v>
      </c>
    </row>
    <row r="971" spans="1:9" customFormat="1" ht="46.5" customHeight="1" x14ac:dyDescent="0.2">
      <c r="A971" s="12" t="s">
        <v>9173</v>
      </c>
      <c r="B971" s="12" t="s">
        <v>8376</v>
      </c>
      <c r="C971" s="667" t="s">
        <v>9958</v>
      </c>
      <c r="D971" s="12" t="s">
        <v>9191</v>
      </c>
      <c r="E971" s="155" t="s">
        <v>7027</v>
      </c>
      <c r="F971" s="57">
        <v>1200</v>
      </c>
      <c r="G971" s="57">
        <v>136032</v>
      </c>
      <c r="H971" s="107"/>
      <c r="I971" s="8" t="s">
        <v>11723</v>
      </c>
    </row>
    <row r="972" spans="1:9" customFormat="1" ht="46.5" customHeight="1" x14ac:dyDescent="0.2">
      <c r="A972" s="12" t="s">
        <v>9174</v>
      </c>
      <c r="B972" s="12" t="s">
        <v>8376</v>
      </c>
      <c r="C972" s="667" t="s">
        <v>9957</v>
      </c>
      <c r="D972" s="12" t="s">
        <v>9192</v>
      </c>
      <c r="E972" s="155" t="s">
        <v>7027</v>
      </c>
      <c r="F972" s="57">
        <v>1200</v>
      </c>
      <c r="G972" s="57">
        <v>136032</v>
      </c>
      <c r="H972" s="107"/>
      <c r="I972" s="8" t="s">
        <v>11723</v>
      </c>
    </row>
    <row r="973" spans="1:9" customFormat="1" ht="46.5" customHeight="1" x14ac:dyDescent="0.2">
      <c r="A973" s="12" t="s">
        <v>9175</v>
      </c>
      <c r="B973" s="12" t="s">
        <v>8376</v>
      </c>
      <c r="C973" s="667" t="s">
        <v>9956</v>
      </c>
      <c r="D973" s="12" t="s">
        <v>9193</v>
      </c>
      <c r="E973" s="155" t="s">
        <v>7027</v>
      </c>
      <c r="F973" s="57">
        <v>1200</v>
      </c>
      <c r="G973" s="57">
        <v>136032</v>
      </c>
      <c r="H973" s="107"/>
      <c r="I973" s="8" t="s">
        <v>11723</v>
      </c>
    </row>
    <row r="974" spans="1:9" customFormat="1" ht="46.5" customHeight="1" x14ac:dyDescent="0.2">
      <c r="A974" s="12" t="s">
        <v>9176</v>
      </c>
      <c r="B974" s="12" t="s">
        <v>8376</v>
      </c>
      <c r="C974" s="667" t="s">
        <v>9955</v>
      </c>
      <c r="D974" s="12" t="s">
        <v>9206</v>
      </c>
      <c r="E974" s="155" t="s">
        <v>7027</v>
      </c>
      <c r="F974" s="57">
        <v>1200</v>
      </c>
      <c r="G974" s="57">
        <v>136032</v>
      </c>
      <c r="H974" s="107"/>
      <c r="I974" s="8" t="s">
        <v>11723</v>
      </c>
    </row>
    <row r="975" spans="1:9" customFormat="1" ht="46.5" customHeight="1" x14ac:dyDescent="0.2">
      <c r="A975" s="12" t="s">
        <v>9177</v>
      </c>
      <c r="B975" s="12" t="s">
        <v>8376</v>
      </c>
      <c r="C975" s="667" t="s">
        <v>9954</v>
      </c>
      <c r="D975" s="12" t="s">
        <v>9207</v>
      </c>
      <c r="E975" s="155" t="s">
        <v>7027</v>
      </c>
      <c r="F975" s="57">
        <v>1200</v>
      </c>
      <c r="G975" s="57">
        <v>136032</v>
      </c>
      <c r="H975" s="107"/>
      <c r="I975" s="8" t="s">
        <v>11723</v>
      </c>
    </row>
    <row r="976" spans="1:9" customFormat="1" ht="46.5" customHeight="1" x14ac:dyDescent="0.2">
      <c r="A976" s="12" t="s">
        <v>9178</v>
      </c>
      <c r="B976" s="12" t="s">
        <v>8376</v>
      </c>
      <c r="C976" s="667" t="s">
        <v>9953</v>
      </c>
      <c r="D976" s="12" t="s">
        <v>9208</v>
      </c>
      <c r="E976" s="155" t="s">
        <v>7027</v>
      </c>
      <c r="F976" s="57">
        <v>1200</v>
      </c>
      <c r="G976" s="57">
        <v>136032</v>
      </c>
      <c r="H976" s="107"/>
      <c r="I976" s="8" t="s">
        <v>11723</v>
      </c>
    </row>
    <row r="977" spans="1:9" customFormat="1" ht="46.5" customHeight="1" x14ac:dyDescent="0.2">
      <c r="A977" s="12" t="s">
        <v>9179</v>
      </c>
      <c r="B977" s="12" t="s">
        <v>8376</v>
      </c>
      <c r="C977" s="667" t="s">
        <v>9952</v>
      </c>
      <c r="D977" s="12" t="s">
        <v>9209</v>
      </c>
      <c r="E977" s="155" t="s">
        <v>7027</v>
      </c>
      <c r="F977" s="57">
        <v>1200</v>
      </c>
      <c r="G977" s="57">
        <v>136032</v>
      </c>
      <c r="H977" s="107"/>
      <c r="I977" s="8" t="s">
        <v>11723</v>
      </c>
    </row>
    <row r="978" spans="1:9" customFormat="1" ht="46.5" customHeight="1" x14ac:dyDescent="0.2">
      <c r="A978" s="12" t="s">
        <v>9180</v>
      </c>
      <c r="B978" s="12" t="s">
        <v>8376</v>
      </c>
      <c r="C978" s="667" t="s">
        <v>9951</v>
      </c>
      <c r="D978" s="12" t="s">
        <v>9194</v>
      </c>
      <c r="E978" s="155" t="s">
        <v>7027</v>
      </c>
      <c r="F978" s="57">
        <v>1200</v>
      </c>
      <c r="G978" s="57">
        <v>136032</v>
      </c>
      <c r="H978" s="107"/>
      <c r="I978" s="8" t="s">
        <v>11723</v>
      </c>
    </row>
    <row r="979" spans="1:9" customFormat="1" ht="46.5" customHeight="1" x14ac:dyDescent="0.2">
      <c r="A979" s="12" t="s">
        <v>9213</v>
      </c>
      <c r="B979" s="12" t="s">
        <v>8376</v>
      </c>
      <c r="C979" s="667" t="s">
        <v>9936</v>
      </c>
      <c r="D979" s="12" t="s">
        <v>9210</v>
      </c>
      <c r="E979" s="155" t="s">
        <v>7027</v>
      </c>
      <c r="F979" s="57">
        <v>1200</v>
      </c>
      <c r="G979" s="57">
        <v>136032</v>
      </c>
      <c r="H979" s="107"/>
      <c r="I979" s="8" t="s">
        <v>11723</v>
      </c>
    </row>
    <row r="980" spans="1:9" customFormat="1" ht="46.5" customHeight="1" x14ac:dyDescent="0.2">
      <c r="A980" s="12" t="s">
        <v>9214</v>
      </c>
      <c r="B980" s="12" t="s">
        <v>8376</v>
      </c>
      <c r="C980" s="667" t="s">
        <v>9935</v>
      </c>
      <c r="D980" s="12" t="s">
        <v>9211</v>
      </c>
      <c r="E980" s="155" t="s">
        <v>7027</v>
      </c>
      <c r="F980" s="57">
        <v>1200</v>
      </c>
      <c r="G980" s="57">
        <v>136032</v>
      </c>
      <c r="H980" s="107"/>
      <c r="I980" s="8" t="s">
        <v>11723</v>
      </c>
    </row>
    <row r="981" spans="1:9" customFormat="1" ht="46.5" customHeight="1" x14ac:dyDescent="0.2">
      <c r="A981" s="12" t="s">
        <v>9215</v>
      </c>
      <c r="B981" s="12" t="s">
        <v>8376</v>
      </c>
      <c r="C981" s="667" t="s">
        <v>9934</v>
      </c>
      <c r="D981" s="12" t="s">
        <v>9212</v>
      </c>
      <c r="E981" s="155" t="s">
        <v>7027</v>
      </c>
      <c r="F981" s="57">
        <v>1200</v>
      </c>
      <c r="G981" s="57">
        <v>136032</v>
      </c>
      <c r="H981" s="107"/>
      <c r="I981" s="8" t="s">
        <v>11723</v>
      </c>
    </row>
    <row r="982" spans="1:9" customFormat="1" ht="46.5" customHeight="1" x14ac:dyDescent="0.2">
      <c r="A982" s="12" t="s">
        <v>9216</v>
      </c>
      <c r="B982" s="12" t="s">
        <v>8376</v>
      </c>
      <c r="C982" s="667" t="s">
        <v>9933</v>
      </c>
      <c r="D982" s="12" t="s">
        <v>9195</v>
      </c>
      <c r="E982" s="155" t="s">
        <v>7027</v>
      </c>
      <c r="F982" s="57">
        <v>1200</v>
      </c>
      <c r="G982" s="57">
        <v>136032</v>
      </c>
      <c r="H982" s="107"/>
      <c r="I982" s="8" t="s">
        <v>11723</v>
      </c>
    </row>
    <row r="983" spans="1:9" customFormat="1" ht="46.5" customHeight="1" x14ac:dyDescent="0.2">
      <c r="A983" s="12" t="s">
        <v>9217</v>
      </c>
      <c r="B983" s="12" t="s">
        <v>8376</v>
      </c>
      <c r="C983" s="667" t="s">
        <v>9932</v>
      </c>
      <c r="D983" s="12" t="s">
        <v>9196</v>
      </c>
      <c r="E983" s="155" t="s">
        <v>7027</v>
      </c>
      <c r="F983" s="57">
        <v>1200</v>
      </c>
      <c r="G983" s="57">
        <v>136032</v>
      </c>
      <c r="H983" s="107"/>
      <c r="I983" s="8" t="s">
        <v>11723</v>
      </c>
    </row>
    <row r="984" spans="1:9" customFormat="1" ht="46.5" customHeight="1" x14ac:dyDescent="0.2">
      <c r="A984" s="12" t="s">
        <v>9218</v>
      </c>
      <c r="B984" s="12" t="s">
        <v>8376</v>
      </c>
      <c r="C984" s="667" t="s">
        <v>9931</v>
      </c>
      <c r="D984" s="12" t="s">
        <v>9197</v>
      </c>
      <c r="E984" s="155" t="s">
        <v>7027</v>
      </c>
      <c r="F984" s="57">
        <v>1200</v>
      </c>
      <c r="G984" s="57">
        <v>136032</v>
      </c>
      <c r="H984" s="107"/>
      <c r="I984" s="8" t="s">
        <v>11723</v>
      </c>
    </row>
    <row r="985" spans="1:9" customFormat="1" ht="46.5" customHeight="1" x14ac:dyDescent="0.2">
      <c r="A985" s="12" t="s">
        <v>9219</v>
      </c>
      <c r="B985" s="12" t="s">
        <v>8376</v>
      </c>
      <c r="C985" s="667" t="s">
        <v>9930</v>
      </c>
      <c r="D985" s="12" t="s">
        <v>9198</v>
      </c>
      <c r="E985" s="155" t="s">
        <v>7027</v>
      </c>
      <c r="F985" s="57">
        <v>1200</v>
      </c>
      <c r="G985" s="57">
        <v>136032</v>
      </c>
      <c r="H985" s="107"/>
      <c r="I985" s="8" t="s">
        <v>11723</v>
      </c>
    </row>
    <row r="986" spans="1:9" customFormat="1" ht="46.5" customHeight="1" x14ac:dyDescent="0.2">
      <c r="A986" s="12" t="s">
        <v>9220</v>
      </c>
      <c r="B986" s="12" t="s">
        <v>8376</v>
      </c>
      <c r="C986" s="667" t="s">
        <v>9929</v>
      </c>
      <c r="D986" s="12" t="s">
        <v>9199</v>
      </c>
      <c r="E986" s="155" t="s">
        <v>7027</v>
      </c>
      <c r="F986" s="57">
        <v>1200</v>
      </c>
      <c r="G986" s="57">
        <v>136032</v>
      </c>
      <c r="H986" s="107"/>
      <c r="I986" s="8" t="s">
        <v>11723</v>
      </c>
    </row>
    <row r="987" spans="1:9" customFormat="1" ht="46.5" customHeight="1" x14ac:dyDescent="0.2">
      <c r="A987" s="12" t="s">
        <v>9221</v>
      </c>
      <c r="B987" s="12" t="s">
        <v>8376</v>
      </c>
      <c r="C987" s="667" t="s">
        <v>9928</v>
      </c>
      <c r="D987" s="12" t="s">
        <v>9200</v>
      </c>
      <c r="E987" s="155" t="s">
        <v>7027</v>
      </c>
      <c r="F987" s="57">
        <v>1200</v>
      </c>
      <c r="G987" s="57">
        <v>136032</v>
      </c>
      <c r="H987" s="107"/>
      <c r="I987" s="8" t="s">
        <v>11723</v>
      </c>
    </row>
    <row r="988" spans="1:9" customFormat="1" ht="46.5" customHeight="1" x14ac:dyDescent="0.2">
      <c r="A988" s="12" t="s">
        <v>9222</v>
      </c>
      <c r="B988" s="12" t="s">
        <v>8376</v>
      </c>
      <c r="C988" s="667" t="s">
        <v>9927</v>
      </c>
      <c r="D988" s="12" t="s">
        <v>9201</v>
      </c>
      <c r="E988" s="155" t="s">
        <v>7027</v>
      </c>
      <c r="F988" s="57">
        <v>1200</v>
      </c>
      <c r="G988" s="57">
        <v>136032</v>
      </c>
      <c r="H988" s="107"/>
      <c r="I988" s="8" t="s">
        <v>11723</v>
      </c>
    </row>
    <row r="989" spans="1:9" customFormat="1" ht="46.5" customHeight="1" x14ac:dyDescent="0.2">
      <c r="A989" s="12" t="s">
        <v>9264</v>
      </c>
      <c r="B989" s="12" t="s">
        <v>8376</v>
      </c>
      <c r="C989" s="667" t="s">
        <v>9950</v>
      </c>
      <c r="D989" s="12" t="s">
        <v>9265</v>
      </c>
      <c r="E989" s="155" t="s">
        <v>7027</v>
      </c>
      <c r="F989" s="57">
        <v>1000</v>
      </c>
      <c r="G989" s="57">
        <v>113360</v>
      </c>
      <c r="H989" s="107"/>
      <c r="I989" s="8"/>
    </row>
    <row r="990" spans="1:9" customFormat="1" ht="46.5" customHeight="1" x14ac:dyDescent="0.2">
      <c r="A990" s="12" t="s">
        <v>9266</v>
      </c>
      <c r="B990" s="12" t="s">
        <v>8376</v>
      </c>
      <c r="C990" s="667" t="s">
        <v>9949</v>
      </c>
      <c r="D990" s="12" t="s">
        <v>9267</v>
      </c>
      <c r="E990" s="155" t="s">
        <v>7027</v>
      </c>
      <c r="F990" s="57">
        <v>1000</v>
      </c>
      <c r="G990" s="57">
        <v>113360</v>
      </c>
      <c r="H990" s="107"/>
      <c r="I990" s="8"/>
    </row>
    <row r="991" spans="1:9" customFormat="1" ht="46.5" customHeight="1" x14ac:dyDescent="0.2">
      <c r="A991" s="12" t="s">
        <v>9268</v>
      </c>
      <c r="B991" s="12" t="s">
        <v>8376</v>
      </c>
      <c r="C991" s="667" t="s">
        <v>9948</v>
      </c>
      <c r="D991" s="12" t="s">
        <v>9269</v>
      </c>
      <c r="E991" s="155" t="s">
        <v>7027</v>
      </c>
      <c r="F991" s="57">
        <v>1200</v>
      </c>
      <c r="G991" s="57">
        <v>136032</v>
      </c>
      <c r="H991" s="107"/>
      <c r="I991" s="8" t="s">
        <v>11723</v>
      </c>
    </row>
    <row r="992" spans="1:9" customFormat="1" ht="46.5" customHeight="1" x14ac:dyDescent="0.2">
      <c r="A992" s="12" t="s">
        <v>9270</v>
      </c>
      <c r="B992" s="12" t="s">
        <v>8376</v>
      </c>
      <c r="C992" s="667" t="s">
        <v>9947</v>
      </c>
      <c r="D992" s="12" t="s">
        <v>9271</v>
      </c>
      <c r="E992" s="155" t="s">
        <v>7027</v>
      </c>
      <c r="F992" s="57">
        <v>1200</v>
      </c>
      <c r="G992" s="57">
        <v>136032</v>
      </c>
      <c r="H992" s="107"/>
      <c r="I992" s="8" t="s">
        <v>11723</v>
      </c>
    </row>
    <row r="993" spans="1:9" customFormat="1" ht="46.5" customHeight="1" x14ac:dyDescent="0.2">
      <c r="A993" s="12" t="s">
        <v>9272</v>
      </c>
      <c r="B993" s="12" t="s">
        <v>8376</v>
      </c>
      <c r="C993" s="667" t="s">
        <v>9946</v>
      </c>
      <c r="D993" s="12" t="s">
        <v>9273</v>
      </c>
      <c r="E993" s="155" t="s">
        <v>7027</v>
      </c>
      <c r="F993" s="57">
        <v>1200</v>
      </c>
      <c r="G993" s="57">
        <v>136032</v>
      </c>
      <c r="H993" s="107"/>
      <c r="I993" s="8" t="s">
        <v>11723</v>
      </c>
    </row>
    <row r="994" spans="1:9" customFormat="1" ht="46.5" customHeight="1" x14ac:dyDescent="0.2">
      <c r="A994" s="12" t="s">
        <v>9274</v>
      </c>
      <c r="B994" s="12" t="s">
        <v>8376</v>
      </c>
      <c r="C994" s="667" t="s">
        <v>9945</v>
      </c>
      <c r="D994" s="12" t="s">
        <v>9275</v>
      </c>
      <c r="E994" s="155" t="s">
        <v>7027</v>
      </c>
      <c r="F994" s="57">
        <v>1000</v>
      </c>
      <c r="G994" s="57">
        <v>113360</v>
      </c>
      <c r="H994" s="107"/>
      <c r="I994" s="8" t="s">
        <v>11723</v>
      </c>
    </row>
    <row r="995" spans="1:9" customFormat="1" ht="46.5" customHeight="1" x14ac:dyDescent="0.2">
      <c r="A995" s="12" t="s">
        <v>9276</v>
      </c>
      <c r="B995" s="12" t="s">
        <v>8376</v>
      </c>
      <c r="C995" s="667" t="s">
        <v>9944</v>
      </c>
      <c r="D995" s="12" t="s">
        <v>9277</v>
      </c>
      <c r="E995" s="155" t="s">
        <v>7027</v>
      </c>
      <c r="F995" s="57">
        <v>1000</v>
      </c>
      <c r="G995" s="57">
        <v>113360</v>
      </c>
      <c r="H995" s="107"/>
      <c r="I995" s="8" t="s">
        <v>11723</v>
      </c>
    </row>
    <row r="996" spans="1:9" customFormat="1" ht="46.5" customHeight="1" x14ac:dyDescent="0.2">
      <c r="A996" s="12" t="s">
        <v>9278</v>
      </c>
      <c r="B996" s="12" t="s">
        <v>8376</v>
      </c>
      <c r="C996" s="667" t="s">
        <v>9943</v>
      </c>
      <c r="D996" s="12" t="s">
        <v>9279</v>
      </c>
      <c r="E996" s="155" t="s">
        <v>7027</v>
      </c>
      <c r="F996" s="57">
        <v>1200</v>
      </c>
      <c r="G996" s="57">
        <v>136032</v>
      </c>
      <c r="H996" s="107"/>
      <c r="I996" s="8" t="s">
        <v>11723</v>
      </c>
    </row>
    <row r="997" spans="1:9" customFormat="1" ht="46.5" customHeight="1" x14ac:dyDescent="0.2">
      <c r="A997" s="12" t="s">
        <v>9280</v>
      </c>
      <c r="B997" s="12" t="s">
        <v>8376</v>
      </c>
      <c r="C997" s="667" t="s">
        <v>9942</v>
      </c>
      <c r="D997" s="12" t="s">
        <v>9281</v>
      </c>
      <c r="E997" s="155" t="s">
        <v>7027</v>
      </c>
      <c r="F997" s="57">
        <v>1200</v>
      </c>
      <c r="G997" s="57">
        <v>136032</v>
      </c>
      <c r="H997" s="107"/>
      <c r="I997" s="8" t="s">
        <v>11723</v>
      </c>
    </row>
    <row r="998" spans="1:9" customFormat="1" ht="46.5" customHeight="1" x14ac:dyDescent="0.2">
      <c r="A998" s="12" t="s">
        <v>9282</v>
      </c>
      <c r="B998" s="12" t="s">
        <v>8376</v>
      </c>
      <c r="C998" s="667" t="s">
        <v>9941</v>
      </c>
      <c r="D998" s="12" t="s">
        <v>9283</v>
      </c>
      <c r="E998" s="155" t="s">
        <v>7027</v>
      </c>
      <c r="F998" s="57">
        <v>1200</v>
      </c>
      <c r="G998" s="57">
        <v>136032</v>
      </c>
      <c r="H998" s="107"/>
      <c r="I998" s="8" t="s">
        <v>11723</v>
      </c>
    </row>
    <row r="999" spans="1:9" customFormat="1" ht="46.5" customHeight="1" x14ac:dyDescent="0.2">
      <c r="A999" s="12" t="s">
        <v>9284</v>
      </c>
      <c r="B999" s="12" t="s">
        <v>8376</v>
      </c>
      <c r="C999" s="667" t="s">
        <v>9940</v>
      </c>
      <c r="D999" s="12" t="s">
        <v>9285</v>
      </c>
      <c r="E999" s="155" t="s">
        <v>7027</v>
      </c>
      <c r="F999" s="57">
        <v>1200</v>
      </c>
      <c r="G999" s="57">
        <v>136032</v>
      </c>
      <c r="H999" s="107"/>
      <c r="I999" s="8" t="s">
        <v>11723</v>
      </c>
    </row>
    <row r="1000" spans="1:9" customFormat="1" ht="46.5" customHeight="1" x14ac:dyDescent="0.2">
      <c r="A1000" s="12" t="s">
        <v>9286</v>
      </c>
      <c r="B1000" s="12" t="s">
        <v>8376</v>
      </c>
      <c r="C1000" s="667" t="s">
        <v>9939</v>
      </c>
      <c r="D1000" s="12" t="s">
        <v>9287</v>
      </c>
      <c r="E1000" s="155" t="s">
        <v>7027</v>
      </c>
      <c r="F1000" s="57">
        <v>1200</v>
      </c>
      <c r="G1000" s="57">
        <v>136032</v>
      </c>
      <c r="H1000" s="107"/>
      <c r="I1000" s="8" t="s">
        <v>11723</v>
      </c>
    </row>
    <row r="1001" spans="1:9" s="197" customFormat="1" ht="81.75" customHeight="1" x14ac:dyDescent="0.2">
      <c r="A1001" s="12" t="s">
        <v>9296</v>
      </c>
      <c r="B1001" s="653" t="s">
        <v>9297</v>
      </c>
      <c r="C1001" s="260" t="s">
        <v>9444</v>
      </c>
      <c r="D1001" s="12" t="s">
        <v>9295</v>
      </c>
      <c r="E1001" s="261" t="s">
        <v>7027</v>
      </c>
      <c r="F1001" s="133">
        <v>101</v>
      </c>
      <c r="G1001" s="133">
        <v>49493.03</v>
      </c>
      <c r="H1001" s="107"/>
      <c r="I1001" s="8" t="s">
        <v>11724</v>
      </c>
    </row>
    <row r="1002" spans="1:9" customFormat="1" ht="46.5" customHeight="1" x14ac:dyDescent="0.2">
      <c r="A1002" s="12" t="s">
        <v>9300</v>
      </c>
      <c r="B1002" s="12" t="s">
        <v>8376</v>
      </c>
      <c r="C1002" s="667" t="s">
        <v>9938</v>
      </c>
      <c r="D1002" s="12" t="s">
        <v>9323</v>
      </c>
      <c r="E1002" s="155" t="s">
        <v>7027</v>
      </c>
      <c r="F1002" s="57">
        <v>1200</v>
      </c>
      <c r="G1002" s="57">
        <v>136032</v>
      </c>
      <c r="H1002" s="107"/>
      <c r="I1002" s="8" t="s">
        <v>11723</v>
      </c>
    </row>
    <row r="1003" spans="1:9" customFormat="1" ht="46.5" customHeight="1" x14ac:dyDescent="0.2">
      <c r="A1003" s="12" t="s">
        <v>9301</v>
      </c>
      <c r="B1003" s="12" t="s">
        <v>8376</v>
      </c>
      <c r="C1003" s="667" t="s">
        <v>9937</v>
      </c>
      <c r="D1003" s="12" t="s">
        <v>9322</v>
      </c>
      <c r="E1003" s="155" t="s">
        <v>7027</v>
      </c>
      <c r="F1003" s="57">
        <v>1200</v>
      </c>
      <c r="G1003" s="57">
        <v>136032</v>
      </c>
      <c r="H1003" s="107"/>
      <c r="I1003" s="8" t="s">
        <v>11723</v>
      </c>
    </row>
    <row r="1004" spans="1:9" customFormat="1" ht="46.5" customHeight="1" x14ac:dyDescent="0.2">
      <c r="A1004" s="12" t="s">
        <v>9302</v>
      </c>
      <c r="B1004" s="12" t="s">
        <v>8376</v>
      </c>
      <c r="C1004" s="667" t="s">
        <v>9926</v>
      </c>
      <c r="D1004" s="12" t="s">
        <v>9324</v>
      </c>
      <c r="E1004" s="155" t="s">
        <v>7027</v>
      </c>
      <c r="F1004" s="57">
        <v>1200</v>
      </c>
      <c r="G1004" s="57">
        <v>136032</v>
      </c>
      <c r="H1004" s="107"/>
      <c r="I1004" s="8" t="s">
        <v>11723</v>
      </c>
    </row>
    <row r="1005" spans="1:9" customFormat="1" ht="46.5" customHeight="1" x14ac:dyDescent="0.2">
      <c r="A1005" s="12" t="s">
        <v>9303</v>
      </c>
      <c r="B1005" s="12" t="s">
        <v>8376</v>
      </c>
      <c r="C1005" s="667" t="s">
        <v>9925</v>
      </c>
      <c r="D1005" s="12" t="s">
        <v>9325</v>
      </c>
      <c r="E1005" s="155" t="s">
        <v>7027</v>
      </c>
      <c r="F1005" s="57">
        <v>1200</v>
      </c>
      <c r="G1005" s="57">
        <v>136032</v>
      </c>
      <c r="H1005" s="107"/>
      <c r="I1005" s="8" t="s">
        <v>11723</v>
      </c>
    </row>
    <row r="1006" spans="1:9" customFormat="1" ht="46.5" customHeight="1" x14ac:dyDescent="0.2">
      <c r="A1006" s="12" t="s">
        <v>9304</v>
      </c>
      <c r="B1006" s="12" t="s">
        <v>8376</v>
      </c>
      <c r="C1006" s="667" t="s">
        <v>9924</v>
      </c>
      <c r="D1006" s="12" t="s">
        <v>9326</v>
      </c>
      <c r="E1006" s="155" t="s">
        <v>7027</v>
      </c>
      <c r="F1006" s="57">
        <v>1200</v>
      </c>
      <c r="G1006" s="57">
        <v>136032</v>
      </c>
      <c r="H1006" s="107"/>
      <c r="I1006" s="8" t="s">
        <v>11723</v>
      </c>
    </row>
    <row r="1007" spans="1:9" customFormat="1" ht="46.5" customHeight="1" x14ac:dyDescent="0.2">
      <c r="A1007" s="12" t="s">
        <v>9305</v>
      </c>
      <c r="B1007" s="12" t="s">
        <v>8376</v>
      </c>
      <c r="C1007" s="667" t="s">
        <v>9923</v>
      </c>
      <c r="D1007" s="12" t="s">
        <v>9328</v>
      </c>
      <c r="E1007" s="155" t="s">
        <v>7027</v>
      </c>
      <c r="F1007" s="57">
        <v>1200</v>
      </c>
      <c r="G1007" s="57">
        <v>136032</v>
      </c>
      <c r="H1007" s="107"/>
      <c r="I1007" s="8" t="s">
        <v>11723</v>
      </c>
    </row>
    <row r="1008" spans="1:9" customFormat="1" ht="46.5" customHeight="1" x14ac:dyDescent="0.2">
      <c r="A1008" s="12" t="s">
        <v>9306</v>
      </c>
      <c r="B1008" s="12" t="s">
        <v>8376</v>
      </c>
      <c r="C1008" s="667" t="s">
        <v>9922</v>
      </c>
      <c r="D1008" s="12" t="s">
        <v>9330</v>
      </c>
      <c r="E1008" s="155" t="s">
        <v>7027</v>
      </c>
      <c r="F1008" s="57">
        <v>1200</v>
      </c>
      <c r="G1008" s="57">
        <v>136032</v>
      </c>
      <c r="H1008" s="107"/>
      <c r="I1008" s="8" t="s">
        <v>11723</v>
      </c>
    </row>
    <row r="1009" spans="1:9" customFormat="1" ht="46.5" customHeight="1" x14ac:dyDescent="0.2">
      <c r="A1009" s="12" t="s">
        <v>9307</v>
      </c>
      <c r="B1009" s="12" t="s">
        <v>8376</v>
      </c>
      <c r="C1009" s="667" t="s">
        <v>9921</v>
      </c>
      <c r="D1009" s="12" t="s">
        <v>9331</v>
      </c>
      <c r="E1009" s="155" t="s">
        <v>7027</v>
      </c>
      <c r="F1009" s="57">
        <v>1200</v>
      </c>
      <c r="G1009" s="57">
        <v>136032</v>
      </c>
      <c r="H1009" s="107"/>
      <c r="I1009" s="8" t="s">
        <v>11723</v>
      </c>
    </row>
    <row r="1010" spans="1:9" customFormat="1" ht="46.5" customHeight="1" x14ac:dyDescent="0.2">
      <c r="A1010" s="12" t="s">
        <v>9308</v>
      </c>
      <c r="B1010" s="12" t="s">
        <v>8376</v>
      </c>
      <c r="C1010" s="667" t="s">
        <v>9920</v>
      </c>
      <c r="D1010" s="12" t="s">
        <v>9327</v>
      </c>
      <c r="E1010" s="155" t="s">
        <v>7027</v>
      </c>
      <c r="F1010" s="57">
        <v>1200</v>
      </c>
      <c r="G1010" s="57">
        <v>136032</v>
      </c>
      <c r="H1010" s="107"/>
      <c r="I1010" s="8" t="s">
        <v>11723</v>
      </c>
    </row>
    <row r="1011" spans="1:9" customFormat="1" ht="46.5" customHeight="1" x14ac:dyDescent="0.2">
      <c r="A1011" s="12" t="s">
        <v>9309</v>
      </c>
      <c r="B1011" s="12" t="s">
        <v>8376</v>
      </c>
      <c r="C1011" s="667" t="s">
        <v>9919</v>
      </c>
      <c r="D1011" s="12" t="s">
        <v>9332</v>
      </c>
      <c r="E1011" s="155" t="s">
        <v>7027</v>
      </c>
      <c r="F1011" s="57">
        <v>1200</v>
      </c>
      <c r="G1011" s="57">
        <v>136032</v>
      </c>
      <c r="H1011" s="107"/>
      <c r="I1011" s="8" t="s">
        <v>11723</v>
      </c>
    </row>
    <row r="1012" spans="1:9" customFormat="1" ht="46.5" customHeight="1" x14ac:dyDescent="0.2">
      <c r="A1012" s="12" t="s">
        <v>9310</v>
      </c>
      <c r="B1012" s="12" t="s">
        <v>8376</v>
      </c>
      <c r="C1012" s="667" t="s">
        <v>9918</v>
      </c>
      <c r="D1012" s="12" t="s">
        <v>9329</v>
      </c>
      <c r="E1012" s="155" t="s">
        <v>7027</v>
      </c>
      <c r="F1012" s="57">
        <v>1200</v>
      </c>
      <c r="G1012" s="57">
        <v>136032</v>
      </c>
      <c r="H1012" s="107"/>
      <c r="I1012" s="8" t="s">
        <v>11723</v>
      </c>
    </row>
    <row r="1013" spans="1:9" customFormat="1" ht="46.5" customHeight="1" x14ac:dyDescent="0.2">
      <c r="A1013" s="12" t="s">
        <v>9311</v>
      </c>
      <c r="B1013" s="12" t="s">
        <v>8376</v>
      </c>
      <c r="C1013" s="667" t="s">
        <v>9917</v>
      </c>
      <c r="D1013" s="12" t="s">
        <v>9334</v>
      </c>
      <c r="E1013" s="155" t="s">
        <v>7027</v>
      </c>
      <c r="F1013" s="57">
        <v>1200</v>
      </c>
      <c r="G1013" s="57">
        <v>136032</v>
      </c>
      <c r="H1013" s="107"/>
      <c r="I1013" s="8" t="s">
        <v>11723</v>
      </c>
    </row>
    <row r="1014" spans="1:9" customFormat="1" ht="46.5" customHeight="1" x14ac:dyDescent="0.2">
      <c r="A1014" s="12" t="s">
        <v>9312</v>
      </c>
      <c r="B1014" s="12" t="s">
        <v>8376</v>
      </c>
      <c r="C1014" s="667" t="s">
        <v>9916</v>
      </c>
      <c r="D1014" s="12" t="s">
        <v>9333</v>
      </c>
      <c r="E1014" s="155" t="s">
        <v>7027</v>
      </c>
      <c r="F1014" s="57">
        <v>1200</v>
      </c>
      <c r="G1014" s="57">
        <v>136032</v>
      </c>
      <c r="H1014" s="107"/>
      <c r="I1014" s="8" t="s">
        <v>11723</v>
      </c>
    </row>
    <row r="1015" spans="1:9" s="197" customFormat="1" ht="60.75" customHeight="1" x14ac:dyDescent="0.2">
      <c r="A1015" s="12" t="s">
        <v>9313</v>
      </c>
      <c r="B1015" s="199" t="s">
        <v>9443</v>
      </c>
      <c r="C1015" s="667" t="s">
        <v>10592</v>
      </c>
      <c r="D1015" s="12" t="s">
        <v>10412</v>
      </c>
      <c r="E1015" s="261" t="s">
        <v>7027</v>
      </c>
      <c r="F1015" s="133">
        <v>14</v>
      </c>
      <c r="G1015" s="258">
        <v>6860.42</v>
      </c>
      <c r="H1015" s="107"/>
      <c r="I1015" s="8" t="s">
        <v>11724</v>
      </c>
    </row>
    <row r="1016" spans="1:9" s="197" customFormat="1" ht="60.75" customHeight="1" x14ac:dyDescent="0.2">
      <c r="A1016" s="12" t="s">
        <v>9314</v>
      </c>
      <c r="B1016" s="199" t="s">
        <v>9443</v>
      </c>
      <c r="C1016" s="667" t="s">
        <v>10593</v>
      </c>
      <c r="D1016" s="12" t="s">
        <v>10413</v>
      </c>
      <c r="E1016" s="261" t="s">
        <v>7027</v>
      </c>
      <c r="F1016" s="133">
        <v>14</v>
      </c>
      <c r="G1016" s="258">
        <v>6860.42</v>
      </c>
      <c r="H1016" s="107"/>
      <c r="I1016" s="8" t="s">
        <v>11724</v>
      </c>
    </row>
    <row r="1017" spans="1:9" s="197" customFormat="1" ht="60.75" customHeight="1" x14ac:dyDescent="0.2">
      <c r="A1017" s="12" t="s">
        <v>9315</v>
      </c>
      <c r="B1017" s="199" t="s">
        <v>9443</v>
      </c>
      <c r="C1017" s="667" t="s">
        <v>10416</v>
      </c>
      <c r="D1017" s="12" t="s">
        <v>10414</v>
      </c>
      <c r="E1017" s="261" t="s">
        <v>7027</v>
      </c>
      <c r="F1017" s="133">
        <v>12</v>
      </c>
      <c r="G1017" s="258">
        <v>5880.36</v>
      </c>
      <c r="H1017" s="107"/>
      <c r="I1017" s="8" t="s">
        <v>11724</v>
      </c>
    </row>
    <row r="1018" spans="1:9" s="197" customFormat="1" ht="60.75" customHeight="1" x14ac:dyDescent="0.2">
      <c r="A1018" s="12" t="s">
        <v>9316</v>
      </c>
      <c r="B1018" s="199" t="s">
        <v>9443</v>
      </c>
      <c r="C1018" s="667" t="s">
        <v>10417</v>
      </c>
      <c r="D1018" s="12" t="s">
        <v>10415</v>
      </c>
      <c r="E1018" s="261" t="s">
        <v>7027</v>
      </c>
      <c r="F1018" s="133">
        <v>10</v>
      </c>
      <c r="G1018" s="258">
        <v>4900.3</v>
      </c>
      <c r="H1018" s="107"/>
      <c r="I1018" s="8" t="s">
        <v>11724</v>
      </c>
    </row>
    <row r="1019" spans="1:9" s="197" customFormat="1" ht="60.75" customHeight="1" x14ac:dyDescent="0.2">
      <c r="A1019" s="12" t="s">
        <v>9317</v>
      </c>
      <c r="B1019" s="199" t="s">
        <v>9443</v>
      </c>
      <c r="C1019" s="667" t="s">
        <v>10421</v>
      </c>
      <c r="D1019" s="12" t="s">
        <v>10420</v>
      </c>
      <c r="E1019" s="261" t="s">
        <v>7027</v>
      </c>
      <c r="F1019" s="133">
        <v>16</v>
      </c>
      <c r="G1019" s="258">
        <v>7840.48</v>
      </c>
      <c r="H1019" s="107"/>
      <c r="I1019" s="8" t="s">
        <v>11724</v>
      </c>
    </row>
    <row r="1020" spans="1:9" customFormat="1" ht="46.5" customHeight="1" x14ac:dyDescent="0.2">
      <c r="A1020" s="12" t="s">
        <v>9318</v>
      </c>
      <c r="B1020" s="12" t="s">
        <v>8376</v>
      </c>
      <c r="C1020" s="667" t="s">
        <v>10427</v>
      </c>
      <c r="D1020" s="12" t="s">
        <v>10428</v>
      </c>
      <c r="E1020" s="155" t="s">
        <v>7027</v>
      </c>
      <c r="F1020" s="57">
        <v>1200</v>
      </c>
      <c r="G1020" s="57">
        <v>136032</v>
      </c>
      <c r="H1020" s="107"/>
      <c r="I1020" s="8" t="s">
        <v>11723</v>
      </c>
    </row>
    <row r="1021" spans="1:9" customFormat="1" ht="46.5" customHeight="1" x14ac:dyDescent="0.2">
      <c r="A1021" s="12" t="s">
        <v>9319</v>
      </c>
      <c r="B1021" s="12" t="s">
        <v>8376</v>
      </c>
      <c r="C1021" s="667" t="s">
        <v>10429</v>
      </c>
      <c r="D1021" s="12" t="s">
        <v>10433</v>
      </c>
      <c r="E1021" s="155" t="s">
        <v>7027</v>
      </c>
      <c r="F1021" s="57">
        <v>1200</v>
      </c>
      <c r="G1021" s="57">
        <v>136032</v>
      </c>
      <c r="H1021" s="107"/>
      <c r="I1021" s="8" t="s">
        <v>11723</v>
      </c>
    </row>
    <row r="1022" spans="1:9" customFormat="1" ht="46.5" customHeight="1" x14ac:dyDescent="0.2">
      <c r="A1022" s="12" t="s">
        <v>9320</v>
      </c>
      <c r="B1022" s="12" t="s">
        <v>8376</v>
      </c>
      <c r="C1022" s="667" t="s">
        <v>10430</v>
      </c>
      <c r="D1022" s="12" t="s">
        <v>10435</v>
      </c>
      <c r="E1022" s="155" t="s">
        <v>7027</v>
      </c>
      <c r="F1022" s="57">
        <v>1200</v>
      </c>
      <c r="G1022" s="57">
        <v>136032</v>
      </c>
      <c r="H1022" s="107"/>
      <c r="I1022" s="8" t="s">
        <v>11723</v>
      </c>
    </row>
    <row r="1023" spans="1:9" customFormat="1" ht="46.5" customHeight="1" x14ac:dyDescent="0.2">
      <c r="A1023" s="12" t="s">
        <v>9321</v>
      </c>
      <c r="B1023" s="12" t="s">
        <v>8376</v>
      </c>
      <c r="C1023" s="667" t="s">
        <v>10431</v>
      </c>
      <c r="D1023" s="12" t="s">
        <v>10436</v>
      </c>
      <c r="E1023" s="155" t="s">
        <v>7027</v>
      </c>
      <c r="F1023" s="57">
        <v>1200</v>
      </c>
      <c r="G1023" s="57">
        <v>136032</v>
      </c>
      <c r="H1023" s="107"/>
      <c r="I1023" s="8" t="s">
        <v>11723</v>
      </c>
    </row>
    <row r="1024" spans="1:9" customFormat="1" ht="46.5" customHeight="1" x14ac:dyDescent="0.2">
      <c r="A1024" s="12" t="s">
        <v>9440</v>
      </c>
      <c r="B1024" s="12" t="s">
        <v>8376</v>
      </c>
      <c r="C1024" s="667" t="s">
        <v>10432</v>
      </c>
      <c r="D1024" s="12" t="s">
        <v>10434</v>
      </c>
      <c r="E1024" s="155" t="s">
        <v>7027</v>
      </c>
      <c r="F1024" s="57">
        <v>1200</v>
      </c>
      <c r="G1024" s="57">
        <v>136032</v>
      </c>
      <c r="H1024" s="107"/>
      <c r="I1024" s="8" t="s">
        <v>11723</v>
      </c>
    </row>
    <row r="1025" spans="1:9" customFormat="1" ht="46.5" customHeight="1" x14ac:dyDescent="0.2">
      <c r="A1025" s="12" t="s">
        <v>9441</v>
      </c>
      <c r="B1025" s="12" t="s">
        <v>8376</v>
      </c>
      <c r="C1025" s="667" t="s">
        <v>10460</v>
      </c>
      <c r="D1025" s="12" t="s">
        <v>10461</v>
      </c>
      <c r="E1025" s="155" t="s">
        <v>7027</v>
      </c>
      <c r="F1025" s="57">
        <v>1200</v>
      </c>
      <c r="G1025" s="57">
        <v>136032</v>
      </c>
      <c r="H1025" s="107"/>
      <c r="I1025" s="8" t="s">
        <v>11723</v>
      </c>
    </row>
    <row r="1026" spans="1:9" customFormat="1" ht="46.5" customHeight="1" x14ac:dyDescent="0.2">
      <c r="A1026" s="12" t="s">
        <v>9442</v>
      </c>
      <c r="B1026" s="12" t="s">
        <v>8376</v>
      </c>
      <c r="C1026" s="667" t="s">
        <v>10463</v>
      </c>
      <c r="D1026" s="12" t="s">
        <v>10462</v>
      </c>
      <c r="E1026" s="155" t="s">
        <v>7027</v>
      </c>
      <c r="F1026" s="57">
        <v>1200</v>
      </c>
      <c r="G1026" s="57">
        <v>136032</v>
      </c>
      <c r="H1026" s="107"/>
      <c r="I1026" s="8" t="s">
        <v>11723</v>
      </c>
    </row>
    <row r="1027" spans="1:9" s="197" customFormat="1" ht="46.5" customHeight="1" x14ac:dyDescent="0.2">
      <c r="A1027" s="12" t="s">
        <v>10419</v>
      </c>
      <c r="B1027" s="199" t="s">
        <v>10464</v>
      </c>
      <c r="C1027" s="667" t="s">
        <v>10466</v>
      </c>
      <c r="D1027" s="12" t="s">
        <v>10465</v>
      </c>
      <c r="E1027" s="261" t="s">
        <v>7027</v>
      </c>
      <c r="F1027" s="133">
        <v>11</v>
      </c>
      <c r="G1027" s="258">
        <v>5390.33</v>
      </c>
      <c r="H1027" s="107"/>
      <c r="I1027" s="8" t="s">
        <v>11724</v>
      </c>
    </row>
    <row r="1028" spans="1:9" s="197" customFormat="1" ht="60" customHeight="1" x14ac:dyDescent="0.2">
      <c r="A1028" s="12" t="s">
        <v>10426</v>
      </c>
      <c r="B1028" s="12" t="s">
        <v>9443</v>
      </c>
      <c r="C1028" s="667" t="s">
        <v>10474</v>
      </c>
      <c r="D1028" s="12" t="s">
        <v>10420</v>
      </c>
      <c r="E1028" s="261" t="s">
        <v>7027</v>
      </c>
      <c r="F1028" s="133">
        <v>16</v>
      </c>
      <c r="G1028" s="258">
        <v>7840.48</v>
      </c>
      <c r="H1028" s="107"/>
      <c r="I1028" s="8" t="s">
        <v>11724</v>
      </c>
    </row>
    <row r="1029" spans="1:9" customFormat="1" ht="46.5" customHeight="1" x14ac:dyDescent="0.2">
      <c r="A1029" s="12" t="s">
        <v>10486</v>
      </c>
      <c r="B1029" s="12" t="s">
        <v>8376</v>
      </c>
      <c r="C1029" s="667" t="s">
        <v>10489</v>
      </c>
      <c r="D1029" s="12" t="s">
        <v>10492</v>
      </c>
      <c r="E1029" s="155" t="s">
        <v>7027</v>
      </c>
      <c r="F1029" s="57">
        <v>1200</v>
      </c>
      <c r="G1029" s="57">
        <v>136032</v>
      </c>
      <c r="H1029" s="107"/>
      <c r="I1029" s="8" t="s">
        <v>11723</v>
      </c>
    </row>
    <row r="1030" spans="1:9" customFormat="1" ht="46.5" customHeight="1" x14ac:dyDescent="0.2">
      <c r="A1030" s="12" t="s">
        <v>10487</v>
      </c>
      <c r="B1030" s="12" t="s">
        <v>8376</v>
      </c>
      <c r="C1030" s="667" t="s">
        <v>10490</v>
      </c>
      <c r="D1030" s="12" t="s">
        <v>10493</v>
      </c>
      <c r="E1030" s="155" t="s">
        <v>7027</v>
      </c>
      <c r="F1030" s="57">
        <v>1200</v>
      </c>
      <c r="G1030" s="57">
        <v>136032</v>
      </c>
      <c r="H1030" s="107"/>
      <c r="I1030" s="8" t="s">
        <v>11723</v>
      </c>
    </row>
    <row r="1031" spans="1:9" customFormat="1" ht="46.5" customHeight="1" x14ac:dyDescent="0.2">
      <c r="A1031" s="12" t="s">
        <v>10488</v>
      </c>
      <c r="B1031" s="12" t="s">
        <v>8376</v>
      </c>
      <c r="C1031" s="667" t="s">
        <v>10491</v>
      </c>
      <c r="D1031" s="12" t="s">
        <v>10494</v>
      </c>
      <c r="E1031" s="155" t="s">
        <v>7027</v>
      </c>
      <c r="F1031" s="57">
        <v>1200</v>
      </c>
      <c r="G1031" s="57">
        <v>136032</v>
      </c>
      <c r="H1031" s="107"/>
      <c r="I1031" s="8" t="s">
        <v>11723</v>
      </c>
    </row>
    <row r="1032" spans="1:9" customFormat="1" ht="46.5" customHeight="1" x14ac:dyDescent="0.2">
      <c r="A1032" s="12" t="s">
        <v>10543</v>
      </c>
      <c r="B1032" s="12" t="s">
        <v>8376</v>
      </c>
      <c r="C1032" s="667" t="s">
        <v>10544</v>
      </c>
      <c r="D1032" s="12" t="s">
        <v>10545</v>
      </c>
      <c r="E1032" s="155" t="s">
        <v>7027</v>
      </c>
      <c r="F1032" s="57">
        <v>1200</v>
      </c>
      <c r="G1032" s="57">
        <v>136032</v>
      </c>
      <c r="H1032" s="107"/>
      <c r="I1032" s="8" t="s">
        <v>11723</v>
      </c>
    </row>
    <row r="1033" spans="1:9" customFormat="1" ht="46.5" customHeight="1" x14ac:dyDescent="0.2">
      <c r="A1033" s="12" t="s">
        <v>10550</v>
      </c>
      <c r="B1033" s="12" t="s">
        <v>8376</v>
      </c>
      <c r="C1033" s="667" t="s">
        <v>10552</v>
      </c>
      <c r="D1033" s="12" t="s">
        <v>10553</v>
      </c>
      <c r="E1033" s="155" t="s">
        <v>7027</v>
      </c>
      <c r="F1033" s="57">
        <v>1200</v>
      </c>
      <c r="G1033" s="57">
        <v>136032</v>
      </c>
      <c r="H1033" s="107"/>
      <c r="I1033" s="8" t="s">
        <v>11723</v>
      </c>
    </row>
    <row r="1034" spans="1:9" customFormat="1" ht="46.5" customHeight="1" x14ac:dyDescent="0.2">
      <c r="A1034" s="12" t="s">
        <v>10551</v>
      </c>
      <c r="B1034" s="12" t="s">
        <v>8376</v>
      </c>
      <c r="C1034" s="667" t="s">
        <v>10554</v>
      </c>
      <c r="D1034" s="12" t="s">
        <v>10555</v>
      </c>
      <c r="E1034" s="155" t="s">
        <v>7027</v>
      </c>
      <c r="F1034" s="57">
        <v>1200</v>
      </c>
      <c r="G1034" s="57">
        <v>136032</v>
      </c>
      <c r="H1034" s="107"/>
      <c r="I1034" s="8" t="s">
        <v>11723</v>
      </c>
    </row>
    <row r="1035" spans="1:9" customFormat="1" ht="46.5" customHeight="1" x14ac:dyDescent="0.2">
      <c r="A1035" s="12" t="s">
        <v>10588</v>
      </c>
      <c r="B1035" s="12" t="s">
        <v>8376</v>
      </c>
      <c r="C1035" s="667" t="s">
        <v>10596</v>
      </c>
      <c r="D1035" s="12" t="s">
        <v>10597</v>
      </c>
      <c r="E1035" s="155" t="s">
        <v>7027</v>
      </c>
      <c r="F1035" s="57">
        <v>1200</v>
      </c>
      <c r="G1035" s="57">
        <v>136032</v>
      </c>
      <c r="H1035" s="107"/>
      <c r="I1035" s="8" t="s">
        <v>11723</v>
      </c>
    </row>
    <row r="1036" spans="1:9" customFormat="1" ht="46.5" customHeight="1" x14ac:dyDescent="0.2">
      <c r="A1036" s="12" t="s">
        <v>10589</v>
      </c>
      <c r="B1036" s="12" t="s">
        <v>8376</v>
      </c>
      <c r="C1036" s="667" t="s">
        <v>10598</v>
      </c>
      <c r="D1036" s="12" t="s">
        <v>10599</v>
      </c>
      <c r="E1036" s="155" t="s">
        <v>7027</v>
      </c>
      <c r="F1036" s="57">
        <v>1200</v>
      </c>
      <c r="G1036" s="57">
        <v>136032</v>
      </c>
      <c r="H1036" s="107"/>
      <c r="I1036" s="8" t="s">
        <v>11723</v>
      </c>
    </row>
    <row r="1037" spans="1:9" customFormat="1" ht="46.5" customHeight="1" x14ac:dyDescent="0.2">
      <c r="A1037" s="12" t="s">
        <v>10590</v>
      </c>
      <c r="B1037" s="12" t="s">
        <v>8376</v>
      </c>
      <c r="C1037" s="667" t="s">
        <v>10601</v>
      </c>
      <c r="D1037" s="12" t="s">
        <v>10600</v>
      </c>
      <c r="E1037" s="155" t="s">
        <v>7027</v>
      </c>
      <c r="F1037" s="57">
        <v>1200</v>
      </c>
      <c r="G1037" s="57">
        <v>136032</v>
      </c>
      <c r="H1037" s="107"/>
      <c r="I1037" s="8" t="s">
        <v>11723</v>
      </c>
    </row>
    <row r="1038" spans="1:9" customFormat="1" ht="46.5" customHeight="1" x14ac:dyDescent="0.2">
      <c r="A1038" s="12" t="s">
        <v>10591</v>
      </c>
      <c r="B1038" s="12" t="s">
        <v>8376</v>
      </c>
      <c r="C1038" s="667" t="s">
        <v>10637</v>
      </c>
      <c r="D1038" s="12" t="s">
        <v>10638</v>
      </c>
      <c r="E1038" s="155" t="s">
        <v>7027</v>
      </c>
      <c r="F1038" s="57">
        <v>1200</v>
      </c>
      <c r="G1038" s="57">
        <v>136032</v>
      </c>
      <c r="H1038" s="107"/>
      <c r="I1038" s="8" t="s">
        <v>11723</v>
      </c>
    </row>
    <row r="1039" spans="1:9" customFormat="1" ht="46.5" customHeight="1" x14ac:dyDescent="0.2">
      <c r="A1039" s="12" t="s">
        <v>10634</v>
      </c>
      <c r="B1039" s="12" t="s">
        <v>8376</v>
      </c>
      <c r="C1039" s="667" t="s">
        <v>10641</v>
      </c>
      <c r="D1039" s="12" t="s">
        <v>10640</v>
      </c>
      <c r="E1039" s="155" t="s">
        <v>7027</v>
      </c>
      <c r="F1039" s="57">
        <v>1200</v>
      </c>
      <c r="G1039" s="57">
        <v>136032</v>
      </c>
      <c r="H1039" s="107"/>
      <c r="I1039" s="8" t="s">
        <v>11723</v>
      </c>
    </row>
    <row r="1040" spans="1:9" customFormat="1" ht="46.5" customHeight="1" x14ac:dyDescent="0.2">
      <c r="A1040" s="12" t="s">
        <v>10635</v>
      </c>
      <c r="B1040" s="12" t="s">
        <v>8376</v>
      </c>
      <c r="C1040" s="667" t="s">
        <v>10642</v>
      </c>
      <c r="D1040" s="12" t="s">
        <v>10643</v>
      </c>
      <c r="E1040" s="155" t="s">
        <v>7027</v>
      </c>
      <c r="F1040" s="57">
        <v>1200</v>
      </c>
      <c r="G1040" s="57">
        <v>136032</v>
      </c>
      <c r="H1040" s="107"/>
      <c r="I1040" s="8" t="s">
        <v>11723</v>
      </c>
    </row>
    <row r="1041" spans="1:9" customFormat="1" ht="46.5" customHeight="1" x14ac:dyDescent="0.2">
      <c r="A1041" s="12" t="s">
        <v>10636</v>
      </c>
      <c r="B1041" s="12" t="s">
        <v>8376</v>
      </c>
      <c r="C1041" s="667" t="s">
        <v>10644</v>
      </c>
      <c r="D1041" s="12" t="s">
        <v>10639</v>
      </c>
      <c r="E1041" s="155" t="s">
        <v>7027</v>
      </c>
      <c r="F1041" s="57">
        <v>1200</v>
      </c>
      <c r="G1041" s="57">
        <v>136032</v>
      </c>
      <c r="H1041" s="107"/>
      <c r="I1041" s="8" t="s">
        <v>11723</v>
      </c>
    </row>
    <row r="1042" spans="1:9" s="197" customFormat="1" ht="58.5" customHeight="1" x14ac:dyDescent="0.2">
      <c r="A1042" s="12" t="s">
        <v>10683</v>
      </c>
      <c r="B1042" s="199" t="s">
        <v>9443</v>
      </c>
      <c r="C1042" s="667" t="s">
        <v>10594</v>
      </c>
      <c r="D1042" s="12" t="s">
        <v>10595</v>
      </c>
      <c r="E1042" s="261" t="s">
        <v>7027</v>
      </c>
      <c r="F1042" s="133">
        <v>11</v>
      </c>
      <c r="G1042" s="258">
        <v>7840.48</v>
      </c>
      <c r="H1042" s="107"/>
      <c r="I1042" s="8" t="s">
        <v>11724</v>
      </c>
    </row>
    <row r="1043" spans="1:9" customFormat="1" ht="46.5" customHeight="1" x14ac:dyDescent="0.2">
      <c r="A1043" s="12" t="s">
        <v>10684</v>
      </c>
      <c r="B1043" s="12" t="s">
        <v>8376</v>
      </c>
      <c r="C1043" s="667" t="s">
        <v>10688</v>
      </c>
      <c r="D1043" s="12" t="s">
        <v>10689</v>
      </c>
      <c r="E1043" s="155" t="s">
        <v>7027</v>
      </c>
      <c r="F1043" s="57">
        <v>1200</v>
      </c>
      <c r="G1043" s="57">
        <v>136032</v>
      </c>
      <c r="H1043" s="107"/>
      <c r="I1043" s="8" t="s">
        <v>11723</v>
      </c>
    </row>
    <row r="1044" spans="1:9" customFormat="1" ht="46.5" customHeight="1" x14ac:dyDescent="0.2">
      <c r="A1044" s="12" t="s">
        <v>10685</v>
      </c>
      <c r="B1044" s="12" t="s">
        <v>8376</v>
      </c>
      <c r="C1044" s="667" t="s">
        <v>10690</v>
      </c>
      <c r="D1044" s="12" t="s">
        <v>10693</v>
      </c>
      <c r="E1044" s="155" t="s">
        <v>7027</v>
      </c>
      <c r="F1044" s="57">
        <v>1200</v>
      </c>
      <c r="G1044" s="57">
        <v>136032</v>
      </c>
      <c r="H1044" s="107"/>
      <c r="I1044" s="8" t="s">
        <v>11723</v>
      </c>
    </row>
    <row r="1045" spans="1:9" customFormat="1" ht="46.5" customHeight="1" x14ac:dyDescent="0.2">
      <c r="A1045" s="12" t="s">
        <v>10686</v>
      </c>
      <c r="B1045" s="12" t="s">
        <v>8376</v>
      </c>
      <c r="C1045" s="667" t="s">
        <v>10691</v>
      </c>
      <c r="D1045" s="12" t="s">
        <v>10695</v>
      </c>
      <c r="E1045" s="155" t="s">
        <v>7027</v>
      </c>
      <c r="F1045" s="57">
        <v>1200</v>
      </c>
      <c r="G1045" s="57">
        <v>136032</v>
      </c>
      <c r="H1045" s="107"/>
      <c r="I1045" s="8" t="s">
        <v>11723</v>
      </c>
    </row>
    <row r="1046" spans="1:9" customFormat="1" ht="46.5" customHeight="1" x14ac:dyDescent="0.2">
      <c r="A1046" s="12" t="s">
        <v>10687</v>
      </c>
      <c r="B1046" s="12" t="s">
        <v>8376</v>
      </c>
      <c r="C1046" s="667" t="s">
        <v>10692</v>
      </c>
      <c r="D1046" s="12" t="s">
        <v>10694</v>
      </c>
      <c r="E1046" s="155" t="s">
        <v>7027</v>
      </c>
      <c r="F1046" s="57">
        <v>1200</v>
      </c>
      <c r="G1046" s="57">
        <v>136032</v>
      </c>
      <c r="H1046" s="107"/>
      <c r="I1046" s="8" t="s">
        <v>11723</v>
      </c>
    </row>
    <row r="1047" spans="1:9" customFormat="1" ht="46.5" customHeight="1" x14ac:dyDescent="0.2">
      <c r="A1047" s="12" t="s">
        <v>10696</v>
      </c>
      <c r="B1047" s="12" t="s">
        <v>8376</v>
      </c>
      <c r="C1047" s="667" t="s">
        <v>10702</v>
      </c>
      <c r="D1047" s="12" t="s">
        <v>10703</v>
      </c>
      <c r="E1047" s="155" t="s">
        <v>7027</v>
      </c>
      <c r="F1047" s="57">
        <v>1200</v>
      </c>
      <c r="G1047" s="57">
        <v>136032</v>
      </c>
      <c r="H1047" s="107"/>
      <c r="I1047" s="8" t="s">
        <v>11723</v>
      </c>
    </row>
    <row r="1048" spans="1:9" customFormat="1" ht="46.5" customHeight="1" x14ac:dyDescent="0.2">
      <c r="A1048" s="12" t="s">
        <v>10697</v>
      </c>
      <c r="B1048" s="12" t="s">
        <v>8376</v>
      </c>
      <c r="C1048" s="667" t="s">
        <v>10704</v>
      </c>
      <c r="D1048" s="12" t="s">
        <v>10705</v>
      </c>
      <c r="E1048" s="155" t="s">
        <v>7027</v>
      </c>
      <c r="F1048" s="57">
        <v>1200</v>
      </c>
      <c r="G1048" s="57">
        <v>136032</v>
      </c>
      <c r="H1048" s="107"/>
      <c r="I1048" s="8" t="s">
        <v>11723</v>
      </c>
    </row>
    <row r="1049" spans="1:9" customFormat="1" ht="46.5" customHeight="1" x14ac:dyDescent="0.2">
      <c r="A1049" s="12" t="s">
        <v>10698</v>
      </c>
      <c r="B1049" s="12" t="s">
        <v>8376</v>
      </c>
      <c r="C1049" s="667" t="s">
        <v>10706</v>
      </c>
      <c r="D1049" s="12" t="s">
        <v>10709</v>
      </c>
      <c r="E1049" s="155" t="s">
        <v>7027</v>
      </c>
      <c r="F1049" s="57">
        <v>1200</v>
      </c>
      <c r="G1049" s="57">
        <v>136032</v>
      </c>
      <c r="H1049" s="107"/>
      <c r="I1049" s="8" t="s">
        <v>11723</v>
      </c>
    </row>
    <row r="1050" spans="1:9" customFormat="1" ht="46.5" customHeight="1" x14ac:dyDescent="0.2">
      <c r="A1050" s="12" t="s">
        <v>10699</v>
      </c>
      <c r="B1050" s="12" t="s">
        <v>8376</v>
      </c>
      <c r="C1050" s="667" t="s">
        <v>10707</v>
      </c>
      <c r="D1050" s="12" t="s">
        <v>10708</v>
      </c>
      <c r="E1050" s="155" t="s">
        <v>7027</v>
      </c>
      <c r="F1050" s="57">
        <v>1200</v>
      </c>
      <c r="G1050" s="57">
        <v>136032</v>
      </c>
      <c r="H1050" s="107"/>
      <c r="I1050" s="8" t="s">
        <v>11723</v>
      </c>
    </row>
    <row r="1051" spans="1:9" customFormat="1" ht="46.5" customHeight="1" x14ac:dyDescent="0.2">
      <c r="A1051" s="12" t="s">
        <v>10700</v>
      </c>
      <c r="B1051" s="12" t="s">
        <v>8376</v>
      </c>
      <c r="C1051" s="667" t="s">
        <v>10714</v>
      </c>
      <c r="D1051" s="12" t="s">
        <v>10715</v>
      </c>
      <c r="E1051" s="155" t="s">
        <v>7027</v>
      </c>
      <c r="F1051" s="57">
        <v>1200</v>
      </c>
      <c r="G1051" s="57">
        <v>136032</v>
      </c>
      <c r="H1051" s="107"/>
      <c r="I1051" s="8" t="s">
        <v>11723</v>
      </c>
    </row>
    <row r="1052" spans="1:9" customFormat="1" ht="46.5" customHeight="1" x14ac:dyDescent="0.2">
      <c r="A1052" s="12" t="s">
        <v>10701</v>
      </c>
      <c r="B1052" s="12" t="s">
        <v>8376</v>
      </c>
      <c r="C1052" s="667" t="s">
        <v>10716</v>
      </c>
      <c r="D1052" s="12" t="s">
        <v>10718</v>
      </c>
      <c r="E1052" s="155" t="s">
        <v>7027</v>
      </c>
      <c r="F1052" s="57">
        <v>1200</v>
      </c>
      <c r="G1052" s="57">
        <v>136032</v>
      </c>
      <c r="H1052" s="107"/>
      <c r="I1052" s="8" t="s">
        <v>11723</v>
      </c>
    </row>
    <row r="1053" spans="1:9" customFormat="1" ht="46.5" customHeight="1" x14ac:dyDescent="0.2">
      <c r="A1053" s="12" t="s">
        <v>10710</v>
      </c>
      <c r="B1053" s="12" t="s">
        <v>8376</v>
      </c>
      <c r="C1053" s="667" t="s">
        <v>10719</v>
      </c>
      <c r="D1053" s="12" t="s">
        <v>10717</v>
      </c>
      <c r="E1053" s="155" t="s">
        <v>7027</v>
      </c>
      <c r="F1053" s="57">
        <v>1200</v>
      </c>
      <c r="G1053" s="57">
        <v>136032</v>
      </c>
      <c r="H1053" s="107"/>
      <c r="I1053" s="8" t="s">
        <v>11723</v>
      </c>
    </row>
    <row r="1054" spans="1:9" customFormat="1" ht="46.5" customHeight="1" x14ac:dyDescent="0.2">
      <c r="A1054" s="12" t="s">
        <v>10711</v>
      </c>
      <c r="B1054" s="12" t="s">
        <v>8376</v>
      </c>
      <c r="C1054" s="667" t="s">
        <v>10720</v>
      </c>
      <c r="D1054" s="12" t="s">
        <v>10723</v>
      </c>
      <c r="E1054" s="155" t="s">
        <v>7027</v>
      </c>
      <c r="F1054" s="57">
        <v>1200</v>
      </c>
      <c r="G1054" s="57">
        <v>136032</v>
      </c>
      <c r="H1054" s="107"/>
      <c r="I1054" s="8" t="s">
        <v>11723</v>
      </c>
    </row>
    <row r="1055" spans="1:9" customFormat="1" ht="46.5" customHeight="1" x14ac:dyDescent="0.2">
      <c r="A1055" s="12" t="s">
        <v>10712</v>
      </c>
      <c r="B1055" s="12" t="s">
        <v>8376</v>
      </c>
      <c r="C1055" s="667" t="s">
        <v>10721</v>
      </c>
      <c r="D1055" s="12" t="s">
        <v>10722</v>
      </c>
      <c r="E1055" s="155" t="s">
        <v>7027</v>
      </c>
      <c r="F1055" s="57">
        <v>1200</v>
      </c>
      <c r="G1055" s="57">
        <v>136032</v>
      </c>
      <c r="H1055" s="107"/>
      <c r="I1055" s="8" t="s">
        <v>11723</v>
      </c>
    </row>
    <row r="1056" spans="1:9" customFormat="1" ht="46.5" customHeight="1" x14ac:dyDescent="0.2">
      <c r="A1056" s="12" t="s">
        <v>10735</v>
      </c>
      <c r="B1056" s="12" t="s">
        <v>8376</v>
      </c>
      <c r="C1056" s="667" t="s">
        <v>10739</v>
      </c>
      <c r="D1056" s="12" t="s">
        <v>10743</v>
      </c>
      <c r="E1056" s="155" t="s">
        <v>7027</v>
      </c>
      <c r="F1056" s="57">
        <v>1200</v>
      </c>
      <c r="G1056" s="57">
        <v>136032</v>
      </c>
      <c r="H1056" s="107"/>
      <c r="I1056" s="8" t="s">
        <v>11723</v>
      </c>
    </row>
    <row r="1057" spans="1:9" customFormat="1" ht="46.5" customHeight="1" x14ac:dyDescent="0.2">
      <c r="A1057" s="12" t="s">
        <v>10736</v>
      </c>
      <c r="B1057" s="12" t="s">
        <v>8376</v>
      </c>
      <c r="C1057" s="667" t="s">
        <v>10740</v>
      </c>
      <c r="D1057" s="12" t="s">
        <v>10744</v>
      </c>
      <c r="E1057" s="155" t="s">
        <v>7027</v>
      </c>
      <c r="F1057" s="57">
        <v>1200</v>
      </c>
      <c r="G1057" s="57">
        <v>136032</v>
      </c>
      <c r="H1057" s="107"/>
      <c r="I1057" s="8" t="s">
        <v>11723</v>
      </c>
    </row>
    <row r="1058" spans="1:9" customFormat="1" ht="46.5" customHeight="1" x14ac:dyDescent="0.2">
      <c r="A1058" s="12" t="s">
        <v>10737</v>
      </c>
      <c r="B1058" s="12" t="s">
        <v>8376</v>
      </c>
      <c r="C1058" s="667" t="s">
        <v>10741</v>
      </c>
      <c r="D1058" s="12" t="s">
        <v>10745</v>
      </c>
      <c r="E1058" s="155" t="s">
        <v>7027</v>
      </c>
      <c r="F1058" s="57">
        <v>1200</v>
      </c>
      <c r="G1058" s="57">
        <v>136032</v>
      </c>
      <c r="H1058" s="107"/>
      <c r="I1058" s="8" t="s">
        <v>11723</v>
      </c>
    </row>
    <row r="1059" spans="1:9" customFormat="1" ht="46.5" customHeight="1" x14ac:dyDescent="0.2">
      <c r="A1059" s="12" t="s">
        <v>10738</v>
      </c>
      <c r="B1059" s="12" t="s">
        <v>8376</v>
      </c>
      <c r="C1059" s="667" t="s">
        <v>10742</v>
      </c>
      <c r="D1059" s="12" t="s">
        <v>10746</v>
      </c>
      <c r="E1059" s="155" t="s">
        <v>7027</v>
      </c>
      <c r="F1059" s="57">
        <v>1200</v>
      </c>
      <c r="G1059" s="57">
        <v>136032</v>
      </c>
      <c r="H1059" s="107"/>
      <c r="I1059" s="8" t="s">
        <v>11723</v>
      </c>
    </row>
    <row r="1060" spans="1:9" customFormat="1" ht="46.5" customHeight="1" x14ac:dyDescent="0.2">
      <c r="A1060" s="12" t="s">
        <v>10762</v>
      </c>
      <c r="B1060" s="12" t="s">
        <v>8376</v>
      </c>
      <c r="C1060" s="667" t="s">
        <v>10766</v>
      </c>
      <c r="D1060" s="12" t="s">
        <v>10768</v>
      </c>
      <c r="E1060" s="155" t="s">
        <v>7027</v>
      </c>
      <c r="F1060" s="57">
        <v>1200</v>
      </c>
      <c r="G1060" s="57">
        <v>136032</v>
      </c>
      <c r="H1060" s="107"/>
      <c r="I1060" s="8" t="s">
        <v>11723</v>
      </c>
    </row>
    <row r="1061" spans="1:9" customFormat="1" ht="46.5" customHeight="1" x14ac:dyDescent="0.2">
      <c r="A1061" s="12" t="s">
        <v>10763</v>
      </c>
      <c r="B1061" s="12" t="s">
        <v>8376</v>
      </c>
      <c r="C1061" s="667" t="s">
        <v>10767</v>
      </c>
      <c r="D1061" s="12" t="s">
        <v>10769</v>
      </c>
      <c r="E1061" s="155" t="s">
        <v>7027</v>
      </c>
      <c r="F1061" s="57">
        <v>1200</v>
      </c>
      <c r="G1061" s="57">
        <v>136032</v>
      </c>
      <c r="H1061" s="107"/>
      <c r="I1061" s="8" t="s">
        <v>11723</v>
      </c>
    </row>
    <row r="1062" spans="1:9" customFormat="1" ht="46.5" customHeight="1" x14ac:dyDescent="0.2">
      <c r="A1062" s="12" t="s">
        <v>10764</v>
      </c>
      <c r="B1062" s="12" t="s">
        <v>8376</v>
      </c>
      <c r="C1062" s="667" t="s">
        <v>10771</v>
      </c>
      <c r="D1062" s="12" t="s">
        <v>10770</v>
      </c>
      <c r="E1062" s="155" t="s">
        <v>7027</v>
      </c>
      <c r="F1062" s="57">
        <v>1200</v>
      </c>
      <c r="G1062" s="57">
        <v>136032</v>
      </c>
      <c r="H1062" s="107"/>
      <c r="I1062" s="8" t="s">
        <v>11723</v>
      </c>
    </row>
    <row r="1063" spans="1:9" customFormat="1" ht="46.5" customHeight="1" x14ac:dyDescent="0.2">
      <c r="A1063" s="12" t="s">
        <v>10765</v>
      </c>
      <c r="B1063" s="12" t="s">
        <v>8376</v>
      </c>
      <c r="C1063" s="667" t="s">
        <v>10810</v>
      </c>
      <c r="D1063" s="12" t="s">
        <v>10811</v>
      </c>
      <c r="E1063" s="155" t="s">
        <v>7027</v>
      </c>
      <c r="F1063" s="57">
        <v>1200</v>
      </c>
      <c r="G1063" s="57">
        <v>136032</v>
      </c>
      <c r="H1063" s="107"/>
      <c r="I1063" s="8" t="s">
        <v>11723</v>
      </c>
    </row>
    <row r="1064" spans="1:9" customFormat="1" ht="46.5" customHeight="1" x14ac:dyDescent="0.2">
      <c r="A1064" s="12" t="s">
        <v>10799</v>
      </c>
      <c r="B1064" s="12" t="s">
        <v>8376</v>
      </c>
      <c r="C1064" s="667" t="s">
        <v>10812</v>
      </c>
      <c r="D1064" s="12" t="s">
        <v>10813</v>
      </c>
      <c r="E1064" s="155" t="s">
        <v>7027</v>
      </c>
      <c r="F1064" s="57">
        <v>1200</v>
      </c>
      <c r="G1064" s="57">
        <v>136032</v>
      </c>
      <c r="H1064" s="107"/>
      <c r="I1064" s="8" t="s">
        <v>11723</v>
      </c>
    </row>
    <row r="1065" spans="1:9" customFormat="1" ht="46.5" customHeight="1" x14ac:dyDescent="0.2">
      <c r="A1065" s="12" t="s">
        <v>10800</v>
      </c>
      <c r="B1065" s="12" t="s">
        <v>8376</v>
      </c>
      <c r="C1065" s="667" t="s">
        <v>10814</v>
      </c>
      <c r="D1065" s="12" t="s">
        <v>10815</v>
      </c>
      <c r="E1065" s="155" t="s">
        <v>7027</v>
      </c>
      <c r="F1065" s="57">
        <v>1200</v>
      </c>
      <c r="G1065" s="57">
        <v>136032</v>
      </c>
      <c r="H1065" s="107"/>
      <c r="I1065" s="8" t="s">
        <v>11723</v>
      </c>
    </row>
    <row r="1066" spans="1:9" customFormat="1" ht="46.5" customHeight="1" x14ac:dyDescent="0.2">
      <c r="A1066" s="12" t="s">
        <v>10801</v>
      </c>
      <c r="B1066" s="12" t="s">
        <v>8376</v>
      </c>
      <c r="C1066" s="667" t="s">
        <v>10816</v>
      </c>
      <c r="D1066" s="12" t="s">
        <v>10818</v>
      </c>
      <c r="E1066" s="155" t="s">
        <v>7027</v>
      </c>
      <c r="F1066" s="57">
        <v>1200</v>
      </c>
      <c r="G1066" s="57">
        <v>136032</v>
      </c>
      <c r="H1066" s="107"/>
      <c r="I1066" s="8" t="s">
        <v>11723</v>
      </c>
    </row>
    <row r="1067" spans="1:9" customFormat="1" ht="46.5" customHeight="1" x14ac:dyDescent="0.2">
      <c r="A1067" s="12" t="s">
        <v>10802</v>
      </c>
      <c r="B1067" s="12" t="s">
        <v>8376</v>
      </c>
      <c r="C1067" s="667" t="s">
        <v>10820</v>
      </c>
      <c r="D1067" s="12" t="s">
        <v>10819</v>
      </c>
      <c r="E1067" s="155" t="s">
        <v>7027</v>
      </c>
      <c r="F1067" s="57">
        <v>1200</v>
      </c>
      <c r="G1067" s="57">
        <v>136032</v>
      </c>
      <c r="H1067" s="107"/>
      <c r="I1067" s="8" t="s">
        <v>11723</v>
      </c>
    </row>
    <row r="1068" spans="1:9" customFormat="1" ht="46.5" customHeight="1" x14ac:dyDescent="0.2">
      <c r="A1068" s="12" t="s">
        <v>10803</v>
      </c>
      <c r="B1068" s="12" t="s">
        <v>8376</v>
      </c>
      <c r="C1068" s="667" t="s">
        <v>10821</v>
      </c>
      <c r="D1068" s="12" t="s">
        <v>10822</v>
      </c>
      <c r="E1068" s="155" t="s">
        <v>7027</v>
      </c>
      <c r="F1068" s="57">
        <v>1200</v>
      </c>
      <c r="G1068" s="57">
        <v>136032</v>
      </c>
      <c r="H1068" s="107"/>
      <c r="I1068" s="8" t="s">
        <v>11723</v>
      </c>
    </row>
    <row r="1069" spans="1:9" customFormat="1" ht="46.5" customHeight="1" x14ac:dyDescent="0.2">
      <c r="A1069" s="12" t="s">
        <v>10804</v>
      </c>
      <c r="B1069" s="12" t="s">
        <v>8376</v>
      </c>
      <c r="C1069" s="667" t="s">
        <v>10823</v>
      </c>
      <c r="D1069" s="12" t="s">
        <v>10824</v>
      </c>
      <c r="E1069" s="155" t="s">
        <v>7027</v>
      </c>
      <c r="F1069" s="57">
        <v>1200</v>
      </c>
      <c r="G1069" s="57">
        <v>136032</v>
      </c>
      <c r="H1069" s="107"/>
      <c r="I1069" s="8" t="s">
        <v>11723</v>
      </c>
    </row>
    <row r="1070" spans="1:9" customFormat="1" ht="46.5" customHeight="1" x14ac:dyDescent="0.2">
      <c r="A1070" s="12" t="s">
        <v>10805</v>
      </c>
      <c r="B1070" s="12" t="s">
        <v>8376</v>
      </c>
      <c r="C1070" s="667" t="s">
        <v>10825</v>
      </c>
      <c r="D1070" s="12" t="s">
        <v>10817</v>
      </c>
      <c r="E1070" s="155" t="s">
        <v>7027</v>
      </c>
      <c r="F1070" s="57">
        <v>1200</v>
      </c>
      <c r="G1070" s="57">
        <v>136032</v>
      </c>
      <c r="H1070" s="107"/>
      <c r="I1070" s="8" t="s">
        <v>11723</v>
      </c>
    </row>
    <row r="1071" spans="1:9" customFormat="1" ht="36" customHeight="1" x14ac:dyDescent="0.2">
      <c r="A1071" s="12" t="s">
        <v>10806</v>
      </c>
      <c r="B1071" s="12" t="s">
        <v>10846</v>
      </c>
      <c r="C1071" s="667" t="s">
        <v>10843</v>
      </c>
      <c r="D1071" s="12" t="s">
        <v>10845</v>
      </c>
      <c r="E1071" s="155" t="s">
        <v>7027</v>
      </c>
      <c r="F1071" s="57">
        <v>1200</v>
      </c>
      <c r="G1071" s="57">
        <v>634000</v>
      </c>
      <c r="H1071" s="107"/>
      <c r="I1071" s="8" t="s">
        <v>11723</v>
      </c>
    </row>
    <row r="1072" spans="1:9" customFormat="1" ht="46.5" customHeight="1" x14ac:dyDescent="0.2">
      <c r="A1072" s="12" t="s">
        <v>10807</v>
      </c>
      <c r="B1072" s="12" t="s">
        <v>8376</v>
      </c>
      <c r="C1072" s="667" t="s">
        <v>10844</v>
      </c>
      <c r="D1072" s="12" t="s">
        <v>10847</v>
      </c>
      <c r="E1072" s="155" t="s">
        <v>7027</v>
      </c>
      <c r="F1072" s="57">
        <v>1200</v>
      </c>
      <c r="G1072" s="57">
        <v>634000</v>
      </c>
      <c r="H1072" s="107"/>
      <c r="I1072" s="8" t="s">
        <v>11723</v>
      </c>
    </row>
    <row r="1073" spans="1:9" customFormat="1" ht="46.5" customHeight="1" x14ac:dyDescent="0.2">
      <c r="A1073" s="12" t="s">
        <v>10808</v>
      </c>
      <c r="B1073" s="12" t="s">
        <v>8376</v>
      </c>
      <c r="C1073" s="667" t="s">
        <v>10849</v>
      </c>
      <c r="D1073" s="12" t="s">
        <v>10848</v>
      </c>
      <c r="E1073" s="155" t="s">
        <v>7027</v>
      </c>
      <c r="F1073" s="57">
        <v>1200</v>
      </c>
      <c r="G1073" s="57">
        <v>634000</v>
      </c>
      <c r="H1073" s="107"/>
      <c r="I1073" s="8" t="s">
        <v>11723</v>
      </c>
    </row>
    <row r="1074" spans="1:9" customFormat="1" ht="46.5" customHeight="1" x14ac:dyDescent="0.2">
      <c r="A1074" s="12" t="s">
        <v>10809</v>
      </c>
      <c r="B1074" s="12" t="s">
        <v>8376</v>
      </c>
      <c r="C1074" s="667" t="s">
        <v>10850</v>
      </c>
      <c r="D1074" s="12" t="s">
        <v>10851</v>
      </c>
      <c r="E1074" s="155" t="s">
        <v>7027</v>
      </c>
      <c r="F1074" s="57">
        <v>1200</v>
      </c>
      <c r="G1074" s="57">
        <v>634000</v>
      </c>
      <c r="H1074" s="107"/>
      <c r="I1074" s="8" t="s">
        <v>11723</v>
      </c>
    </row>
    <row r="1075" spans="1:9" customFormat="1" ht="46.5" customHeight="1" x14ac:dyDescent="0.2">
      <c r="A1075" s="12" t="s">
        <v>10837</v>
      </c>
      <c r="B1075" s="12" t="s">
        <v>8376</v>
      </c>
      <c r="C1075" s="667" t="s">
        <v>10852</v>
      </c>
      <c r="D1075" s="12" t="s">
        <v>10863</v>
      </c>
      <c r="E1075" s="155" t="s">
        <v>7027</v>
      </c>
      <c r="F1075" s="57">
        <v>1200</v>
      </c>
      <c r="G1075" s="57">
        <v>634000</v>
      </c>
      <c r="H1075" s="107"/>
      <c r="I1075" s="8" t="s">
        <v>11723</v>
      </c>
    </row>
    <row r="1076" spans="1:9" customFormat="1" ht="46.5" customHeight="1" x14ac:dyDescent="0.2">
      <c r="A1076" s="12" t="s">
        <v>10838</v>
      </c>
      <c r="B1076" s="12" t="s">
        <v>8376</v>
      </c>
      <c r="C1076" s="667" t="s">
        <v>10856</v>
      </c>
      <c r="D1076" s="12" t="s">
        <v>10855</v>
      </c>
      <c r="E1076" s="155" t="s">
        <v>7027</v>
      </c>
      <c r="F1076" s="57">
        <v>1200</v>
      </c>
      <c r="G1076" s="57">
        <v>634000</v>
      </c>
      <c r="H1076" s="107"/>
      <c r="I1076" s="8" t="s">
        <v>11723</v>
      </c>
    </row>
    <row r="1077" spans="1:9" customFormat="1" ht="46.5" customHeight="1" x14ac:dyDescent="0.2">
      <c r="A1077" s="12" t="s">
        <v>10839</v>
      </c>
      <c r="B1077" s="12" t="s">
        <v>8376</v>
      </c>
      <c r="C1077" s="667" t="s">
        <v>10858</v>
      </c>
      <c r="D1077" s="12" t="s">
        <v>10857</v>
      </c>
      <c r="E1077" s="155" t="s">
        <v>7027</v>
      </c>
      <c r="F1077" s="57">
        <v>1200</v>
      </c>
      <c r="G1077" s="57">
        <v>634000</v>
      </c>
      <c r="H1077" s="107"/>
      <c r="I1077" s="8" t="s">
        <v>11723</v>
      </c>
    </row>
    <row r="1078" spans="1:9" customFormat="1" ht="46.5" customHeight="1" x14ac:dyDescent="0.2">
      <c r="A1078" s="12" t="s">
        <v>10840</v>
      </c>
      <c r="B1078" s="12" t="s">
        <v>8376</v>
      </c>
      <c r="C1078" s="667" t="s">
        <v>10860</v>
      </c>
      <c r="D1078" s="12" t="s">
        <v>10859</v>
      </c>
      <c r="E1078" s="155" t="s">
        <v>7027</v>
      </c>
      <c r="F1078" s="57">
        <v>1200</v>
      </c>
      <c r="G1078" s="57">
        <v>634000</v>
      </c>
      <c r="H1078" s="107"/>
      <c r="I1078" s="8" t="s">
        <v>11723</v>
      </c>
    </row>
    <row r="1079" spans="1:9" customFormat="1" ht="46.5" customHeight="1" x14ac:dyDescent="0.2">
      <c r="A1079" s="12" t="s">
        <v>10841</v>
      </c>
      <c r="B1079" s="12" t="s">
        <v>8376</v>
      </c>
      <c r="C1079" s="667" t="s">
        <v>10861</v>
      </c>
      <c r="D1079" s="12" t="s">
        <v>10862</v>
      </c>
      <c r="E1079" s="155" t="s">
        <v>7027</v>
      </c>
      <c r="F1079" s="57">
        <v>1200</v>
      </c>
      <c r="G1079" s="57">
        <v>634000</v>
      </c>
      <c r="H1079" s="107"/>
      <c r="I1079" s="8" t="s">
        <v>11723</v>
      </c>
    </row>
    <row r="1080" spans="1:9" customFormat="1" ht="46.5" customHeight="1" x14ac:dyDescent="0.2">
      <c r="A1080" s="12" t="s">
        <v>10842</v>
      </c>
      <c r="B1080" s="12" t="s">
        <v>8376</v>
      </c>
      <c r="C1080" s="667" t="s">
        <v>10854</v>
      </c>
      <c r="D1080" s="12" t="s">
        <v>10853</v>
      </c>
      <c r="E1080" s="155" t="s">
        <v>7027</v>
      </c>
      <c r="F1080" s="57">
        <v>1200</v>
      </c>
      <c r="G1080" s="57">
        <v>634000</v>
      </c>
      <c r="H1080" s="107"/>
      <c r="I1080" s="8" t="s">
        <v>11723</v>
      </c>
    </row>
    <row r="1081" spans="1:9" s="197" customFormat="1" ht="47.25" customHeight="1" x14ac:dyDescent="0.2">
      <c r="A1081" s="12" t="s">
        <v>10880</v>
      </c>
      <c r="B1081" s="199" t="s">
        <v>8376</v>
      </c>
      <c r="C1081" s="260" t="s">
        <v>10883</v>
      </c>
      <c r="D1081" s="12" t="s">
        <v>10887</v>
      </c>
      <c r="E1081" s="155" t="s">
        <v>7027</v>
      </c>
      <c r="F1081" s="57">
        <v>1200</v>
      </c>
      <c r="G1081" s="57">
        <v>136032</v>
      </c>
      <c r="H1081" s="107"/>
      <c r="I1081" s="8" t="s">
        <v>11723</v>
      </c>
    </row>
    <row r="1082" spans="1:9" s="197" customFormat="1" ht="47.25" customHeight="1" x14ac:dyDescent="0.2">
      <c r="A1082" s="12" t="s">
        <v>10881</v>
      </c>
      <c r="B1082" s="199" t="s">
        <v>8376</v>
      </c>
      <c r="C1082" s="260" t="s">
        <v>10884</v>
      </c>
      <c r="D1082" s="12" t="s">
        <v>10886</v>
      </c>
      <c r="E1082" s="155" t="s">
        <v>7027</v>
      </c>
      <c r="F1082" s="57">
        <v>1200</v>
      </c>
      <c r="G1082" s="57">
        <v>136032</v>
      </c>
      <c r="H1082" s="107"/>
      <c r="I1082" s="8" t="s">
        <v>11723</v>
      </c>
    </row>
    <row r="1083" spans="1:9" s="197" customFormat="1" ht="47.25" customHeight="1" x14ac:dyDescent="0.2">
      <c r="A1083" s="12" t="s">
        <v>10882</v>
      </c>
      <c r="B1083" s="199" t="s">
        <v>8376</v>
      </c>
      <c r="C1083" s="260" t="s">
        <v>10885</v>
      </c>
      <c r="D1083" s="12" t="s">
        <v>10888</v>
      </c>
      <c r="E1083" s="155" t="s">
        <v>7028</v>
      </c>
      <c r="F1083" s="57">
        <v>1200</v>
      </c>
      <c r="G1083" s="57">
        <v>136032</v>
      </c>
      <c r="H1083" s="107"/>
      <c r="I1083" s="8" t="s">
        <v>11723</v>
      </c>
    </row>
    <row r="1084" spans="1:9" s="197" customFormat="1" ht="38.25" customHeight="1" x14ac:dyDescent="0.2">
      <c r="A1084" s="12" t="s">
        <v>11476</v>
      </c>
      <c r="B1084" s="199" t="s">
        <v>11396</v>
      </c>
      <c r="C1084" s="260" t="s">
        <v>9444</v>
      </c>
      <c r="D1084" s="12" t="s">
        <v>11477</v>
      </c>
      <c r="E1084" s="155" t="s">
        <v>7028</v>
      </c>
      <c r="F1084" s="57">
        <v>6367</v>
      </c>
      <c r="G1084" s="57">
        <v>4338155.45</v>
      </c>
      <c r="H1084" s="363"/>
      <c r="I1084" s="8" t="s">
        <v>11724</v>
      </c>
    </row>
    <row r="1085" spans="1:9" s="197" customFormat="1" ht="58.5" customHeight="1" x14ac:dyDescent="0.2">
      <c r="A1085" s="12" t="s">
        <v>11504</v>
      </c>
      <c r="B1085" s="12" t="s">
        <v>9443</v>
      </c>
      <c r="C1085" s="667" t="s">
        <v>11505</v>
      </c>
      <c r="D1085" s="199" t="s">
        <v>11506</v>
      </c>
      <c r="E1085" s="155" t="s">
        <v>7028</v>
      </c>
      <c r="F1085" s="57">
        <v>14</v>
      </c>
      <c r="G1085" s="57">
        <v>6840.42</v>
      </c>
      <c r="H1085" s="363"/>
      <c r="I1085" s="8" t="s">
        <v>11724</v>
      </c>
    </row>
    <row r="1086" spans="1:9" s="197" customFormat="1" ht="58.5" customHeight="1" x14ac:dyDescent="0.2">
      <c r="A1086" s="12" t="s">
        <v>12014</v>
      </c>
      <c r="B1086" s="12" t="s">
        <v>9443</v>
      </c>
      <c r="C1086" s="667" t="s">
        <v>12015</v>
      </c>
      <c r="D1086" s="199" t="s">
        <v>12016</v>
      </c>
      <c r="E1086" s="155" t="s">
        <v>7028</v>
      </c>
      <c r="F1086" s="57">
        <v>12</v>
      </c>
      <c r="G1086" s="57">
        <v>5880.36</v>
      </c>
      <c r="H1086" s="363"/>
      <c r="I1086" s="8" t="s">
        <v>11724</v>
      </c>
    </row>
    <row r="1087" spans="1:9" s="197" customFormat="1" ht="46.5" customHeight="1" x14ac:dyDescent="0.2">
      <c r="A1087" s="12" t="s">
        <v>12017</v>
      </c>
      <c r="B1087" s="199" t="s">
        <v>8376</v>
      </c>
      <c r="C1087" s="260" t="s">
        <v>12018</v>
      </c>
      <c r="D1087" s="199" t="s">
        <v>12019</v>
      </c>
      <c r="E1087" s="155" t="s">
        <v>7028</v>
      </c>
      <c r="F1087" s="57">
        <v>1200</v>
      </c>
      <c r="G1087" s="57">
        <v>136032</v>
      </c>
      <c r="H1087" s="363"/>
      <c r="I1087" s="8" t="s">
        <v>11723</v>
      </c>
    </row>
    <row r="1088" spans="1:9" s="197" customFormat="1" ht="48.75" customHeight="1" x14ac:dyDescent="0.2">
      <c r="A1088" s="12" t="s">
        <v>12020</v>
      </c>
      <c r="B1088" s="199" t="s">
        <v>8376</v>
      </c>
      <c r="C1088" s="260" t="s">
        <v>12021</v>
      </c>
      <c r="D1088" s="199" t="s">
        <v>12022</v>
      </c>
      <c r="E1088" s="155" t="s">
        <v>7028</v>
      </c>
      <c r="F1088" s="57">
        <v>1200</v>
      </c>
      <c r="G1088" s="57">
        <v>136032</v>
      </c>
      <c r="H1088" s="363"/>
      <c r="I1088" s="8" t="s">
        <v>11723</v>
      </c>
    </row>
    <row r="1089" spans="1:9" s="197" customFormat="1" ht="45.75" customHeight="1" x14ac:dyDescent="0.2">
      <c r="A1089" s="12" t="s">
        <v>12023</v>
      </c>
      <c r="B1089" s="199" t="s">
        <v>8376</v>
      </c>
      <c r="C1089" s="260" t="s">
        <v>12024</v>
      </c>
      <c r="D1089" s="199" t="s">
        <v>12025</v>
      </c>
      <c r="E1089" s="155" t="s">
        <v>7028</v>
      </c>
      <c r="F1089" s="57">
        <v>1200</v>
      </c>
      <c r="G1089" s="57">
        <v>136032</v>
      </c>
      <c r="H1089" s="363"/>
      <c r="I1089" s="8" t="s">
        <v>11723</v>
      </c>
    </row>
    <row r="1090" spans="1:9" s="197" customFormat="1" ht="46.5" customHeight="1" x14ac:dyDescent="0.2">
      <c r="A1090" s="12" t="s">
        <v>12026</v>
      </c>
      <c r="B1090" s="199" t="s">
        <v>8376</v>
      </c>
      <c r="C1090" s="260" t="s">
        <v>12027</v>
      </c>
      <c r="D1090" s="199" t="s">
        <v>12028</v>
      </c>
      <c r="E1090" s="155" t="s">
        <v>7028</v>
      </c>
      <c r="F1090" s="57">
        <v>1200</v>
      </c>
      <c r="G1090" s="57">
        <v>136032</v>
      </c>
      <c r="H1090" s="363"/>
      <c r="I1090" s="8" t="s">
        <v>11723</v>
      </c>
    </row>
    <row r="1091" spans="1:9" s="197" customFormat="1" ht="58.5" customHeight="1" x14ac:dyDescent="0.2">
      <c r="A1091" s="12" t="s">
        <v>12029</v>
      </c>
      <c r="B1091" s="199" t="s">
        <v>8376</v>
      </c>
      <c r="C1091" s="260" t="s">
        <v>12030</v>
      </c>
      <c r="D1091" s="199" t="s">
        <v>12031</v>
      </c>
      <c r="E1091" s="155" t="s">
        <v>7028</v>
      </c>
      <c r="F1091" s="57">
        <v>1200</v>
      </c>
      <c r="G1091" s="57">
        <v>136032</v>
      </c>
      <c r="H1091" s="363"/>
      <c r="I1091" s="8" t="s">
        <v>11723</v>
      </c>
    </row>
    <row r="1092" spans="1:9" s="197" customFormat="1" ht="58.5" customHeight="1" x14ac:dyDescent="0.2">
      <c r="A1092" s="12" t="s">
        <v>12032</v>
      </c>
      <c r="B1092" s="199" t="s">
        <v>8376</v>
      </c>
      <c r="C1092" s="260" t="s">
        <v>12033</v>
      </c>
      <c r="D1092" s="199" t="s">
        <v>12034</v>
      </c>
      <c r="E1092" s="155" t="s">
        <v>7028</v>
      </c>
      <c r="F1092" s="57">
        <v>1200</v>
      </c>
      <c r="G1092" s="57">
        <v>136032</v>
      </c>
      <c r="H1092" s="363"/>
      <c r="I1092" s="8" t="s">
        <v>11723</v>
      </c>
    </row>
    <row r="1093" spans="1:9" s="197" customFormat="1" ht="58.5" customHeight="1" x14ac:dyDescent="0.2">
      <c r="A1093" s="12" t="s">
        <v>12035</v>
      </c>
      <c r="B1093" s="199" t="s">
        <v>8376</v>
      </c>
      <c r="C1093" s="260" t="s">
        <v>12036</v>
      </c>
      <c r="D1093" s="199" t="s">
        <v>12037</v>
      </c>
      <c r="E1093" s="155" t="s">
        <v>7028</v>
      </c>
      <c r="F1093" s="57">
        <v>1200</v>
      </c>
      <c r="G1093" s="57">
        <v>136032</v>
      </c>
      <c r="H1093" s="363"/>
      <c r="I1093" s="8" t="s">
        <v>11723</v>
      </c>
    </row>
    <row r="1094" spans="1:9" s="197" customFormat="1" ht="49.5" customHeight="1" x14ac:dyDescent="0.2">
      <c r="A1094" s="12" t="s">
        <v>12038</v>
      </c>
      <c r="B1094" s="199" t="s">
        <v>8376</v>
      </c>
      <c r="C1094" s="260" t="s">
        <v>12039</v>
      </c>
      <c r="D1094" s="199" t="s">
        <v>12040</v>
      </c>
      <c r="E1094" s="155" t="s">
        <v>7028</v>
      </c>
      <c r="F1094" s="57">
        <v>1200</v>
      </c>
      <c r="G1094" s="57">
        <v>136032</v>
      </c>
      <c r="H1094" s="363"/>
      <c r="I1094" s="8" t="s">
        <v>11723</v>
      </c>
    </row>
    <row r="1095" spans="1:9" s="197" customFormat="1" ht="48.75" customHeight="1" x14ac:dyDescent="0.2">
      <c r="A1095" s="12" t="s">
        <v>12041</v>
      </c>
      <c r="B1095" s="199" t="s">
        <v>8376</v>
      </c>
      <c r="C1095" s="260" t="s">
        <v>12042</v>
      </c>
      <c r="D1095" s="199" t="s">
        <v>12043</v>
      </c>
      <c r="E1095" s="155" t="s">
        <v>7028</v>
      </c>
      <c r="F1095" s="57">
        <v>1200</v>
      </c>
      <c r="G1095" s="57">
        <v>136032</v>
      </c>
      <c r="H1095" s="363"/>
      <c r="I1095" s="8" t="s">
        <v>11723</v>
      </c>
    </row>
    <row r="1096" spans="1:9" s="197" customFormat="1" ht="46.5" customHeight="1" x14ac:dyDescent="0.2">
      <c r="A1096" s="12" t="s">
        <v>12044</v>
      </c>
      <c r="B1096" s="199" t="s">
        <v>8376</v>
      </c>
      <c r="C1096" s="260" t="s">
        <v>12045</v>
      </c>
      <c r="D1096" s="199" t="s">
        <v>12046</v>
      </c>
      <c r="E1096" s="155" t="s">
        <v>7028</v>
      </c>
      <c r="F1096" s="57">
        <v>1200</v>
      </c>
      <c r="G1096" s="57">
        <v>136032</v>
      </c>
      <c r="H1096" s="363"/>
      <c r="I1096" s="8" t="s">
        <v>11723</v>
      </c>
    </row>
    <row r="1097" spans="1:9" s="197" customFormat="1" ht="45.75" customHeight="1" x14ac:dyDescent="0.2">
      <c r="A1097" s="12" t="s">
        <v>12047</v>
      </c>
      <c r="B1097" s="199" t="s">
        <v>8376</v>
      </c>
      <c r="C1097" s="260" t="s">
        <v>12048</v>
      </c>
      <c r="D1097" s="199" t="s">
        <v>12049</v>
      </c>
      <c r="E1097" s="155" t="s">
        <v>7028</v>
      </c>
      <c r="F1097" s="57">
        <v>1200</v>
      </c>
      <c r="G1097" s="57">
        <v>136032</v>
      </c>
      <c r="H1097" s="363"/>
      <c r="I1097" s="8" t="s">
        <v>11723</v>
      </c>
    </row>
    <row r="1098" spans="1:9" s="197" customFormat="1" ht="45" customHeight="1" x14ac:dyDescent="0.2">
      <c r="A1098" s="12" t="s">
        <v>12050</v>
      </c>
      <c r="B1098" s="199" t="s">
        <v>8376</v>
      </c>
      <c r="C1098" s="260" t="s">
        <v>12051</v>
      </c>
      <c r="D1098" s="199" t="s">
        <v>12052</v>
      </c>
      <c r="E1098" s="155" t="s">
        <v>7028</v>
      </c>
      <c r="F1098" s="57">
        <v>1200</v>
      </c>
      <c r="G1098" s="57">
        <v>136032</v>
      </c>
      <c r="H1098" s="363"/>
      <c r="I1098" s="8" t="s">
        <v>11723</v>
      </c>
    </row>
    <row r="1099" spans="1:9" s="197" customFormat="1" ht="50.25" customHeight="1" x14ac:dyDescent="0.2">
      <c r="A1099" s="12" t="s">
        <v>12053</v>
      </c>
      <c r="B1099" s="199" t="s">
        <v>8376</v>
      </c>
      <c r="C1099" s="260" t="s">
        <v>12054</v>
      </c>
      <c r="D1099" s="199" t="s">
        <v>12055</v>
      </c>
      <c r="E1099" s="155" t="s">
        <v>7028</v>
      </c>
      <c r="F1099" s="57">
        <v>1200</v>
      </c>
      <c r="G1099" s="57">
        <v>136032</v>
      </c>
      <c r="H1099" s="363"/>
      <c r="I1099" s="8" t="s">
        <v>11723</v>
      </c>
    </row>
    <row r="1100" spans="1:9" s="197" customFormat="1" ht="50.25" customHeight="1" x14ac:dyDescent="0.2">
      <c r="A1100" s="12" t="s">
        <v>12056</v>
      </c>
      <c r="B1100" s="199" t="s">
        <v>8376</v>
      </c>
      <c r="C1100" s="260" t="s">
        <v>12057</v>
      </c>
      <c r="D1100" s="199" t="s">
        <v>12058</v>
      </c>
      <c r="E1100" s="155" t="s">
        <v>7028</v>
      </c>
      <c r="F1100" s="57">
        <v>1200</v>
      </c>
      <c r="G1100" s="57">
        <v>136032</v>
      </c>
      <c r="H1100" s="363"/>
      <c r="I1100" s="8" t="s">
        <v>11723</v>
      </c>
    </row>
    <row r="1101" spans="1:9" s="197" customFormat="1" ht="48" customHeight="1" x14ac:dyDescent="0.2">
      <c r="A1101" s="12" t="s">
        <v>12059</v>
      </c>
      <c r="B1101" s="199" t="s">
        <v>8376</v>
      </c>
      <c r="C1101" s="260" t="s">
        <v>12060</v>
      </c>
      <c r="D1101" s="199" t="s">
        <v>12061</v>
      </c>
      <c r="E1101" s="155" t="s">
        <v>7028</v>
      </c>
      <c r="F1101" s="57">
        <v>1200</v>
      </c>
      <c r="G1101" s="57">
        <v>136032</v>
      </c>
      <c r="H1101" s="363"/>
      <c r="I1101" s="8" t="s">
        <v>11723</v>
      </c>
    </row>
    <row r="1102" spans="1:9" s="197" customFormat="1" ht="48.75" customHeight="1" x14ac:dyDescent="0.2">
      <c r="A1102" s="12" t="s">
        <v>12062</v>
      </c>
      <c r="B1102" s="199" t="s">
        <v>8376</v>
      </c>
      <c r="C1102" s="260" t="s">
        <v>12063</v>
      </c>
      <c r="D1102" s="199" t="s">
        <v>12064</v>
      </c>
      <c r="E1102" s="155" t="s">
        <v>7028</v>
      </c>
      <c r="F1102" s="57">
        <v>1200</v>
      </c>
      <c r="G1102" s="57">
        <v>136032</v>
      </c>
      <c r="H1102" s="363"/>
      <c r="I1102" s="8" t="s">
        <v>11723</v>
      </c>
    </row>
    <row r="1103" spans="1:9" s="197" customFormat="1" ht="47.25" customHeight="1" x14ac:dyDescent="0.2">
      <c r="A1103" s="12" t="s">
        <v>12065</v>
      </c>
      <c r="B1103" s="199" t="s">
        <v>8376</v>
      </c>
      <c r="C1103" s="260" t="s">
        <v>12066</v>
      </c>
      <c r="D1103" s="199" t="s">
        <v>12067</v>
      </c>
      <c r="E1103" s="155" t="s">
        <v>7028</v>
      </c>
      <c r="F1103" s="57">
        <v>1200</v>
      </c>
      <c r="G1103" s="57">
        <v>136032</v>
      </c>
      <c r="H1103" s="363"/>
      <c r="I1103" s="8" t="s">
        <v>11723</v>
      </c>
    </row>
    <row r="1104" spans="1:9" s="197" customFormat="1" ht="45" customHeight="1" x14ac:dyDescent="0.2">
      <c r="A1104" s="12" t="s">
        <v>12068</v>
      </c>
      <c r="B1104" s="199" t="s">
        <v>8376</v>
      </c>
      <c r="C1104" s="260" t="s">
        <v>12069</v>
      </c>
      <c r="D1104" s="199" t="s">
        <v>12070</v>
      </c>
      <c r="E1104" s="155" t="s">
        <v>7028</v>
      </c>
      <c r="F1104" s="57">
        <v>1200</v>
      </c>
      <c r="G1104" s="57">
        <v>136032</v>
      </c>
      <c r="H1104" s="363"/>
      <c r="I1104" s="8" t="s">
        <v>11723</v>
      </c>
    </row>
    <row r="1105" spans="1:9" s="197" customFormat="1" ht="58.5" customHeight="1" x14ac:dyDescent="0.2">
      <c r="A1105" s="12" t="s">
        <v>12071</v>
      </c>
      <c r="B1105" s="199" t="s">
        <v>8376</v>
      </c>
      <c r="C1105" s="260" t="s">
        <v>12072</v>
      </c>
      <c r="D1105" s="199" t="s">
        <v>12073</v>
      </c>
      <c r="E1105" s="155" t="s">
        <v>7028</v>
      </c>
      <c r="F1105" s="57">
        <v>1200</v>
      </c>
      <c r="G1105" s="57">
        <v>136032</v>
      </c>
      <c r="H1105" s="363"/>
      <c r="I1105" s="8" t="s">
        <v>11723</v>
      </c>
    </row>
    <row r="1106" spans="1:9" s="197" customFormat="1" ht="48" customHeight="1" x14ac:dyDescent="0.2">
      <c r="A1106" s="12" t="s">
        <v>12074</v>
      </c>
      <c r="B1106" s="199" t="s">
        <v>8376</v>
      </c>
      <c r="C1106" s="260" t="s">
        <v>12075</v>
      </c>
      <c r="D1106" s="199" t="s">
        <v>12076</v>
      </c>
      <c r="E1106" s="155" t="s">
        <v>7028</v>
      </c>
      <c r="F1106" s="57">
        <v>1200</v>
      </c>
      <c r="G1106" s="57">
        <v>136032</v>
      </c>
      <c r="H1106" s="363"/>
      <c r="I1106" s="8" t="s">
        <v>11723</v>
      </c>
    </row>
    <row r="1107" spans="1:9" s="197" customFormat="1" ht="48" customHeight="1" x14ac:dyDescent="0.2">
      <c r="A1107" s="12" t="s">
        <v>12077</v>
      </c>
      <c r="B1107" s="199" t="s">
        <v>8376</v>
      </c>
      <c r="C1107" s="260" t="s">
        <v>12078</v>
      </c>
      <c r="D1107" s="199" t="s">
        <v>12079</v>
      </c>
      <c r="E1107" s="155" t="s">
        <v>7028</v>
      </c>
      <c r="F1107" s="57">
        <v>1200</v>
      </c>
      <c r="G1107" s="57">
        <v>136032</v>
      </c>
      <c r="H1107" s="363"/>
      <c r="I1107" s="8" t="s">
        <v>11723</v>
      </c>
    </row>
    <row r="1108" spans="1:9" s="197" customFormat="1" ht="58.5" customHeight="1" x14ac:dyDescent="0.2">
      <c r="A1108" s="12" t="s">
        <v>12080</v>
      </c>
      <c r="B1108" s="199" t="s">
        <v>8376</v>
      </c>
      <c r="C1108" s="260" t="s">
        <v>12081</v>
      </c>
      <c r="D1108" s="199" t="s">
        <v>12082</v>
      </c>
      <c r="E1108" s="155" t="s">
        <v>7028</v>
      </c>
      <c r="F1108" s="57">
        <v>1200</v>
      </c>
      <c r="G1108" s="57">
        <v>136032</v>
      </c>
      <c r="H1108" s="363"/>
      <c r="I1108" s="8" t="s">
        <v>11723</v>
      </c>
    </row>
    <row r="1109" spans="1:9" s="197" customFormat="1" ht="45.75" customHeight="1" x14ac:dyDescent="0.2">
      <c r="A1109" s="12" t="s">
        <v>12083</v>
      </c>
      <c r="B1109" s="199" t="s">
        <v>8376</v>
      </c>
      <c r="C1109" s="260" t="s">
        <v>12084</v>
      </c>
      <c r="D1109" s="199" t="s">
        <v>12085</v>
      </c>
      <c r="E1109" s="155" t="s">
        <v>7028</v>
      </c>
      <c r="F1109" s="57">
        <v>1200</v>
      </c>
      <c r="G1109" s="57">
        <v>136032</v>
      </c>
      <c r="H1109" s="363"/>
      <c r="I1109" s="8" t="s">
        <v>11723</v>
      </c>
    </row>
    <row r="1110" spans="1:9" s="197" customFormat="1" ht="48.75" customHeight="1" x14ac:dyDescent="0.2">
      <c r="A1110" s="12" t="s">
        <v>12086</v>
      </c>
      <c r="B1110" s="199" t="s">
        <v>8376</v>
      </c>
      <c r="C1110" s="260" t="s">
        <v>12087</v>
      </c>
      <c r="D1110" s="199" t="s">
        <v>12088</v>
      </c>
      <c r="E1110" s="155" t="s">
        <v>7028</v>
      </c>
      <c r="F1110" s="57">
        <v>1200</v>
      </c>
      <c r="G1110" s="57">
        <v>136032</v>
      </c>
      <c r="H1110" s="363"/>
      <c r="I1110" s="8" t="s">
        <v>11723</v>
      </c>
    </row>
    <row r="1111" spans="1:9" s="197" customFormat="1" ht="48" customHeight="1" x14ac:dyDescent="0.2">
      <c r="A1111" s="12" t="s">
        <v>12089</v>
      </c>
      <c r="B1111" s="199" t="s">
        <v>8376</v>
      </c>
      <c r="C1111" s="260" t="s">
        <v>12090</v>
      </c>
      <c r="D1111" s="199" t="s">
        <v>12091</v>
      </c>
      <c r="E1111" s="155" t="s">
        <v>7028</v>
      </c>
      <c r="F1111" s="57">
        <v>1200</v>
      </c>
      <c r="G1111" s="57">
        <v>136032</v>
      </c>
      <c r="H1111" s="363"/>
      <c r="I1111" s="8" t="s">
        <v>11723</v>
      </c>
    </row>
    <row r="1112" spans="1:9" s="197" customFormat="1" ht="58.5" customHeight="1" x14ac:dyDescent="0.2">
      <c r="A1112" s="12" t="s">
        <v>12092</v>
      </c>
      <c r="B1112" s="12" t="s">
        <v>9443</v>
      </c>
      <c r="C1112" s="412" t="s">
        <v>12093</v>
      </c>
      <c r="D1112" s="199" t="s">
        <v>12094</v>
      </c>
      <c r="E1112" s="155" t="s">
        <v>7028</v>
      </c>
      <c r="F1112" s="57">
        <v>35</v>
      </c>
      <c r="G1112" s="57">
        <v>17151.05</v>
      </c>
      <c r="H1112" s="363"/>
      <c r="I1112" s="8" t="s">
        <v>11724</v>
      </c>
    </row>
    <row r="1113" spans="1:9" s="197" customFormat="1" ht="69" customHeight="1" x14ac:dyDescent="0.2">
      <c r="A1113" s="12" t="s">
        <v>12095</v>
      </c>
      <c r="B1113" s="12" t="s">
        <v>9443</v>
      </c>
      <c r="C1113" s="412" t="s">
        <v>12096</v>
      </c>
      <c r="D1113" s="199" t="s">
        <v>12097</v>
      </c>
      <c r="E1113" s="155" t="s">
        <v>7028</v>
      </c>
      <c r="F1113" s="57">
        <v>6</v>
      </c>
      <c r="G1113" s="57">
        <v>2940.18</v>
      </c>
      <c r="H1113" s="363"/>
      <c r="I1113" s="8" t="s">
        <v>11724</v>
      </c>
    </row>
    <row r="1114" spans="1:9" s="197" customFormat="1" ht="58.5" customHeight="1" x14ac:dyDescent="0.2">
      <c r="A1114" s="12" t="s">
        <v>12098</v>
      </c>
      <c r="B1114" s="12" t="s">
        <v>9443</v>
      </c>
      <c r="C1114" s="412" t="s">
        <v>12099</v>
      </c>
      <c r="D1114" s="199" t="s">
        <v>12100</v>
      </c>
      <c r="E1114" s="155" t="s">
        <v>7028</v>
      </c>
      <c r="F1114" s="57">
        <v>3</v>
      </c>
      <c r="G1114" s="57">
        <v>1470.09</v>
      </c>
      <c r="H1114" s="363"/>
      <c r="I1114" s="8" t="s">
        <v>11724</v>
      </c>
    </row>
    <row r="1115" spans="1:9" s="197" customFormat="1" ht="72" customHeight="1" x14ac:dyDescent="0.2">
      <c r="A1115" s="12" t="s">
        <v>12101</v>
      </c>
      <c r="B1115" s="12" t="s">
        <v>9443</v>
      </c>
      <c r="C1115" s="412" t="s">
        <v>12102</v>
      </c>
      <c r="D1115" s="199" t="s">
        <v>12103</v>
      </c>
      <c r="E1115" s="155" t="s">
        <v>7028</v>
      </c>
      <c r="F1115" s="57">
        <v>5</v>
      </c>
      <c r="G1115" s="57">
        <v>2450.15</v>
      </c>
      <c r="H1115" s="363"/>
      <c r="I1115" s="8" t="s">
        <v>11724</v>
      </c>
    </row>
    <row r="1116" spans="1:9" s="197" customFormat="1" ht="69" customHeight="1" x14ac:dyDescent="0.2">
      <c r="A1116" s="12" t="s">
        <v>12104</v>
      </c>
      <c r="B1116" s="12" t="s">
        <v>9443</v>
      </c>
      <c r="C1116" s="260" t="s">
        <v>12105</v>
      </c>
      <c r="D1116" s="199" t="s">
        <v>12106</v>
      </c>
      <c r="E1116" s="155" t="s">
        <v>7028</v>
      </c>
      <c r="F1116" s="57">
        <v>7</v>
      </c>
      <c r="G1116" s="57">
        <v>3430.21</v>
      </c>
      <c r="H1116" s="363"/>
      <c r="I1116" s="8" t="s">
        <v>11724</v>
      </c>
    </row>
    <row r="1117" spans="1:9" s="197" customFormat="1" ht="69" customHeight="1" x14ac:dyDescent="0.2">
      <c r="A1117" s="12" t="s">
        <v>12107</v>
      </c>
      <c r="B1117" s="12" t="s">
        <v>9443</v>
      </c>
      <c r="C1117" s="260" t="s">
        <v>12108</v>
      </c>
      <c r="D1117" s="199" t="s">
        <v>12109</v>
      </c>
      <c r="E1117" s="155" t="s">
        <v>7028</v>
      </c>
      <c r="F1117" s="57">
        <v>1</v>
      </c>
      <c r="G1117" s="57">
        <v>490.03</v>
      </c>
      <c r="H1117" s="363"/>
      <c r="I1117" s="8" t="s">
        <v>11724</v>
      </c>
    </row>
    <row r="1118" spans="1:9" s="197" customFormat="1" ht="71.25" customHeight="1" x14ac:dyDescent="0.2">
      <c r="A1118" s="12" t="s">
        <v>12110</v>
      </c>
      <c r="B1118" s="12" t="s">
        <v>9443</v>
      </c>
      <c r="C1118" s="260" t="s">
        <v>12111</v>
      </c>
      <c r="D1118" s="199" t="s">
        <v>12112</v>
      </c>
      <c r="E1118" s="155" t="s">
        <v>7028</v>
      </c>
      <c r="F1118" s="57">
        <v>4</v>
      </c>
      <c r="G1118" s="57">
        <v>1960.12</v>
      </c>
      <c r="H1118" s="363"/>
      <c r="I1118" s="8" t="s">
        <v>11724</v>
      </c>
    </row>
    <row r="1119" spans="1:9" s="197" customFormat="1" ht="83.25" customHeight="1" x14ac:dyDescent="0.2">
      <c r="A1119" s="12" t="s">
        <v>12113</v>
      </c>
      <c r="B1119" s="12" t="s">
        <v>9443</v>
      </c>
      <c r="C1119" s="412" t="s">
        <v>12114</v>
      </c>
      <c r="D1119" s="199" t="s">
        <v>12115</v>
      </c>
      <c r="E1119" s="155" t="s">
        <v>7028</v>
      </c>
      <c r="F1119" s="57">
        <v>3</v>
      </c>
      <c r="G1119" s="57">
        <v>1470.09</v>
      </c>
      <c r="H1119" s="363"/>
      <c r="I1119" s="8" t="s">
        <v>11724</v>
      </c>
    </row>
    <row r="1120" spans="1:9" s="197" customFormat="1" ht="71.25" customHeight="1" x14ac:dyDescent="0.2">
      <c r="A1120" s="12" t="s">
        <v>12116</v>
      </c>
      <c r="B1120" s="12" t="s">
        <v>9443</v>
      </c>
      <c r="C1120" s="412" t="s">
        <v>12117</v>
      </c>
      <c r="D1120" s="199" t="s">
        <v>12118</v>
      </c>
      <c r="E1120" s="155" t="s">
        <v>7028</v>
      </c>
      <c r="F1120" s="57">
        <v>8</v>
      </c>
      <c r="G1120" s="57">
        <v>3920.24</v>
      </c>
      <c r="H1120" s="363"/>
      <c r="I1120" s="8" t="s">
        <v>11724</v>
      </c>
    </row>
    <row r="1121" spans="1:9" s="197" customFormat="1" ht="80.25" customHeight="1" x14ac:dyDescent="0.2">
      <c r="A1121" s="12" t="s">
        <v>12119</v>
      </c>
      <c r="B1121" s="12" t="s">
        <v>9443</v>
      </c>
      <c r="C1121" s="412" t="s">
        <v>12120</v>
      </c>
      <c r="D1121" s="199" t="s">
        <v>12121</v>
      </c>
      <c r="E1121" s="155" t="s">
        <v>7028</v>
      </c>
      <c r="F1121" s="57">
        <v>4</v>
      </c>
      <c r="G1121" s="57">
        <v>1960.12</v>
      </c>
      <c r="H1121" s="363"/>
      <c r="I1121" s="8" t="s">
        <v>11724</v>
      </c>
    </row>
    <row r="1122" spans="1:9" s="197" customFormat="1" ht="58.5" customHeight="1" x14ac:dyDescent="0.2">
      <c r="A1122" s="12" t="s">
        <v>12122</v>
      </c>
      <c r="B1122" s="12" t="s">
        <v>9443</v>
      </c>
      <c r="C1122" s="412" t="s">
        <v>12123</v>
      </c>
      <c r="D1122" s="199" t="s">
        <v>12124</v>
      </c>
      <c r="E1122" s="155" t="s">
        <v>7028</v>
      </c>
      <c r="F1122" s="57">
        <v>17</v>
      </c>
      <c r="G1122" s="57">
        <v>8330.51</v>
      </c>
      <c r="H1122" s="363"/>
      <c r="I1122" s="8" t="s">
        <v>11724</v>
      </c>
    </row>
    <row r="1123" spans="1:9" s="197" customFormat="1" ht="72.75" customHeight="1" x14ac:dyDescent="0.2">
      <c r="A1123" s="12" t="s">
        <v>12125</v>
      </c>
      <c r="B1123" s="12" t="s">
        <v>9443</v>
      </c>
      <c r="C1123" s="412" t="s">
        <v>12126</v>
      </c>
      <c r="D1123" s="199" t="s">
        <v>12127</v>
      </c>
      <c r="E1123" s="155" t="s">
        <v>7028</v>
      </c>
      <c r="F1123" s="57">
        <v>15</v>
      </c>
      <c r="G1123" s="57">
        <v>7350.45</v>
      </c>
      <c r="H1123" s="363"/>
      <c r="I1123" s="8" t="s">
        <v>11724</v>
      </c>
    </row>
    <row r="1124" spans="1:9" s="197" customFormat="1" ht="49.5" customHeight="1" x14ac:dyDescent="0.2">
      <c r="A1124" s="12" t="s">
        <v>12128</v>
      </c>
      <c r="B1124" s="12" t="s">
        <v>8376</v>
      </c>
      <c r="C1124" s="667" t="s">
        <v>12129</v>
      </c>
      <c r="D1124" s="12" t="s">
        <v>12130</v>
      </c>
      <c r="E1124" s="155" t="s">
        <v>7028</v>
      </c>
      <c r="F1124" s="65">
        <v>1200</v>
      </c>
      <c r="G1124" s="57">
        <v>136032</v>
      </c>
      <c r="H1124" s="363"/>
      <c r="I1124" s="8" t="s">
        <v>11723</v>
      </c>
    </row>
    <row r="1125" spans="1:9" s="197" customFormat="1" ht="45" customHeight="1" x14ac:dyDescent="0.2">
      <c r="A1125" s="12" t="s">
        <v>12131</v>
      </c>
      <c r="B1125" s="12" t="s">
        <v>9443</v>
      </c>
      <c r="C1125" s="667" t="s">
        <v>12132</v>
      </c>
      <c r="D1125" s="12" t="s">
        <v>12133</v>
      </c>
      <c r="E1125" s="155" t="s">
        <v>7028</v>
      </c>
      <c r="F1125" s="65">
        <v>11</v>
      </c>
      <c r="G1125" s="57">
        <v>5390.33</v>
      </c>
      <c r="H1125" s="363"/>
      <c r="I1125" s="8" t="s">
        <v>11724</v>
      </c>
    </row>
    <row r="1126" spans="1:9" s="197" customFormat="1" ht="58.5" customHeight="1" x14ac:dyDescent="0.2">
      <c r="A1126" s="12" t="s">
        <v>12134</v>
      </c>
      <c r="B1126" s="12" t="s">
        <v>9443</v>
      </c>
      <c r="C1126" s="667" t="s">
        <v>12135</v>
      </c>
      <c r="D1126" s="12" t="s">
        <v>12136</v>
      </c>
      <c r="E1126" s="155" t="s">
        <v>7028</v>
      </c>
      <c r="F1126" s="65">
        <v>15</v>
      </c>
      <c r="G1126" s="57">
        <v>7350.45</v>
      </c>
      <c r="H1126" s="363"/>
      <c r="I1126" s="8" t="s">
        <v>11724</v>
      </c>
    </row>
    <row r="1127" spans="1:9" s="197" customFormat="1" ht="70.5" customHeight="1" x14ac:dyDescent="0.2">
      <c r="A1127" s="12" t="s">
        <v>12137</v>
      </c>
      <c r="B1127" s="12" t="s">
        <v>9443</v>
      </c>
      <c r="C1127" s="667" t="s">
        <v>12138</v>
      </c>
      <c r="D1127" s="12" t="s">
        <v>12139</v>
      </c>
      <c r="E1127" s="155" t="s">
        <v>7028</v>
      </c>
      <c r="F1127" s="65">
        <v>5</v>
      </c>
      <c r="G1127" s="57">
        <v>2450.15</v>
      </c>
      <c r="H1127" s="363"/>
      <c r="I1127" s="8" t="s">
        <v>11724</v>
      </c>
    </row>
    <row r="1128" spans="1:9" s="197" customFormat="1" ht="45.75" customHeight="1" x14ac:dyDescent="0.2">
      <c r="A1128" s="12" t="s">
        <v>12140</v>
      </c>
      <c r="B1128" s="12" t="s">
        <v>9443</v>
      </c>
      <c r="C1128" s="667" t="s">
        <v>12141</v>
      </c>
      <c r="D1128" s="12" t="s">
        <v>12142</v>
      </c>
      <c r="E1128" s="155" t="s">
        <v>7028</v>
      </c>
      <c r="F1128" s="65">
        <v>8</v>
      </c>
      <c r="G1128" s="57">
        <v>3920.24</v>
      </c>
      <c r="H1128" s="363"/>
      <c r="I1128" s="8" t="s">
        <v>11724</v>
      </c>
    </row>
    <row r="1129" spans="1:9" s="197" customFormat="1" ht="58.5" customHeight="1" x14ac:dyDescent="0.2">
      <c r="A1129" s="12" t="s">
        <v>12143</v>
      </c>
      <c r="B1129" s="12" t="s">
        <v>9443</v>
      </c>
      <c r="C1129" s="667" t="s">
        <v>12144</v>
      </c>
      <c r="D1129" s="12" t="s">
        <v>12145</v>
      </c>
      <c r="E1129" s="155" t="s">
        <v>7028</v>
      </c>
      <c r="F1129" s="65">
        <v>5</v>
      </c>
      <c r="G1129" s="57">
        <v>2450.15</v>
      </c>
      <c r="H1129" s="363"/>
      <c r="I1129" s="8" t="s">
        <v>11724</v>
      </c>
    </row>
    <row r="1130" spans="1:9" s="197" customFormat="1" ht="58.5" customHeight="1" x14ac:dyDescent="0.2">
      <c r="A1130" s="12" t="s">
        <v>12146</v>
      </c>
      <c r="B1130" s="12" t="s">
        <v>9443</v>
      </c>
      <c r="C1130" s="667" t="s">
        <v>12147</v>
      </c>
      <c r="D1130" s="12" t="s">
        <v>12148</v>
      </c>
      <c r="E1130" s="155" t="s">
        <v>7028</v>
      </c>
      <c r="F1130" s="65">
        <v>18</v>
      </c>
      <c r="G1130" s="57">
        <v>8820.5400000000009</v>
      </c>
      <c r="H1130" s="363"/>
      <c r="I1130" s="8" t="s">
        <v>11724</v>
      </c>
    </row>
    <row r="1131" spans="1:9" s="197" customFormat="1" ht="58.5" customHeight="1" x14ac:dyDescent="0.2">
      <c r="A1131" s="12" t="s">
        <v>12149</v>
      </c>
      <c r="B1131" s="12" t="s">
        <v>9443</v>
      </c>
      <c r="C1131" s="667" t="s">
        <v>12150</v>
      </c>
      <c r="D1131" s="12" t="s">
        <v>12151</v>
      </c>
      <c r="E1131" s="155" t="s">
        <v>7028</v>
      </c>
      <c r="F1131" s="65">
        <v>10</v>
      </c>
      <c r="G1131" s="57">
        <v>4900.3</v>
      </c>
      <c r="H1131" s="363"/>
      <c r="I1131" s="8" t="s">
        <v>11724</v>
      </c>
    </row>
    <row r="1132" spans="1:9" s="197" customFormat="1" ht="58.5" customHeight="1" x14ac:dyDescent="0.2">
      <c r="A1132" s="12" t="s">
        <v>12152</v>
      </c>
      <c r="B1132" s="12" t="s">
        <v>9443</v>
      </c>
      <c r="C1132" s="667" t="s">
        <v>12153</v>
      </c>
      <c r="D1132" s="12" t="s">
        <v>12154</v>
      </c>
      <c r="E1132" s="155" t="s">
        <v>7028</v>
      </c>
      <c r="F1132" s="65">
        <v>9</v>
      </c>
      <c r="G1132" s="57">
        <v>4410.2700000000004</v>
      </c>
      <c r="H1132" s="363"/>
      <c r="I1132" s="8" t="s">
        <v>11724</v>
      </c>
    </row>
    <row r="1133" spans="1:9" s="197" customFormat="1" ht="46.5" customHeight="1" x14ac:dyDescent="0.2">
      <c r="A1133" s="12" t="s">
        <v>12155</v>
      </c>
      <c r="B1133" s="12" t="s">
        <v>9443</v>
      </c>
      <c r="C1133" s="667" t="s">
        <v>12156</v>
      </c>
      <c r="D1133" s="12" t="s">
        <v>12157</v>
      </c>
      <c r="E1133" s="155" t="s">
        <v>7028</v>
      </c>
      <c r="F1133" s="65">
        <v>6</v>
      </c>
      <c r="G1133" s="57">
        <v>2940.18</v>
      </c>
      <c r="H1133" s="363"/>
      <c r="I1133" s="8" t="s">
        <v>11724</v>
      </c>
    </row>
    <row r="1134" spans="1:9" s="197" customFormat="1" ht="82.5" customHeight="1" x14ac:dyDescent="0.2">
      <c r="A1134" s="12" t="s">
        <v>12158</v>
      </c>
      <c r="B1134" s="12" t="s">
        <v>9443</v>
      </c>
      <c r="C1134" s="414" t="s">
        <v>12159</v>
      </c>
      <c r="D1134" s="12" t="s">
        <v>12160</v>
      </c>
      <c r="E1134" s="155" t="s">
        <v>7028</v>
      </c>
      <c r="F1134" s="65">
        <v>15</v>
      </c>
      <c r="G1134" s="57">
        <v>7350.45</v>
      </c>
      <c r="H1134" s="363"/>
      <c r="I1134" s="8" t="s">
        <v>11724</v>
      </c>
    </row>
    <row r="1135" spans="1:9" s="197" customFormat="1" ht="58.5" customHeight="1" x14ac:dyDescent="0.2">
      <c r="A1135" s="12" t="s">
        <v>12161</v>
      </c>
      <c r="B1135" s="12" t="s">
        <v>9443</v>
      </c>
      <c r="C1135" s="667" t="s">
        <v>12162</v>
      </c>
      <c r="D1135" s="12" t="s">
        <v>12163</v>
      </c>
      <c r="E1135" s="155" t="s">
        <v>7028</v>
      </c>
      <c r="F1135" s="65">
        <v>4</v>
      </c>
      <c r="G1135" s="57">
        <v>1960.12</v>
      </c>
      <c r="H1135" s="363"/>
      <c r="I1135" s="8" t="s">
        <v>11724</v>
      </c>
    </row>
    <row r="1136" spans="1:9" s="197" customFormat="1" ht="58.5" customHeight="1" x14ac:dyDescent="0.2">
      <c r="A1136" s="12" t="s">
        <v>12164</v>
      </c>
      <c r="B1136" s="12" t="s">
        <v>9443</v>
      </c>
      <c r="C1136" s="667" t="s">
        <v>12165</v>
      </c>
      <c r="D1136" s="12" t="s">
        <v>12166</v>
      </c>
      <c r="E1136" s="155" t="s">
        <v>7028</v>
      </c>
      <c r="F1136" s="65">
        <v>34</v>
      </c>
      <c r="G1136" s="57">
        <v>16661.02</v>
      </c>
      <c r="H1136" s="363"/>
      <c r="I1136" s="8" t="s">
        <v>11724</v>
      </c>
    </row>
    <row r="1137" spans="1:9" s="197" customFormat="1" ht="93" customHeight="1" x14ac:dyDescent="0.2">
      <c r="A1137" s="12" t="s">
        <v>12167</v>
      </c>
      <c r="B1137" s="12" t="s">
        <v>9443</v>
      </c>
      <c r="C1137" s="414" t="s">
        <v>12168</v>
      </c>
      <c r="D1137" s="12" t="s">
        <v>12169</v>
      </c>
      <c r="E1137" s="155" t="s">
        <v>7028</v>
      </c>
      <c r="F1137" s="65">
        <v>9</v>
      </c>
      <c r="G1137" s="57">
        <v>4410.2700000000004</v>
      </c>
      <c r="H1137" s="363"/>
      <c r="I1137" s="8" t="s">
        <v>11724</v>
      </c>
    </row>
    <row r="1138" spans="1:9" s="197" customFormat="1" ht="58.5" customHeight="1" x14ac:dyDescent="0.2">
      <c r="A1138" s="12" t="s">
        <v>12170</v>
      </c>
      <c r="B1138" s="199" t="s">
        <v>12171</v>
      </c>
      <c r="C1138" s="647" t="s">
        <v>12172</v>
      </c>
      <c r="D1138" s="270" t="s">
        <v>12173</v>
      </c>
      <c r="E1138" s="155" t="s">
        <v>7028</v>
      </c>
      <c r="F1138" s="415">
        <v>14</v>
      </c>
      <c r="G1138" s="129">
        <v>9740.92</v>
      </c>
      <c r="H1138" s="416"/>
      <c r="I1138" s="413" t="s">
        <v>11725</v>
      </c>
    </row>
    <row r="1139" spans="1:9" s="197" customFormat="1" ht="35.25" customHeight="1" x14ac:dyDescent="0.2">
      <c r="A1139" s="12" t="s">
        <v>12174</v>
      </c>
      <c r="B1139" s="199" t="s">
        <v>12171</v>
      </c>
      <c r="C1139" s="647" t="s">
        <v>12175</v>
      </c>
      <c r="D1139" s="270" t="s">
        <v>12176</v>
      </c>
      <c r="E1139" s="155" t="s">
        <v>7028</v>
      </c>
      <c r="F1139" s="415">
        <v>546</v>
      </c>
      <c r="G1139" s="129">
        <v>379895.88</v>
      </c>
      <c r="H1139" s="416"/>
      <c r="I1139" s="413" t="s">
        <v>11725</v>
      </c>
    </row>
    <row r="1140" spans="1:9" s="197" customFormat="1" ht="69.75" customHeight="1" x14ac:dyDescent="0.2">
      <c r="A1140" s="12" t="s">
        <v>12177</v>
      </c>
      <c r="B1140" s="12" t="s">
        <v>10464</v>
      </c>
      <c r="C1140" s="665" t="s">
        <v>12178</v>
      </c>
      <c r="D1140" s="270" t="s">
        <v>12179</v>
      </c>
      <c r="E1140" s="155" t="s">
        <v>7028</v>
      </c>
      <c r="F1140" s="415">
        <v>19</v>
      </c>
      <c r="G1140" s="129">
        <v>9310.57</v>
      </c>
      <c r="H1140" s="416"/>
      <c r="I1140" s="8" t="s">
        <v>11724</v>
      </c>
    </row>
    <row r="1141" spans="1:9" s="197" customFormat="1" ht="81.75" customHeight="1" x14ac:dyDescent="0.2">
      <c r="A1141" s="12" t="s">
        <v>12385</v>
      </c>
      <c r="B1141" s="12" t="s">
        <v>9443</v>
      </c>
      <c r="C1141" s="583" t="s">
        <v>12386</v>
      </c>
      <c r="D1141" s="270" t="s">
        <v>12387</v>
      </c>
      <c r="E1141" s="155" t="s">
        <v>7028</v>
      </c>
      <c r="F1141" s="415">
        <v>6</v>
      </c>
      <c r="G1141" s="129">
        <v>2940.18</v>
      </c>
      <c r="H1141" s="416"/>
      <c r="I1141" s="8" t="s">
        <v>11724</v>
      </c>
    </row>
    <row r="1142" spans="1:9" s="197" customFormat="1" ht="82.5" customHeight="1" x14ac:dyDescent="0.2">
      <c r="A1142" s="12" t="s">
        <v>12388</v>
      </c>
      <c r="B1142" s="12" t="s">
        <v>11855</v>
      </c>
      <c r="C1142" s="583" t="s">
        <v>12389</v>
      </c>
      <c r="D1142" s="270" t="s">
        <v>12390</v>
      </c>
      <c r="E1142" s="155" t="s">
        <v>7028</v>
      </c>
      <c r="F1142" s="415">
        <v>5</v>
      </c>
      <c r="G1142" s="129">
        <v>2450.15</v>
      </c>
      <c r="H1142" s="416"/>
      <c r="I1142" s="8" t="s">
        <v>11724</v>
      </c>
    </row>
    <row r="1143" spans="1:9" s="197" customFormat="1" ht="42" customHeight="1" x14ac:dyDescent="0.2">
      <c r="A1143" s="12" t="s">
        <v>12391</v>
      </c>
      <c r="B1143" s="12" t="s">
        <v>11855</v>
      </c>
      <c r="C1143" s="583" t="s">
        <v>12392</v>
      </c>
      <c r="D1143" s="270" t="s">
        <v>12393</v>
      </c>
      <c r="E1143" s="155" t="s">
        <v>7028</v>
      </c>
      <c r="F1143" s="415">
        <v>53</v>
      </c>
      <c r="G1143" s="129">
        <v>25971.59</v>
      </c>
      <c r="H1143" s="416"/>
      <c r="I1143" s="8" t="s">
        <v>11724</v>
      </c>
    </row>
    <row r="1144" spans="1:9" s="197" customFormat="1" ht="42" customHeight="1" x14ac:dyDescent="0.2">
      <c r="A1144" s="12" t="s">
        <v>12445</v>
      </c>
      <c r="B1144" s="12" t="s">
        <v>11396</v>
      </c>
      <c r="C1144" s="583" t="s">
        <v>12446</v>
      </c>
      <c r="D1144" s="270" t="s">
        <v>12447</v>
      </c>
      <c r="E1144" s="155" t="s">
        <v>7028</v>
      </c>
      <c r="F1144" s="415">
        <v>294</v>
      </c>
      <c r="G1144" s="129">
        <v>144068.82</v>
      </c>
      <c r="H1144" s="416"/>
      <c r="I1144" s="8" t="s">
        <v>11724</v>
      </c>
    </row>
    <row r="1145" spans="1:9" s="197" customFormat="1" ht="49.5" customHeight="1" x14ac:dyDescent="0.2">
      <c r="A1145" s="12" t="s">
        <v>12493</v>
      </c>
      <c r="B1145" s="12" t="s">
        <v>8376</v>
      </c>
      <c r="C1145" s="667" t="s">
        <v>12494</v>
      </c>
      <c r="D1145" s="12" t="s">
        <v>12495</v>
      </c>
      <c r="E1145" s="584" t="s">
        <v>7028</v>
      </c>
      <c r="F1145" s="585">
        <v>1200</v>
      </c>
      <c r="G1145" s="129">
        <v>136032</v>
      </c>
      <c r="H1145" s="586"/>
      <c r="I1145" s="8" t="s">
        <v>11723</v>
      </c>
    </row>
    <row r="1146" spans="1:9" s="197" customFormat="1" ht="48.75" customHeight="1" x14ac:dyDescent="0.2">
      <c r="A1146" s="12" t="s">
        <v>12496</v>
      </c>
      <c r="B1146" s="12" t="s">
        <v>8376</v>
      </c>
      <c r="C1146" s="676" t="s">
        <v>12497</v>
      </c>
      <c r="D1146" s="12" t="s">
        <v>12498</v>
      </c>
      <c r="E1146" s="584" t="s">
        <v>7028</v>
      </c>
      <c r="F1146" s="585">
        <v>1200</v>
      </c>
      <c r="G1146" s="129">
        <v>136032</v>
      </c>
      <c r="H1146" s="586"/>
      <c r="I1146" s="8" t="s">
        <v>11723</v>
      </c>
    </row>
    <row r="1147" spans="1:9" s="197" customFormat="1" ht="48.75" customHeight="1" x14ac:dyDescent="0.2">
      <c r="A1147" s="12" t="s">
        <v>13296</v>
      </c>
      <c r="B1147" s="12" t="s">
        <v>13295</v>
      </c>
      <c r="C1147" s="676" t="s">
        <v>13297</v>
      </c>
      <c r="D1147" s="12" t="s">
        <v>13298</v>
      </c>
      <c r="E1147" s="591" t="s">
        <v>7028</v>
      </c>
      <c r="F1147" s="415">
        <v>1200</v>
      </c>
      <c r="G1147" s="57">
        <v>136032</v>
      </c>
      <c r="H1147" s="586"/>
      <c r="I1147" s="8" t="s">
        <v>11723</v>
      </c>
    </row>
    <row r="1148" spans="1:9" s="197" customFormat="1" ht="48.75" customHeight="1" x14ac:dyDescent="0.2">
      <c r="A1148" s="12" t="s">
        <v>13299</v>
      </c>
      <c r="B1148" s="12" t="s">
        <v>13295</v>
      </c>
      <c r="C1148" s="676" t="s">
        <v>13300</v>
      </c>
      <c r="D1148" s="12" t="s">
        <v>13301</v>
      </c>
      <c r="E1148" s="591" t="s">
        <v>7028</v>
      </c>
      <c r="F1148" s="415">
        <v>1200</v>
      </c>
      <c r="G1148" s="57">
        <v>136032</v>
      </c>
      <c r="H1148" s="586"/>
      <c r="I1148" s="8" t="s">
        <v>11723</v>
      </c>
    </row>
    <row r="1149" spans="1:9" s="197" customFormat="1" ht="48.75" customHeight="1" x14ac:dyDescent="0.2">
      <c r="A1149" s="12" t="s">
        <v>13302</v>
      </c>
      <c r="B1149" s="12" t="s">
        <v>13295</v>
      </c>
      <c r="C1149" s="676" t="s">
        <v>13303</v>
      </c>
      <c r="D1149" s="12" t="s">
        <v>13304</v>
      </c>
      <c r="E1149" s="591" t="s">
        <v>7028</v>
      </c>
      <c r="F1149" s="415">
        <v>1192</v>
      </c>
      <c r="G1149" s="57">
        <v>135125.12</v>
      </c>
      <c r="H1149" s="586"/>
      <c r="I1149" s="8" t="s">
        <v>11723</v>
      </c>
    </row>
    <row r="1150" spans="1:9" s="197" customFormat="1" ht="48.75" customHeight="1" x14ac:dyDescent="0.2">
      <c r="A1150" s="12" t="s">
        <v>13305</v>
      </c>
      <c r="B1150" s="12" t="s">
        <v>13295</v>
      </c>
      <c r="C1150" s="676" t="s">
        <v>13306</v>
      </c>
      <c r="D1150" s="12" t="s">
        <v>13307</v>
      </c>
      <c r="E1150" s="591" t="s">
        <v>7028</v>
      </c>
      <c r="F1150" s="415">
        <v>1200</v>
      </c>
      <c r="G1150" s="57">
        <v>136032</v>
      </c>
      <c r="H1150" s="586"/>
      <c r="I1150" s="8" t="s">
        <v>11723</v>
      </c>
    </row>
    <row r="1151" spans="1:9" s="197" customFormat="1" ht="48.75" customHeight="1" x14ac:dyDescent="0.2">
      <c r="A1151" s="12" t="s">
        <v>13308</v>
      </c>
      <c r="B1151" s="12" t="s">
        <v>13295</v>
      </c>
      <c r="C1151" s="676" t="s">
        <v>13309</v>
      </c>
      <c r="D1151" s="12" t="s">
        <v>13310</v>
      </c>
      <c r="E1151" s="591" t="s">
        <v>7028</v>
      </c>
      <c r="F1151" s="415">
        <v>1196</v>
      </c>
      <c r="G1151" s="57">
        <v>135578.56</v>
      </c>
      <c r="H1151" s="586"/>
      <c r="I1151" s="8" t="s">
        <v>11723</v>
      </c>
    </row>
    <row r="1152" spans="1:9" s="197" customFormat="1" ht="48.75" customHeight="1" x14ac:dyDescent="0.2">
      <c r="A1152" s="12" t="s">
        <v>13311</v>
      </c>
      <c r="B1152" s="12" t="s">
        <v>13295</v>
      </c>
      <c r="C1152" s="676" t="s">
        <v>13312</v>
      </c>
      <c r="D1152" s="12" t="s">
        <v>13313</v>
      </c>
      <c r="E1152" s="591" t="s">
        <v>7028</v>
      </c>
      <c r="F1152" s="415">
        <v>1201</v>
      </c>
      <c r="G1152" s="57">
        <v>136145.35999999999</v>
      </c>
      <c r="H1152" s="586"/>
      <c r="I1152" s="8" t="s">
        <v>11723</v>
      </c>
    </row>
    <row r="1153" spans="1:9" s="197" customFormat="1" ht="48.75" customHeight="1" x14ac:dyDescent="0.2">
      <c r="A1153" s="12" t="s">
        <v>13314</v>
      </c>
      <c r="B1153" s="12" t="s">
        <v>13315</v>
      </c>
      <c r="C1153" s="676" t="s">
        <v>13316</v>
      </c>
      <c r="D1153" s="12" t="s">
        <v>13317</v>
      </c>
      <c r="E1153" s="591" t="s">
        <v>7028</v>
      </c>
      <c r="F1153" s="415">
        <v>1199</v>
      </c>
      <c r="G1153" s="57">
        <v>135918.64000000001</v>
      </c>
      <c r="H1153" s="586"/>
      <c r="I1153" s="8" t="s">
        <v>11723</v>
      </c>
    </row>
    <row r="1154" spans="1:9" s="197" customFormat="1" ht="48.75" customHeight="1" x14ac:dyDescent="0.2">
      <c r="A1154" s="12" t="s">
        <v>13318</v>
      </c>
      <c r="B1154" s="12" t="s">
        <v>13315</v>
      </c>
      <c r="C1154" s="676" t="s">
        <v>13319</v>
      </c>
      <c r="D1154" s="12" t="s">
        <v>13320</v>
      </c>
      <c r="E1154" s="591" t="s">
        <v>7028</v>
      </c>
      <c r="F1154" s="415">
        <v>1200</v>
      </c>
      <c r="G1154" s="57">
        <v>136032</v>
      </c>
      <c r="H1154" s="586"/>
      <c r="I1154" s="8" t="s">
        <v>11723</v>
      </c>
    </row>
    <row r="1155" spans="1:9" s="197" customFormat="1" ht="48.75" customHeight="1" x14ac:dyDescent="0.2">
      <c r="A1155" s="12" t="s">
        <v>13321</v>
      </c>
      <c r="B1155" s="12" t="s">
        <v>13315</v>
      </c>
      <c r="C1155" s="676" t="s">
        <v>13322</v>
      </c>
      <c r="D1155" s="12" t="s">
        <v>13323</v>
      </c>
      <c r="E1155" s="591" t="s">
        <v>7028</v>
      </c>
      <c r="F1155" s="415">
        <v>1200</v>
      </c>
      <c r="G1155" s="57">
        <v>136032</v>
      </c>
      <c r="H1155" s="586"/>
      <c r="I1155" s="8" t="s">
        <v>11723</v>
      </c>
    </row>
    <row r="1156" spans="1:9" s="197" customFormat="1" ht="48.75" customHeight="1" x14ac:dyDescent="0.2">
      <c r="A1156" s="12" t="s">
        <v>13324</v>
      </c>
      <c r="B1156" s="12" t="s">
        <v>13315</v>
      </c>
      <c r="C1156" s="676" t="s">
        <v>13325</v>
      </c>
      <c r="D1156" s="12" t="s">
        <v>13326</v>
      </c>
      <c r="E1156" s="591" t="s">
        <v>7028</v>
      </c>
      <c r="F1156" s="415">
        <v>1200</v>
      </c>
      <c r="G1156" s="57">
        <v>136032</v>
      </c>
      <c r="H1156" s="586"/>
      <c r="I1156" s="8" t="s">
        <v>11723</v>
      </c>
    </row>
    <row r="1157" spans="1:9" s="197" customFormat="1" ht="48.75" customHeight="1" x14ac:dyDescent="0.2">
      <c r="A1157" s="12" t="s">
        <v>13327</v>
      </c>
      <c r="B1157" s="12" t="s">
        <v>13315</v>
      </c>
      <c r="C1157" s="676" t="s">
        <v>13328</v>
      </c>
      <c r="D1157" s="12" t="s">
        <v>13329</v>
      </c>
      <c r="E1157" s="591" t="s">
        <v>7028</v>
      </c>
      <c r="F1157" s="415">
        <v>1200</v>
      </c>
      <c r="G1157" s="57">
        <v>136032</v>
      </c>
      <c r="H1157" s="586"/>
      <c r="I1157" s="8" t="s">
        <v>11723</v>
      </c>
    </row>
    <row r="1158" spans="1:9" s="197" customFormat="1" ht="48.75" customHeight="1" x14ac:dyDescent="0.2">
      <c r="A1158" s="12" t="s">
        <v>13330</v>
      </c>
      <c r="B1158" s="12" t="s">
        <v>13315</v>
      </c>
      <c r="C1158" s="676" t="s">
        <v>13331</v>
      </c>
      <c r="D1158" s="12" t="s">
        <v>13332</v>
      </c>
      <c r="E1158" s="591" t="s">
        <v>7028</v>
      </c>
      <c r="F1158" s="415">
        <v>1200</v>
      </c>
      <c r="G1158" s="57">
        <v>136032</v>
      </c>
      <c r="H1158" s="586"/>
      <c r="I1158" s="8" t="s">
        <v>11723</v>
      </c>
    </row>
    <row r="1159" spans="1:9" s="197" customFormat="1" ht="48.75" customHeight="1" x14ac:dyDescent="0.2">
      <c r="A1159" s="12" t="s">
        <v>13333</v>
      </c>
      <c r="B1159" s="12" t="s">
        <v>13315</v>
      </c>
      <c r="C1159" s="676" t="s">
        <v>13334</v>
      </c>
      <c r="D1159" s="12" t="s">
        <v>13335</v>
      </c>
      <c r="E1159" s="591" t="s">
        <v>7028</v>
      </c>
      <c r="F1159" s="415">
        <v>1200</v>
      </c>
      <c r="G1159" s="57">
        <v>136032</v>
      </c>
      <c r="H1159" s="586"/>
      <c r="I1159" s="8" t="s">
        <v>11723</v>
      </c>
    </row>
    <row r="1160" spans="1:9" s="197" customFormat="1" ht="48.75" customHeight="1" x14ac:dyDescent="0.2">
      <c r="A1160" s="12" t="s">
        <v>13336</v>
      </c>
      <c r="B1160" s="12" t="s">
        <v>13315</v>
      </c>
      <c r="C1160" s="676" t="s">
        <v>13337</v>
      </c>
      <c r="D1160" s="12" t="s">
        <v>13338</v>
      </c>
      <c r="E1160" s="591" t="s">
        <v>7028</v>
      </c>
      <c r="F1160" s="415">
        <v>1200</v>
      </c>
      <c r="G1160" s="57">
        <v>136032</v>
      </c>
      <c r="H1160" s="586"/>
      <c r="I1160" s="8" t="s">
        <v>11723</v>
      </c>
    </row>
    <row r="1161" spans="1:9" s="197" customFormat="1" ht="48.75" customHeight="1" x14ac:dyDescent="0.2">
      <c r="A1161" s="12" t="s">
        <v>13339</v>
      </c>
      <c r="B1161" s="12" t="s">
        <v>13295</v>
      </c>
      <c r="C1161" s="676" t="s">
        <v>13340</v>
      </c>
      <c r="D1161" s="12" t="s">
        <v>13341</v>
      </c>
      <c r="E1161" s="591" t="s">
        <v>7028</v>
      </c>
      <c r="F1161" s="415">
        <v>1194</v>
      </c>
      <c r="G1161" s="57">
        <v>135351.84</v>
      </c>
      <c r="H1161" s="586"/>
      <c r="I1161" s="8" t="s">
        <v>11723</v>
      </c>
    </row>
    <row r="1162" spans="1:9" s="197" customFormat="1" ht="48.75" customHeight="1" x14ac:dyDescent="0.2">
      <c r="A1162" s="12" t="s">
        <v>13342</v>
      </c>
      <c r="B1162" s="12" t="s">
        <v>13295</v>
      </c>
      <c r="C1162" s="676" t="s">
        <v>13343</v>
      </c>
      <c r="D1162" s="12" t="s">
        <v>13344</v>
      </c>
      <c r="E1162" s="591" t="s">
        <v>7028</v>
      </c>
      <c r="F1162" s="415">
        <v>1199</v>
      </c>
      <c r="G1162" s="57">
        <v>135918.64000000001</v>
      </c>
      <c r="H1162" s="586"/>
      <c r="I1162" s="8" t="s">
        <v>11723</v>
      </c>
    </row>
    <row r="1163" spans="1:9" s="197" customFormat="1" ht="48.75" customHeight="1" x14ac:dyDescent="0.2">
      <c r="A1163" s="12" t="s">
        <v>13345</v>
      </c>
      <c r="B1163" s="12" t="s">
        <v>13295</v>
      </c>
      <c r="C1163" s="676" t="s">
        <v>13346</v>
      </c>
      <c r="D1163" s="12" t="s">
        <v>13347</v>
      </c>
      <c r="E1163" s="591" t="s">
        <v>7028</v>
      </c>
      <c r="F1163" s="415">
        <v>1200</v>
      </c>
      <c r="G1163" s="57">
        <v>136032</v>
      </c>
      <c r="H1163" s="586"/>
      <c r="I1163" s="8" t="s">
        <v>11723</v>
      </c>
    </row>
    <row r="1164" spans="1:9" s="197" customFormat="1" ht="48.75" customHeight="1" x14ac:dyDescent="0.2">
      <c r="A1164" s="12" t="s">
        <v>13348</v>
      </c>
      <c r="B1164" s="12" t="s">
        <v>13295</v>
      </c>
      <c r="C1164" s="676" t="s">
        <v>13349</v>
      </c>
      <c r="D1164" s="12" t="s">
        <v>13350</v>
      </c>
      <c r="E1164" s="591" t="s">
        <v>7028</v>
      </c>
      <c r="F1164" s="415">
        <v>1200</v>
      </c>
      <c r="G1164" s="57">
        <v>136032</v>
      </c>
      <c r="H1164" s="586"/>
      <c r="I1164" s="8" t="s">
        <v>11723</v>
      </c>
    </row>
    <row r="1165" spans="1:9" s="197" customFormat="1" ht="48.75" customHeight="1" x14ac:dyDescent="0.2">
      <c r="A1165" s="12" t="s">
        <v>13351</v>
      </c>
      <c r="B1165" s="12" t="s">
        <v>13315</v>
      </c>
      <c r="C1165" s="676" t="s">
        <v>13352</v>
      </c>
      <c r="D1165" s="12" t="s">
        <v>13353</v>
      </c>
      <c r="E1165" s="591" t="s">
        <v>7028</v>
      </c>
      <c r="F1165" s="415">
        <v>1355</v>
      </c>
      <c r="G1165" s="57">
        <v>153602.79999999999</v>
      </c>
      <c r="H1165" s="586"/>
      <c r="I1165" s="8" t="s">
        <v>11723</v>
      </c>
    </row>
    <row r="1166" spans="1:9" s="197" customFormat="1" ht="48.75" customHeight="1" x14ac:dyDescent="0.2">
      <c r="A1166" s="12" t="s">
        <v>13354</v>
      </c>
      <c r="B1166" s="12" t="s">
        <v>13295</v>
      </c>
      <c r="C1166" s="676" t="s">
        <v>13355</v>
      </c>
      <c r="D1166" s="12" t="s">
        <v>13356</v>
      </c>
      <c r="E1166" s="591" t="s">
        <v>7028</v>
      </c>
      <c r="F1166" s="415">
        <v>1202</v>
      </c>
      <c r="G1166" s="57">
        <v>136258.72</v>
      </c>
      <c r="H1166" s="586"/>
      <c r="I1166" s="8" t="s">
        <v>11723</v>
      </c>
    </row>
    <row r="1167" spans="1:9" s="197" customFormat="1" ht="48.75" customHeight="1" x14ac:dyDescent="0.2">
      <c r="A1167" s="12" t="s">
        <v>13357</v>
      </c>
      <c r="B1167" s="12" t="s">
        <v>13315</v>
      </c>
      <c r="C1167" s="676" t="s">
        <v>13358</v>
      </c>
      <c r="D1167" s="12" t="s">
        <v>13359</v>
      </c>
      <c r="E1167" s="591" t="s">
        <v>7028</v>
      </c>
      <c r="F1167" s="415">
        <v>1200</v>
      </c>
      <c r="G1167" s="57">
        <v>136032</v>
      </c>
      <c r="H1167" s="586"/>
      <c r="I1167" s="8" t="s">
        <v>11723</v>
      </c>
    </row>
    <row r="1168" spans="1:9" s="197" customFormat="1" ht="48.75" customHeight="1" x14ac:dyDescent="0.2">
      <c r="A1168" s="12" t="s">
        <v>13360</v>
      </c>
      <c r="B1168" s="12" t="s">
        <v>13295</v>
      </c>
      <c r="C1168" s="676" t="s">
        <v>13361</v>
      </c>
      <c r="D1168" s="12" t="s">
        <v>13362</v>
      </c>
      <c r="E1168" s="591" t="s">
        <v>7028</v>
      </c>
      <c r="F1168" s="415">
        <v>1200</v>
      </c>
      <c r="G1168" s="57">
        <v>136032</v>
      </c>
      <c r="H1168" s="586"/>
      <c r="I1168" s="8" t="s">
        <v>11723</v>
      </c>
    </row>
    <row r="1169" spans="1:9" s="197" customFormat="1" ht="48.75" customHeight="1" x14ac:dyDescent="0.2">
      <c r="A1169" s="12" t="s">
        <v>13363</v>
      </c>
      <c r="B1169" s="12" t="s">
        <v>13295</v>
      </c>
      <c r="C1169" s="676" t="s">
        <v>13364</v>
      </c>
      <c r="D1169" s="12" t="s">
        <v>13365</v>
      </c>
      <c r="E1169" s="591" t="s">
        <v>7028</v>
      </c>
      <c r="F1169" s="415">
        <v>1200</v>
      </c>
      <c r="G1169" s="57">
        <v>136032</v>
      </c>
      <c r="H1169" s="586"/>
      <c r="I1169" s="8" t="s">
        <v>11723</v>
      </c>
    </row>
    <row r="1170" spans="1:9" s="197" customFormat="1" ht="48.75" customHeight="1" x14ac:dyDescent="0.2">
      <c r="A1170" s="12" t="s">
        <v>13366</v>
      </c>
      <c r="B1170" s="12" t="s">
        <v>13315</v>
      </c>
      <c r="C1170" s="676" t="s">
        <v>13367</v>
      </c>
      <c r="D1170" s="12" t="s">
        <v>13368</v>
      </c>
      <c r="E1170" s="591" t="s">
        <v>7028</v>
      </c>
      <c r="F1170" s="415">
        <v>1202</v>
      </c>
      <c r="G1170" s="57">
        <v>136258.72</v>
      </c>
      <c r="H1170" s="586"/>
      <c r="I1170" s="8" t="s">
        <v>11723</v>
      </c>
    </row>
    <row r="1171" spans="1:9" s="197" customFormat="1" ht="48.75" customHeight="1" x14ac:dyDescent="0.2">
      <c r="A1171" s="12" t="s">
        <v>13369</v>
      </c>
      <c r="B1171" s="12" t="s">
        <v>13295</v>
      </c>
      <c r="C1171" s="676" t="s">
        <v>13370</v>
      </c>
      <c r="D1171" s="12" t="s">
        <v>13371</v>
      </c>
      <c r="E1171" s="591" t="s">
        <v>7028</v>
      </c>
      <c r="F1171" s="415">
        <v>1200</v>
      </c>
      <c r="G1171" s="57">
        <v>136032</v>
      </c>
      <c r="H1171" s="586"/>
      <c r="I1171" s="8" t="s">
        <v>11723</v>
      </c>
    </row>
    <row r="1172" spans="1:9" s="197" customFormat="1" ht="48.75" customHeight="1" x14ac:dyDescent="0.2">
      <c r="A1172" s="12" t="s">
        <v>13372</v>
      </c>
      <c r="B1172" s="12" t="s">
        <v>13315</v>
      </c>
      <c r="C1172" s="676" t="s">
        <v>13373</v>
      </c>
      <c r="D1172" s="12" t="s">
        <v>13374</v>
      </c>
      <c r="E1172" s="591" t="s">
        <v>7028</v>
      </c>
      <c r="F1172" s="415">
        <v>1200</v>
      </c>
      <c r="G1172" s="57">
        <v>136032</v>
      </c>
      <c r="H1172" s="586"/>
      <c r="I1172" s="8" t="s">
        <v>11723</v>
      </c>
    </row>
    <row r="1173" spans="1:9" s="197" customFormat="1" ht="48.75" customHeight="1" x14ac:dyDescent="0.2">
      <c r="A1173" s="12" t="s">
        <v>13375</v>
      </c>
      <c r="B1173" s="12" t="s">
        <v>13295</v>
      </c>
      <c r="C1173" s="676" t="s">
        <v>13376</v>
      </c>
      <c r="D1173" s="12" t="s">
        <v>13377</v>
      </c>
      <c r="E1173" s="591" t="s">
        <v>7028</v>
      </c>
      <c r="F1173" s="415">
        <v>1193</v>
      </c>
      <c r="G1173" s="57">
        <v>135238.48000000001</v>
      </c>
      <c r="H1173" s="586"/>
      <c r="I1173" s="8" t="s">
        <v>11723</v>
      </c>
    </row>
    <row r="1174" spans="1:9" s="197" customFormat="1" ht="48.75" customHeight="1" x14ac:dyDescent="0.2">
      <c r="A1174" s="12" t="s">
        <v>13378</v>
      </c>
      <c r="B1174" s="12" t="s">
        <v>13295</v>
      </c>
      <c r="C1174" s="676" t="s">
        <v>13379</v>
      </c>
      <c r="D1174" s="12" t="s">
        <v>13380</v>
      </c>
      <c r="E1174" s="591" t="s">
        <v>7028</v>
      </c>
      <c r="F1174" s="415">
        <v>1200</v>
      </c>
      <c r="G1174" s="57">
        <v>136032</v>
      </c>
      <c r="H1174" s="586"/>
      <c r="I1174" s="8" t="s">
        <v>11723</v>
      </c>
    </row>
    <row r="1175" spans="1:9" s="197" customFormat="1" ht="48.75" customHeight="1" x14ac:dyDescent="0.2">
      <c r="A1175" s="12" t="s">
        <v>13381</v>
      </c>
      <c r="B1175" s="12" t="s">
        <v>13315</v>
      </c>
      <c r="C1175" s="676" t="s">
        <v>13382</v>
      </c>
      <c r="D1175" s="12" t="s">
        <v>13383</v>
      </c>
      <c r="E1175" s="591" t="s">
        <v>7028</v>
      </c>
      <c r="F1175" s="415">
        <v>2004</v>
      </c>
      <c r="G1175" s="57">
        <v>227173.44</v>
      </c>
      <c r="H1175" s="586"/>
      <c r="I1175" s="8" t="s">
        <v>11723</v>
      </c>
    </row>
    <row r="1176" spans="1:9" s="197" customFormat="1" ht="48.75" customHeight="1" x14ac:dyDescent="0.2">
      <c r="A1176" s="12" t="s">
        <v>13384</v>
      </c>
      <c r="B1176" s="12" t="s">
        <v>13295</v>
      </c>
      <c r="C1176" s="676" t="s">
        <v>13385</v>
      </c>
      <c r="D1176" s="12" t="s">
        <v>13386</v>
      </c>
      <c r="E1176" s="591" t="s">
        <v>7028</v>
      </c>
      <c r="F1176" s="415">
        <v>1214</v>
      </c>
      <c r="G1176" s="57">
        <v>137619.04</v>
      </c>
      <c r="H1176" s="586"/>
      <c r="I1176" s="8" t="s">
        <v>11723</v>
      </c>
    </row>
    <row r="1177" spans="1:9" s="197" customFormat="1" ht="48.75" customHeight="1" x14ac:dyDescent="0.2">
      <c r="A1177" s="12" t="s">
        <v>13387</v>
      </c>
      <c r="B1177" s="12" t="s">
        <v>13295</v>
      </c>
      <c r="C1177" s="676" t="s">
        <v>13388</v>
      </c>
      <c r="D1177" s="12" t="s">
        <v>13389</v>
      </c>
      <c r="E1177" s="591" t="s">
        <v>7028</v>
      </c>
      <c r="F1177" s="415">
        <v>1200</v>
      </c>
      <c r="G1177" s="57">
        <v>130362</v>
      </c>
      <c r="H1177" s="586"/>
      <c r="I1177" s="8" t="s">
        <v>11723</v>
      </c>
    </row>
    <row r="1178" spans="1:9" s="197" customFormat="1" ht="48.75" customHeight="1" x14ac:dyDescent="0.2">
      <c r="A1178" s="12" t="s">
        <v>13390</v>
      </c>
      <c r="B1178" s="12" t="s">
        <v>13295</v>
      </c>
      <c r="C1178" s="676" t="s">
        <v>13391</v>
      </c>
      <c r="D1178" s="12" t="s">
        <v>13392</v>
      </c>
      <c r="E1178" s="591" t="s">
        <v>7028</v>
      </c>
      <c r="F1178" s="415">
        <v>1200</v>
      </c>
      <c r="G1178" s="57">
        <v>130362</v>
      </c>
      <c r="H1178" s="586"/>
      <c r="I1178" s="8" t="s">
        <v>11723</v>
      </c>
    </row>
    <row r="1179" spans="1:9" s="197" customFormat="1" ht="48.75" customHeight="1" x14ac:dyDescent="0.2">
      <c r="A1179" s="12" t="s">
        <v>13393</v>
      </c>
      <c r="B1179" s="12" t="s">
        <v>13295</v>
      </c>
      <c r="C1179" s="676" t="s">
        <v>13394</v>
      </c>
      <c r="D1179" s="12" t="s">
        <v>13395</v>
      </c>
      <c r="E1179" s="591" t="s">
        <v>7028</v>
      </c>
      <c r="F1179" s="415">
        <v>1200</v>
      </c>
      <c r="G1179" s="57">
        <v>130362</v>
      </c>
      <c r="H1179" s="586"/>
      <c r="I1179" s="8" t="s">
        <v>11723</v>
      </c>
    </row>
    <row r="1180" spans="1:9" s="197" customFormat="1" ht="48.75" customHeight="1" x14ac:dyDescent="0.2">
      <c r="A1180" s="12" t="s">
        <v>13481</v>
      </c>
      <c r="B1180" s="12" t="s">
        <v>13315</v>
      </c>
      <c r="C1180" s="676" t="s">
        <v>13482</v>
      </c>
      <c r="D1180" s="12" t="s">
        <v>13483</v>
      </c>
      <c r="E1180" s="584" t="s">
        <v>7028</v>
      </c>
      <c r="F1180" s="415">
        <v>1200</v>
      </c>
      <c r="G1180" s="57">
        <v>136032</v>
      </c>
      <c r="H1180" s="586"/>
      <c r="I1180" s="8" t="s">
        <v>11723</v>
      </c>
    </row>
    <row r="1181" spans="1:9" s="197" customFormat="1" ht="48.75" customHeight="1" x14ac:dyDescent="0.2">
      <c r="A1181" s="12" t="s">
        <v>13484</v>
      </c>
      <c r="B1181" s="12" t="s">
        <v>13295</v>
      </c>
      <c r="C1181" s="676" t="s">
        <v>13485</v>
      </c>
      <c r="D1181" s="12" t="s">
        <v>13486</v>
      </c>
      <c r="E1181" s="584" t="s">
        <v>7028</v>
      </c>
      <c r="F1181" s="415">
        <v>1200</v>
      </c>
      <c r="G1181" s="57">
        <v>136032</v>
      </c>
      <c r="H1181" s="586"/>
      <c r="I1181" s="8" t="s">
        <v>11723</v>
      </c>
    </row>
    <row r="1182" spans="1:9" s="197" customFormat="1" ht="48.75" customHeight="1" x14ac:dyDescent="0.2">
      <c r="A1182" s="12" t="s">
        <v>13487</v>
      </c>
      <c r="B1182" s="12" t="s">
        <v>13295</v>
      </c>
      <c r="C1182" s="676" t="s">
        <v>13488</v>
      </c>
      <c r="D1182" s="12" t="s">
        <v>13489</v>
      </c>
      <c r="E1182" s="584" t="s">
        <v>7028</v>
      </c>
      <c r="F1182" s="415">
        <v>1206</v>
      </c>
      <c r="G1182" s="57">
        <v>136712.16</v>
      </c>
      <c r="H1182" s="586"/>
      <c r="I1182" s="8" t="s">
        <v>11723</v>
      </c>
    </row>
    <row r="1183" spans="1:9" s="197" customFormat="1" ht="48.75" customHeight="1" x14ac:dyDescent="0.2">
      <c r="A1183" s="12" t="s">
        <v>13490</v>
      </c>
      <c r="B1183" s="12" t="s">
        <v>13295</v>
      </c>
      <c r="C1183" s="676" t="s">
        <v>13491</v>
      </c>
      <c r="D1183" s="12" t="s">
        <v>13492</v>
      </c>
      <c r="E1183" s="584" t="s">
        <v>7028</v>
      </c>
      <c r="F1183" s="415">
        <v>1201</v>
      </c>
      <c r="G1183" s="57">
        <v>136145.35999999999</v>
      </c>
      <c r="H1183" s="586"/>
      <c r="I1183" s="8" t="s">
        <v>11723</v>
      </c>
    </row>
    <row r="1184" spans="1:9" s="197" customFormat="1" ht="48.75" customHeight="1" x14ac:dyDescent="0.2">
      <c r="A1184" s="12" t="s">
        <v>13493</v>
      </c>
      <c r="B1184" s="12" t="s">
        <v>13295</v>
      </c>
      <c r="C1184" s="676" t="s">
        <v>13494</v>
      </c>
      <c r="D1184" s="12" t="s">
        <v>13495</v>
      </c>
      <c r="E1184" s="584" t="s">
        <v>7028</v>
      </c>
      <c r="F1184" s="415">
        <v>1199</v>
      </c>
      <c r="G1184" s="57">
        <v>135918.64000000001</v>
      </c>
      <c r="H1184" s="586"/>
      <c r="I1184" s="8" t="s">
        <v>11723</v>
      </c>
    </row>
    <row r="1185" spans="1:9" s="197" customFormat="1" ht="48.75" customHeight="1" x14ac:dyDescent="0.2">
      <c r="A1185" s="12" t="s">
        <v>13496</v>
      </c>
      <c r="B1185" s="12" t="s">
        <v>13295</v>
      </c>
      <c r="C1185" s="676" t="s">
        <v>13497</v>
      </c>
      <c r="D1185" s="12" t="s">
        <v>13498</v>
      </c>
      <c r="E1185" s="584" t="s">
        <v>7028</v>
      </c>
      <c r="F1185" s="415">
        <v>1201</v>
      </c>
      <c r="G1185" s="57">
        <v>136145.35999999999</v>
      </c>
      <c r="H1185" s="586"/>
      <c r="I1185" s="8" t="s">
        <v>11723</v>
      </c>
    </row>
    <row r="1186" spans="1:9" s="197" customFormat="1" ht="48.75" customHeight="1" x14ac:dyDescent="0.2">
      <c r="A1186" s="12" t="s">
        <v>13499</v>
      </c>
      <c r="B1186" s="12" t="s">
        <v>13295</v>
      </c>
      <c r="C1186" s="676" t="s">
        <v>13500</v>
      </c>
      <c r="D1186" s="12" t="s">
        <v>13501</v>
      </c>
      <c r="E1186" s="584" t="s">
        <v>7028</v>
      </c>
      <c r="F1186" s="415">
        <v>1201</v>
      </c>
      <c r="G1186" s="57">
        <v>136145.35999999999</v>
      </c>
      <c r="H1186" s="586"/>
      <c r="I1186" s="8" t="s">
        <v>11723</v>
      </c>
    </row>
    <row r="1187" spans="1:9" s="197" customFormat="1" ht="48.75" customHeight="1" x14ac:dyDescent="0.2">
      <c r="A1187" s="12" t="s">
        <v>13523</v>
      </c>
      <c r="B1187" s="12" t="s">
        <v>13295</v>
      </c>
      <c r="C1187" s="676" t="s">
        <v>13524</v>
      </c>
      <c r="D1187" s="12" t="s">
        <v>13525</v>
      </c>
      <c r="E1187" s="584" t="s">
        <v>7028</v>
      </c>
      <c r="F1187" s="415">
        <v>1200</v>
      </c>
      <c r="G1187" s="57">
        <v>136032</v>
      </c>
      <c r="H1187" s="692"/>
      <c r="I1187" s="8" t="s">
        <v>11723</v>
      </c>
    </row>
    <row r="1188" spans="1:9" s="197" customFormat="1" ht="48.75" customHeight="1" x14ac:dyDescent="0.2">
      <c r="A1188" s="12" t="s">
        <v>13526</v>
      </c>
      <c r="B1188" s="12" t="s">
        <v>13295</v>
      </c>
      <c r="C1188" s="676" t="s">
        <v>13527</v>
      </c>
      <c r="D1188" s="12" t="s">
        <v>13528</v>
      </c>
      <c r="E1188" s="584" t="s">
        <v>7028</v>
      </c>
      <c r="F1188" s="415">
        <v>1191</v>
      </c>
      <c r="G1188" s="57">
        <v>135011.76</v>
      </c>
      <c r="H1188" s="692"/>
      <c r="I1188" s="8" t="s">
        <v>11723</v>
      </c>
    </row>
    <row r="1189" spans="1:9" s="197" customFormat="1" ht="48.75" customHeight="1" x14ac:dyDescent="0.2">
      <c r="A1189" s="12" t="s">
        <v>13529</v>
      </c>
      <c r="B1189" s="12" t="s">
        <v>13295</v>
      </c>
      <c r="C1189" s="676" t="s">
        <v>13530</v>
      </c>
      <c r="D1189" s="12" t="s">
        <v>13531</v>
      </c>
      <c r="E1189" s="584" t="s">
        <v>7028</v>
      </c>
      <c r="F1189" s="415">
        <v>1200</v>
      </c>
      <c r="G1189" s="57">
        <v>136032</v>
      </c>
      <c r="H1189" s="692"/>
      <c r="I1189" s="8" t="s">
        <v>11723</v>
      </c>
    </row>
    <row r="1190" spans="1:9" s="197" customFormat="1" ht="48.75" customHeight="1" x14ac:dyDescent="0.2">
      <c r="A1190" s="12" t="s">
        <v>13542</v>
      </c>
      <c r="B1190" s="12" t="s">
        <v>13295</v>
      </c>
      <c r="C1190" s="676" t="s">
        <v>13543</v>
      </c>
      <c r="D1190" s="12" t="s">
        <v>13544</v>
      </c>
      <c r="E1190" s="584" t="s">
        <v>7028</v>
      </c>
      <c r="F1190" s="415">
        <v>1200</v>
      </c>
      <c r="G1190" s="57">
        <v>136032</v>
      </c>
      <c r="H1190" s="692"/>
      <c r="I1190" s="8" t="s">
        <v>11723</v>
      </c>
    </row>
    <row r="1191" spans="1:9" s="197" customFormat="1" ht="48.75" customHeight="1" x14ac:dyDescent="0.2">
      <c r="A1191" s="12" t="s">
        <v>13547</v>
      </c>
      <c r="B1191" s="12" t="s">
        <v>13295</v>
      </c>
      <c r="C1191" s="676" t="s">
        <v>13548</v>
      </c>
      <c r="D1191" s="12" t="s">
        <v>13549</v>
      </c>
      <c r="E1191" s="591" t="s">
        <v>7028</v>
      </c>
      <c r="F1191" s="415">
        <v>1196</v>
      </c>
      <c r="G1191" s="57">
        <v>135578.56</v>
      </c>
      <c r="H1191" s="57"/>
      <c r="I1191" s="8" t="s">
        <v>11723</v>
      </c>
    </row>
    <row r="1192" spans="1:9" s="197" customFormat="1" ht="48.75" customHeight="1" x14ac:dyDescent="0.2">
      <c r="A1192" s="12" t="s">
        <v>13550</v>
      </c>
      <c r="B1192" s="12" t="s">
        <v>13295</v>
      </c>
      <c r="C1192" s="667" t="s">
        <v>13551</v>
      </c>
      <c r="D1192" s="12" t="s">
        <v>13552</v>
      </c>
      <c r="E1192" s="584" t="s">
        <v>7028</v>
      </c>
      <c r="F1192" s="415">
        <v>1200</v>
      </c>
      <c r="G1192" s="57">
        <v>136032</v>
      </c>
      <c r="H1192" s="57"/>
      <c r="I1192" s="8" t="s">
        <v>11723</v>
      </c>
    </row>
    <row r="1193" spans="1:9" s="197" customFormat="1" ht="48.75" customHeight="1" x14ac:dyDescent="0.2">
      <c r="A1193" s="12" t="s">
        <v>13553</v>
      </c>
      <c r="B1193" s="12" t="s">
        <v>13295</v>
      </c>
      <c r="C1193" s="667" t="s">
        <v>13554</v>
      </c>
      <c r="D1193" s="12" t="s">
        <v>13555</v>
      </c>
      <c r="E1193" s="584" t="s">
        <v>7028</v>
      </c>
      <c r="F1193" s="415">
        <v>1200</v>
      </c>
      <c r="G1193" s="57">
        <v>136032</v>
      </c>
      <c r="H1193" s="57"/>
      <c r="I1193" s="8" t="s">
        <v>11723</v>
      </c>
    </row>
    <row r="1194" spans="1:9" s="197" customFormat="1" ht="48.75" customHeight="1" x14ac:dyDescent="0.2">
      <c r="A1194" s="12" t="s">
        <v>13556</v>
      </c>
      <c r="B1194" s="12" t="s">
        <v>13295</v>
      </c>
      <c r="C1194" s="667" t="s">
        <v>13557</v>
      </c>
      <c r="D1194" s="12" t="s">
        <v>13558</v>
      </c>
      <c r="E1194" s="584" t="s">
        <v>7028</v>
      </c>
      <c r="F1194" s="415">
        <v>1200</v>
      </c>
      <c r="G1194" s="57">
        <v>136032</v>
      </c>
      <c r="H1194" s="57"/>
      <c r="I1194" s="8" t="s">
        <v>11723</v>
      </c>
    </row>
    <row r="1195" spans="1:9" s="197" customFormat="1" ht="48.75" customHeight="1" x14ac:dyDescent="0.2">
      <c r="A1195" s="12" t="s">
        <v>13559</v>
      </c>
      <c r="B1195" s="12" t="s">
        <v>13295</v>
      </c>
      <c r="C1195" s="667" t="s">
        <v>13560</v>
      </c>
      <c r="D1195" s="12" t="s">
        <v>13561</v>
      </c>
      <c r="E1195" s="584" t="s">
        <v>7028</v>
      </c>
      <c r="F1195" s="415">
        <v>1200</v>
      </c>
      <c r="G1195" s="57">
        <v>136032</v>
      </c>
      <c r="H1195" s="57"/>
      <c r="I1195" s="8" t="s">
        <v>11723</v>
      </c>
    </row>
    <row r="1196" spans="1:9" s="197" customFormat="1" ht="48.75" customHeight="1" x14ac:dyDescent="0.2">
      <c r="A1196" s="12" t="s">
        <v>13562</v>
      </c>
      <c r="B1196" s="12" t="s">
        <v>13315</v>
      </c>
      <c r="C1196" s="667" t="s">
        <v>13658</v>
      </c>
      <c r="D1196" s="12" t="s">
        <v>13563</v>
      </c>
      <c r="E1196" s="584" t="s">
        <v>7028</v>
      </c>
      <c r="F1196" s="415">
        <v>1201</v>
      </c>
      <c r="G1196" s="57">
        <v>136145.35999999999</v>
      </c>
      <c r="H1196" s="57"/>
      <c r="I1196" s="8" t="s">
        <v>11723</v>
      </c>
    </row>
    <row r="1197" spans="1:9" s="197" customFormat="1" ht="48.75" customHeight="1" x14ac:dyDescent="0.2">
      <c r="A1197" s="12" t="s">
        <v>13564</v>
      </c>
      <c r="B1197" s="12" t="s">
        <v>13295</v>
      </c>
      <c r="C1197" s="667" t="s">
        <v>13685</v>
      </c>
      <c r="D1197" s="12" t="s">
        <v>13565</v>
      </c>
      <c r="E1197" s="584" t="s">
        <v>7028</v>
      </c>
      <c r="F1197" s="415">
        <v>1201</v>
      </c>
      <c r="G1197" s="57">
        <v>136145.35999999999</v>
      </c>
      <c r="H1197" s="57"/>
      <c r="I1197" s="8" t="s">
        <v>11723</v>
      </c>
    </row>
    <row r="1198" spans="1:9" s="197" customFormat="1" ht="48.75" customHeight="1" x14ac:dyDescent="0.2">
      <c r="A1198" s="12" t="s">
        <v>13566</v>
      </c>
      <c r="B1198" s="12" t="s">
        <v>13295</v>
      </c>
      <c r="C1198" s="676" t="s">
        <v>13567</v>
      </c>
      <c r="D1198" s="12" t="s">
        <v>13568</v>
      </c>
      <c r="E1198" s="584" t="s">
        <v>7028</v>
      </c>
      <c r="F1198" s="415">
        <v>1199</v>
      </c>
      <c r="G1198" s="57">
        <v>135918.64000000001</v>
      </c>
      <c r="H1198" s="57"/>
      <c r="I1198" s="8" t="s">
        <v>11723</v>
      </c>
    </row>
    <row r="1199" spans="1:9" s="197" customFormat="1" ht="48.75" customHeight="1" x14ac:dyDescent="0.2">
      <c r="A1199" s="12" t="s">
        <v>13569</v>
      </c>
      <c r="B1199" s="12" t="s">
        <v>13295</v>
      </c>
      <c r="C1199" s="676" t="s">
        <v>13570</v>
      </c>
      <c r="D1199" s="12" t="s">
        <v>13571</v>
      </c>
      <c r="E1199" s="584" t="s">
        <v>7028</v>
      </c>
      <c r="F1199" s="415">
        <v>1200</v>
      </c>
      <c r="G1199" s="57">
        <v>136032</v>
      </c>
      <c r="H1199" s="57"/>
      <c r="I1199" s="8" t="s">
        <v>11723</v>
      </c>
    </row>
    <row r="1200" spans="1:9" s="197" customFormat="1" ht="48.75" customHeight="1" x14ac:dyDescent="0.2">
      <c r="A1200" s="12" t="s">
        <v>13572</v>
      </c>
      <c r="B1200" s="12" t="s">
        <v>13295</v>
      </c>
      <c r="C1200" s="676" t="s">
        <v>13573</v>
      </c>
      <c r="D1200" s="12" t="s">
        <v>13574</v>
      </c>
      <c r="E1200" s="584" t="s">
        <v>7028</v>
      </c>
      <c r="F1200" s="415">
        <v>1203</v>
      </c>
      <c r="G1200" s="57">
        <v>136372.07999999999</v>
      </c>
      <c r="H1200" s="57"/>
      <c r="I1200" s="8" t="s">
        <v>11723</v>
      </c>
    </row>
    <row r="1201" spans="1:14" s="197" customFormat="1" ht="48.75" customHeight="1" x14ac:dyDescent="0.2">
      <c r="A1201" s="12" t="s">
        <v>13575</v>
      </c>
      <c r="B1201" s="12" t="s">
        <v>13295</v>
      </c>
      <c r="C1201" s="667" t="s">
        <v>13576</v>
      </c>
      <c r="D1201" s="12" t="s">
        <v>13577</v>
      </c>
      <c r="E1201" s="591" t="s">
        <v>7028</v>
      </c>
      <c r="F1201" s="415">
        <v>1200</v>
      </c>
      <c r="G1201" s="57">
        <v>136032</v>
      </c>
      <c r="H1201" s="107"/>
      <c r="I1201" s="8" t="s">
        <v>11723</v>
      </c>
    </row>
    <row r="1202" spans="1:14" s="197" customFormat="1" ht="48.75" customHeight="1" x14ac:dyDescent="0.2">
      <c r="A1202" s="12" t="s">
        <v>13578</v>
      </c>
      <c r="B1202" s="12" t="s">
        <v>13295</v>
      </c>
      <c r="C1202" s="667" t="s">
        <v>13579</v>
      </c>
      <c r="D1202" s="12" t="s">
        <v>13580</v>
      </c>
      <c r="E1202" s="591" t="s">
        <v>7028</v>
      </c>
      <c r="F1202" s="415">
        <v>1200</v>
      </c>
      <c r="G1202" s="57">
        <v>136032</v>
      </c>
      <c r="H1202" s="107"/>
      <c r="I1202" s="8" t="s">
        <v>11723</v>
      </c>
    </row>
    <row r="1203" spans="1:14" s="197" customFormat="1" ht="48.75" customHeight="1" x14ac:dyDescent="0.2">
      <c r="A1203" s="12" t="s">
        <v>13581</v>
      </c>
      <c r="B1203" s="12" t="s">
        <v>13295</v>
      </c>
      <c r="C1203" s="667" t="s">
        <v>13582</v>
      </c>
      <c r="D1203" s="12" t="s">
        <v>13583</v>
      </c>
      <c r="E1203" s="584" t="s">
        <v>7028</v>
      </c>
      <c r="F1203" s="415">
        <v>1201</v>
      </c>
      <c r="G1203" s="57">
        <v>136145.35999999999</v>
      </c>
      <c r="H1203" s="107"/>
      <c r="I1203" s="8" t="s">
        <v>11723</v>
      </c>
    </row>
    <row r="1204" spans="1:14" s="197" customFormat="1" ht="48.75" customHeight="1" x14ac:dyDescent="0.2">
      <c r="A1204" s="12" t="s">
        <v>13584</v>
      </c>
      <c r="B1204" s="12" t="s">
        <v>13295</v>
      </c>
      <c r="C1204" s="667" t="s">
        <v>13585</v>
      </c>
      <c r="D1204" s="12" t="s">
        <v>13586</v>
      </c>
      <c r="E1204" s="584" t="s">
        <v>7028</v>
      </c>
      <c r="F1204" s="415">
        <v>1200</v>
      </c>
      <c r="G1204" s="57">
        <v>136032</v>
      </c>
      <c r="H1204" s="107"/>
      <c r="I1204" s="8" t="s">
        <v>11723</v>
      </c>
    </row>
    <row r="1205" spans="1:14" s="197" customFormat="1" ht="48.75" customHeight="1" x14ac:dyDescent="0.2">
      <c r="A1205" s="12" t="s">
        <v>13587</v>
      </c>
      <c r="B1205" s="12" t="s">
        <v>13295</v>
      </c>
      <c r="C1205" s="667" t="s">
        <v>13588</v>
      </c>
      <c r="D1205" s="12" t="s">
        <v>13589</v>
      </c>
      <c r="E1205" s="584" t="s">
        <v>7028</v>
      </c>
      <c r="F1205" s="415">
        <v>1200</v>
      </c>
      <c r="G1205" s="57">
        <v>136032</v>
      </c>
      <c r="H1205" s="107"/>
      <c r="I1205" s="8" t="s">
        <v>11723</v>
      </c>
    </row>
    <row r="1206" spans="1:14" s="197" customFormat="1" ht="57.75" customHeight="1" x14ac:dyDescent="0.2">
      <c r="A1206" s="12" t="s">
        <v>13590</v>
      </c>
      <c r="B1206" s="12" t="s">
        <v>13295</v>
      </c>
      <c r="C1206" s="667" t="s">
        <v>13591</v>
      </c>
      <c r="D1206" s="12" t="s">
        <v>13592</v>
      </c>
      <c r="E1206" s="591" t="s">
        <v>7028</v>
      </c>
      <c r="F1206" s="415">
        <v>1200</v>
      </c>
      <c r="G1206" s="57">
        <v>136032</v>
      </c>
      <c r="H1206" s="107"/>
      <c r="I1206" s="8" t="s">
        <v>11723</v>
      </c>
    </row>
    <row r="1207" spans="1:14" s="197" customFormat="1" ht="48.75" customHeight="1" x14ac:dyDescent="0.2">
      <c r="A1207" s="12" t="s">
        <v>13593</v>
      </c>
      <c r="B1207" s="12" t="s">
        <v>13295</v>
      </c>
      <c r="C1207" s="667" t="s">
        <v>13594</v>
      </c>
      <c r="D1207" s="12" t="s">
        <v>13595</v>
      </c>
      <c r="E1207" s="591" t="s">
        <v>7028</v>
      </c>
      <c r="F1207" s="415">
        <v>1200</v>
      </c>
      <c r="G1207" s="57">
        <v>136032</v>
      </c>
      <c r="H1207" s="107"/>
      <c r="I1207" s="8" t="s">
        <v>11723</v>
      </c>
    </row>
    <row r="1208" spans="1:14" s="195" customFormat="1" ht="45.75" customHeight="1" x14ac:dyDescent="0.2">
      <c r="A1208" s="12" t="s">
        <v>13596</v>
      </c>
      <c r="B1208" s="12" t="s">
        <v>13597</v>
      </c>
      <c r="C1208" s="667" t="s">
        <v>13629</v>
      </c>
      <c r="D1208" s="12" t="s">
        <v>13598</v>
      </c>
      <c r="E1208" s="591" t="s">
        <v>7028</v>
      </c>
      <c r="F1208" s="415">
        <v>1200</v>
      </c>
      <c r="G1208" s="57">
        <v>136032</v>
      </c>
      <c r="H1208" s="8"/>
      <c r="I1208" s="8" t="s">
        <v>11723</v>
      </c>
      <c r="J1208" s="197"/>
      <c r="K1208" s="197"/>
      <c r="L1208" s="197"/>
      <c r="M1208" s="197"/>
      <c r="N1208" s="197"/>
    </row>
    <row r="1209" spans="1:14" s="195" customFormat="1" ht="45.75" customHeight="1" x14ac:dyDescent="0.2">
      <c r="A1209" s="12" t="s">
        <v>13599</v>
      </c>
      <c r="B1209" s="12" t="s">
        <v>13597</v>
      </c>
      <c r="C1209" s="667" t="s">
        <v>13628</v>
      </c>
      <c r="D1209" s="12" t="s">
        <v>13600</v>
      </c>
      <c r="E1209" s="584" t="s">
        <v>7028</v>
      </c>
      <c r="F1209" s="415">
        <v>1200</v>
      </c>
      <c r="G1209" s="57">
        <v>136032</v>
      </c>
      <c r="H1209" s="8"/>
      <c r="I1209" s="8" t="s">
        <v>11723</v>
      </c>
      <c r="J1209" s="197"/>
      <c r="K1209" s="197"/>
      <c r="L1209" s="197"/>
      <c r="M1209" s="197"/>
      <c r="N1209" s="197"/>
    </row>
    <row r="1210" spans="1:14" s="195" customFormat="1" ht="45.75" customHeight="1" x14ac:dyDescent="0.2">
      <c r="A1210" s="12" t="s">
        <v>13603</v>
      </c>
      <c r="B1210" s="12" t="s">
        <v>13597</v>
      </c>
      <c r="C1210" s="667" t="s">
        <v>13649</v>
      </c>
      <c r="D1210" s="12" t="s">
        <v>13604</v>
      </c>
      <c r="E1210" s="584" t="s">
        <v>7028</v>
      </c>
      <c r="F1210" s="415">
        <v>1200</v>
      </c>
      <c r="G1210" s="57">
        <v>136032</v>
      </c>
      <c r="H1210" s="8"/>
      <c r="I1210" s="8" t="s">
        <v>11723</v>
      </c>
      <c r="J1210" s="197"/>
      <c r="K1210" s="197"/>
      <c r="L1210" s="197"/>
      <c r="M1210" s="197"/>
      <c r="N1210" s="197"/>
    </row>
    <row r="1211" spans="1:14" s="195" customFormat="1" ht="45.75" customHeight="1" x14ac:dyDescent="0.2">
      <c r="A1211" s="12" t="s">
        <v>13605</v>
      </c>
      <c r="B1211" s="12" t="s">
        <v>13597</v>
      </c>
      <c r="C1211" s="667" t="s">
        <v>13650</v>
      </c>
      <c r="D1211" s="12" t="s">
        <v>13606</v>
      </c>
      <c r="E1211" s="584" t="s">
        <v>7028</v>
      </c>
      <c r="F1211" s="415">
        <v>1200</v>
      </c>
      <c r="G1211" s="57">
        <v>136032</v>
      </c>
      <c r="H1211" s="8"/>
      <c r="I1211" s="8" t="s">
        <v>11723</v>
      </c>
      <c r="J1211" s="197"/>
      <c r="K1211" s="197"/>
      <c r="L1211" s="197"/>
      <c r="M1211" s="197"/>
      <c r="N1211" s="197"/>
    </row>
    <row r="1212" spans="1:14" s="195" customFormat="1" ht="45.75" customHeight="1" x14ac:dyDescent="0.2">
      <c r="A1212" s="12" t="s">
        <v>13616</v>
      </c>
      <c r="B1212" s="12" t="s">
        <v>13597</v>
      </c>
      <c r="C1212" s="676" t="s">
        <v>13657</v>
      </c>
      <c r="D1212" s="12" t="s">
        <v>13617</v>
      </c>
      <c r="E1212" s="584" t="s">
        <v>7028</v>
      </c>
      <c r="F1212" s="415">
        <v>1194</v>
      </c>
      <c r="G1212" s="57">
        <v>135351.84</v>
      </c>
      <c r="H1212" s="8"/>
      <c r="I1212" s="8" t="s">
        <v>11723</v>
      </c>
      <c r="J1212" s="197"/>
      <c r="K1212" s="197"/>
      <c r="L1212" s="197"/>
      <c r="M1212" s="197"/>
      <c r="N1212" s="197"/>
    </row>
    <row r="1213" spans="1:14" s="195" customFormat="1" ht="45.75" customHeight="1" x14ac:dyDescent="0.2">
      <c r="A1213" s="12" t="s">
        <v>13634</v>
      </c>
      <c r="B1213" s="12" t="s">
        <v>13597</v>
      </c>
      <c r="C1213" s="676" t="s">
        <v>13635</v>
      </c>
      <c r="D1213" s="12" t="s">
        <v>13636</v>
      </c>
      <c r="E1213" s="584" t="s">
        <v>7028</v>
      </c>
      <c r="F1213" s="415">
        <v>1199</v>
      </c>
      <c r="G1213" s="57">
        <v>135918.64000000001</v>
      </c>
      <c r="H1213" s="8"/>
      <c r="I1213" s="8" t="s">
        <v>11723</v>
      </c>
      <c r="J1213" s="197"/>
      <c r="K1213" s="197"/>
      <c r="L1213" s="197"/>
      <c r="M1213" s="197"/>
      <c r="N1213" s="197"/>
    </row>
    <row r="1214" spans="1:14" s="195" customFormat="1" ht="45.75" customHeight="1" x14ac:dyDescent="0.2">
      <c r="A1214" s="12" t="s">
        <v>13651</v>
      </c>
      <c r="B1214" s="12" t="s">
        <v>13597</v>
      </c>
      <c r="C1214" s="667" t="s">
        <v>13652</v>
      </c>
      <c r="D1214" s="12" t="s">
        <v>13653</v>
      </c>
      <c r="E1214" s="591" t="s">
        <v>7028</v>
      </c>
      <c r="F1214" s="415">
        <v>1200</v>
      </c>
      <c r="G1214" s="57">
        <v>136032</v>
      </c>
      <c r="H1214" s="4"/>
      <c r="I1214" s="8" t="s">
        <v>11723</v>
      </c>
      <c r="J1214" s="197"/>
      <c r="K1214" s="197"/>
      <c r="L1214" s="197"/>
      <c r="M1214" s="197"/>
      <c r="N1214" s="197"/>
    </row>
    <row r="1215" spans="1:14" s="195" customFormat="1" ht="45.75" customHeight="1" x14ac:dyDescent="0.2">
      <c r="A1215" s="12" t="s">
        <v>13659</v>
      </c>
      <c r="B1215" s="12" t="s">
        <v>13597</v>
      </c>
      <c r="C1215" s="667" t="s">
        <v>13660</v>
      </c>
      <c r="D1215" s="12" t="s">
        <v>13661</v>
      </c>
      <c r="E1215" s="584" t="s">
        <v>7028</v>
      </c>
      <c r="F1215" s="415">
        <v>1200</v>
      </c>
      <c r="G1215" s="57">
        <v>136032</v>
      </c>
      <c r="H1215" s="8"/>
      <c r="I1215" s="8" t="s">
        <v>11723</v>
      </c>
      <c r="J1215" s="197"/>
      <c r="K1215" s="197"/>
      <c r="L1215" s="197"/>
      <c r="M1215" s="197"/>
      <c r="N1215" s="197"/>
    </row>
    <row r="1216" spans="1:14" s="195" customFormat="1" ht="45.75" customHeight="1" x14ac:dyDescent="0.2">
      <c r="A1216" s="12" t="s">
        <v>13662</v>
      </c>
      <c r="B1216" s="12" t="s">
        <v>13597</v>
      </c>
      <c r="C1216" s="676" t="s">
        <v>13663</v>
      </c>
      <c r="D1216" s="12" t="s">
        <v>13664</v>
      </c>
      <c r="E1216" s="584" t="s">
        <v>7028</v>
      </c>
      <c r="F1216" s="415">
        <v>1200</v>
      </c>
      <c r="G1216" s="57">
        <v>136032</v>
      </c>
      <c r="H1216" s="8"/>
      <c r="I1216" s="8" t="s">
        <v>11723</v>
      </c>
      <c r="J1216" s="197"/>
      <c r="K1216" s="197"/>
      <c r="L1216" s="197"/>
      <c r="M1216" s="197"/>
      <c r="N1216" s="197"/>
    </row>
    <row r="1217" spans="1:14" s="195" customFormat="1" ht="45.75" customHeight="1" x14ac:dyDescent="0.2">
      <c r="A1217" s="12" t="s">
        <v>13665</v>
      </c>
      <c r="B1217" s="12" t="s">
        <v>13597</v>
      </c>
      <c r="C1217" s="676" t="s">
        <v>13666</v>
      </c>
      <c r="D1217" s="12" t="s">
        <v>13667</v>
      </c>
      <c r="E1217" s="591" t="s">
        <v>7028</v>
      </c>
      <c r="F1217" s="415">
        <v>1209</v>
      </c>
      <c r="G1217" s="57">
        <v>137052.24</v>
      </c>
      <c r="H1217" s="8"/>
      <c r="I1217" s="8" t="s">
        <v>11723</v>
      </c>
      <c r="J1217" s="197"/>
      <c r="K1217" s="197"/>
      <c r="L1217" s="197"/>
      <c r="M1217" s="197"/>
      <c r="N1217" s="197"/>
    </row>
    <row r="1218" spans="1:14" s="195" customFormat="1" ht="45.75" customHeight="1" x14ac:dyDescent="0.2">
      <c r="A1218" s="12" t="s">
        <v>13682</v>
      </c>
      <c r="B1218" s="12" t="s">
        <v>13597</v>
      </c>
      <c r="C1218" s="667" t="s">
        <v>13683</v>
      </c>
      <c r="D1218" s="12" t="s">
        <v>13684</v>
      </c>
      <c r="E1218" s="584" t="s">
        <v>7028</v>
      </c>
      <c r="F1218" s="415">
        <v>1201</v>
      </c>
      <c r="G1218" s="57">
        <v>136145.35999999999</v>
      </c>
      <c r="H1218" s="8"/>
      <c r="I1218" s="8" t="s">
        <v>11723</v>
      </c>
      <c r="J1218" s="197"/>
      <c r="K1218" s="197"/>
      <c r="L1218" s="197"/>
      <c r="M1218" s="197"/>
      <c r="N1218" s="197"/>
    </row>
    <row r="1219" spans="1:14" s="195" customFormat="1" ht="45.75" customHeight="1" x14ac:dyDescent="0.2">
      <c r="A1219" s="12" t="s">
        <v>13686</v>
      </c>
      <c r="B1219" s="12" t="s">
        <v>13597</v>
      </c>
      <c r="C1219" s="667" t="s">
        <v>13687</v>
      </c>
      <c r="D1219" s="12" t="s">
        <v>13688</v>
      </c>
      <c r="E1219" s="584" t="s">
        <v>7028</v>
      </c>
      <c r="F1219" s="415">
        <v>1200</v>
      </c>
      <c r="G1219" s="57">
        <v>136032</v>
      </c>
      <c r="H1219" s="8"/>
      <c r="I1219" s="8" t="s">
        <v>11723</v>
      </c>
      <c r="J1219" s="197"/>
      <c r="K1219" s="197"/>
      <c r="L1219" s="197"/>
      <c r="M1219" s="197"/>
      <c r="N1219" s="197"/>
    </row>
    <row r="1220" spans="1:14" s="195" customFormat="1" ht="48.75" customHeight="1" x14ac:dyDescent="0.2">
      <c r="A1220" s="12" t="s">
        <v>13727</v>
      </c>
      <c r="B1220" s="12" t="s">
        <v>13597</v>
      </c>
      <c r="C1220" s="676" t="s">
        <v>13718</v>
      </c>
      <c r="D1220" s="12" t="s">
        <v>13719</v>
      </c>
      <c r="E1220" s="584" t="s">
        <v>7028</v>
      </c>
      <c r="F1220" s="415">
        <v>1200</v>
      </c>
      <c r="G1220" s="57">
        <v>136032</v>
      </c>
      <c r="H1220" s="692"/>
      <c r="I1220" s="8" t="s">
        <v>11723</v>
      </c>
      <c r="K1220" s="197"/>
      <c r="L1220" s="197"/>
      <c r="M1220" s="197"/>
      <c r="N1220" s="197"/>
    </row>
    <row r="1221" spans="1:14" s="195" customFormat="1" ht="49.5" customHeight="1" x14ac:dyDescent="0.2">
      <c r="A1221" s="12" t="s">
        <v>13720</v>
      </c>
      <c r="B1221" s="12" t="s">
        <v>13597</v>
      </c>
      <c r="C1221" s="653" t="s">
        <v>13721</v>
      </c>
      <c r="D1221" s="12" t="s">
        <v>13722</v>
      </c>
      <c r="E1221" s="584" t="s">
        <v>7028</v>
      </c>
      <c r="F1221" s="415">
        <v>1199</v>
      </c>
      <c r="G1221" s="57">
        <v>135918.64000000001</v>
      </c>
      <c r="H1221" s="692"/>
      <c r="I1221" s="8" t="s">
        <v>11723</v>
      </c>
      <c r="K1221" s="197"/>
      <c r="L1221" s="197"/>
      <c r="M1221" s="197"/>
      <c r="N1221" s="197"/>
    </row>
    <row r="1222" spans="1:14" s="195" customFormat="1" ht="48.75" customHeight="1" x14ac:dyDescent="0.2">
      <c r="A1222" s="12" t="s">
        <v>13723</v>
      </c>
      <c r="B1222" s="12" t="s">
        <v>13315</v>
      </c>
      <c r="C1222" s="653" t="s">
        <v>13724</v>
      </c>
      <c r="D1222" s="12" t="s">
        <v>13725</v>
      </c>
      <c r="E1222" s="584" t="s">
        <v>7028</v>
      </c>
      <c r="F1222" s="415">
        <v>1200</v>
      </c>
      <c r="G1222" s="57">
        <v>136032</v>
      </c>
      <c r="H1222" s="692"/>
      <c r="I1222" s="8" t="s">
        <v>11723</v>
      </c>
      <c r="K1222" s="197"/>
      <c r="L1222" s="197"/>
      <c r="M1222" s="197"/>
      <c r="N1222" s="197"/>
    </row>
    <row r="1223" spans="1:14" s="195" customFormat="1" ht="48.75" customHeight="1" x14ac:dyDescent="0.2">
      <c r="A1223" s="694" t="s">
        <v>13807</v>
      </c>
      <c r="B1223" s="694" t="s">
        <v>13597</v>
      </c>
      <c r="C1223" s="695" t="s">
        <v>13808</v>
      </c>
      <c r="D1223" s="694" t="s">
        <v>13809</v>
      </c>
      <c r="E1223" s="696" t="s">
        <v>7028</v>
      </c>
      <c r="F1223" s="697">
        <v>1204</v>
      </c>
      <c r="G1223" s="699">
        <v>136485.44</v>
      </c>
      <c r="H1223" s="698"/>
      <c r="I1223" s="715" t="s">
        <v>11723</v>
      </c>
      <c r="J1223" s="699">
        <v>136485.44</v>
      </c>
      <c r="K1223" s="197"/>
      <c r="L1223" s="197"/>
      <c r="M1223" s="197"/>
      <c r="N1223" s="197"/>
    </row>
    <row r="1224" spans="1:14" s="195" customFormat="1" ht="48.75" customHeight="1" x14ac:dyDescent="0.2">
      <c r="A1224" s="694" t="s">
        <v>13918</v>
      </c>
      <c r="B1224" s="694" t="s">
        <v>13597</v>
      </c>
      <c r="C1224" s="695" t="s">
        <v>13919</v>
      </c>
      <c r="D1224" s="694" t="s">
        <v>13920</v>
      </c>
      <c r="E1224" s="696" t="s">
        <v>7028</v>
      </c>
      <c r="F1224" s="697">
        <v>1198</v>
      </c>
      <c r="G1224" s="699">
        <v>135805.28</v>
      </c>
      <c r="H1224" s="698"/>
      <c r="I1224" s="715" t="s">
        <v>11723</v>
      </c>
      <c r="J1224" s="709"/>
      <c r="K1224" s="197"/>
      <c r="L1224" s="197"/>
      <c r="M1224" s="197"/>
      <c r="N1224" s="197"/>
    </row>
    <row r="1225" spans="1:14" s="195" customFormat="1" ht="48.75" customHeight="1" x14ac:dyDescent="0.2">
      <c r="A1225" s="694" t="s">
        <v>13921</v>
      </c>
      <c r="B1225" s="694" t="s">
        <v>13597</v>
      </c>
      <c r="C1225" s="695" t="s">
        <v>13922</v>
      </c>
      <c r="D1225" s="694" t="s">
        <v>13923</v>
      </c>
      <c r="E1225" s="696" t="s">
        <v>7028</v>
      </c>
      <c r="F1225" s="697">
        <v>1196</v>
      </c>
      <c r="G1225" s="699">
        <v>135578.56</v>
      </c>
      <c r="H1225" s="698"/>
      <c r="I1225" s="715" t="s">
        <v>11723</v>
      </c>
      <c r="J1225" s="709"/>
      <c r="K1225" s="197"/>
      <c r="L1225" s="197"/>
      <c r="M1225" s="197"/>
      <c r="N1225" s="197"/>
    </row>
    <row r="1226" spans="1:14" s="195" customFormat="1" ht="48.75" customHeight="1" x14ac:dyDescent="0.2">
      <c r="A1226" s="694" t="s">
        <v>13924</v>
      </c>
      <c r="B1226" s="694" t="s">
        <v>13597</v>
      </c>
      <c r="C1226" s="695" t="s">
        <v>13925</v>
      </c>
      <c r="D1226" s="694" t="s">
        <v>13926</v>
      </c>
      <c r="E1226" s="696" t="s">
        <v>7028</v>
      </c>
      <c r="F1226" s="697">
        <v>1201</v>
      </c>
      <c r="G1226" s="699">
        <v>136145.35999999999</v>
      </c>
      <c r="H1226" s="698"/>
      <c r="I1226" s="715" t="s">
        <v>11723</v>
      </c>
      <c r="J1226" s="709"/>
      <c r="K1226" s="197"/>
      <c r="L1226" s="197"/>
      <c r="M1226" s="197"/>
      <c r="N1226" s="197"/>
    </row>
    <row r="1227" spans="1:14" s="195" customFormat="1" ht="48.75" customHeight="1" x14ac:dyDescent="0.2">
      <c r="A1227" s="694" t="s">
        <v>13927</v>
      </c>
      <c r="B1227" s="694" t="s">
        <v>13597</v>
      </c>
      <c r="C1227" s="695" t="s">
        <v>13928</v>
      </c>
      <c r="D1227" s="694" t="s">
        <v>13929</v>
      </c>
      <c r="E1227" s="696" t="s">
        <v>7028</v>
      </c>
      <c r="F1227" s="697">
        <v>1197</v>
      </c>
      <c r="G1227" s="699">
        <v>135691.92000000001</v>
      </c>
      <c r="H1227" s="698"/>
      <c r="I1227" s="715" t="s">
        <v>11723</v>
      </c>
      <c r="J1227" s="709"/>
      <c r="K1227" s="197"/>
      <c r="L1227" s="197"/>
      <c r="M1227" s="197"/>
      <c r="N1227" s="197"/>
    </row>
    <row r="1228" spans="1:14" s="195" customFormat="1" ht="48.75" customHeight="1" x14ac:dyDescent="0.2">
      <c r="A1228" s="694" t="s">
        <v>13930</v>
      </c>
      <c r="B1228" s="694" t="s">
        <v>13597</v>
      </c>
      <c r="C1228" s="695" t="s">
        <v>13931</v>
      </c>
      <c r="D1228" s="694" t="s">
        <v>13932</v>
      </c>
      <c r="E1228" s="696" t="s">
        <v>7028</v>
      </c>
      <c r="F1228" s="697">
        <v>1198</v>
      </c>
      <c r="G1228" s="699">
        <v>135805.28</v>
      </c>
      <c r="H1228" s="698"/>
      <c r="I1228" s="715" t="s">
        <v>11723</v>
      </c>
      <c r="J1228" s="709"/>
      <c r="K1228" s="197"/>
      <c r="L1228" s="197"/>
      <c r="M1228" s="197"/>
      <c r="N1228" s="197"/>
    </row>
    <row r="1229" spans="1:14" s="195" customFormat="1" ht="48.75" customHeight="1" x14ac:dyDescent="0.2">
      <c r="A1229" s="694" t="s">
        <v>13933</v>
      </c>
      <c r="B1229" s="694" t="s">
        <v>13597</v>
      </c>
      <c r="C1229" s="695" t="s">
        <v>13934</v>
      </c>
      <c r="D1229" s="694" t="s">
        <v>13935</v>
      </c>
      <c r="E1229" s="696" t="s">
        <v>7028</v>
      </c>
      <c r="F1229" s="697">
        <v>1201</v>
      </c>
      <c r="G1229" s="699">
        <v>136145.35999999999</v>
      </c>
      <c r="H1229" s="698"/>
      <c r="I1229" s="715" t="s">
        <v>11723</v>
      </c>
      <c r="J1229" s="709"/>
      <c r="K1229" s="197"/>
      <c r="L1229" s="197"/>
      <c r="M1229" s="197"/>
      <c r="N1229" s="197"/>
    </row>
    <row r="1230" spans="1:14" s="195" customFormat="1" ht="48.75" customHeight="1" x14ac:dyDescent="0.2">
      <c r="A1230" s="694" t="s">
        <v>13936</v>
      </c>
      <c r="B1230" s="694" t="s">
        <v>13597</v>
      </c>
      <c r="C1230" s="695" t="s">
        <v>13937</v>
      </c>
      <c r="D1230" s="694" t="s">
        <v>13938</v>
      </c>
      <c r="E1230" s="696" t="s">
        <v>7028</v>
      </c>
      <c r="F1230" s="697">
        <v>1200</v>
      </c>
      <c r="G1230" s="699">
        <v>136032</v>
      </c>
      <c r="H1230" s="698"/>
      <c r="I1230" s="715" t="s">
        <v>11723</v>
      </c>
      <c r="J1230" s="709"/>
      <c r="K1230" s="197"/>
      <c r="L1230" s="197"/>
      <c r="M1230" s="197"/>
      <c r="N1230" s="197"/>
    </row>
    <row r="1231" spans="1:14" s="195" customFormat="1" ht="48.75" customHeight="1" x14ac:dyDescent="0.2">
      <c r="A1231" s="694" t="s">
        <v>13939</v>
      </c>
      <c r="B1231" s="694" t="s">
        <v>13597</v>
      </c>
      <c r="C1231" s="710" t="s">
        <v>13940</v>
      </c>
      <c r="D1231" s="694" t="s">
        <v>13941</v>
      </c>
      <c r="E1231" s="696" t="s">
        <v>7028</v>
      </c>
      <c r="F1231" s="697">
        <v>1201</v>
      </c>
      <c r="G1231" s="699">
        <v>136145.35999999999</v>
      </c>
      <c r="H1231" s="715"/>
      <c r="I1231" s="715" t="s">
        <v>11723</v>
      </c>
      <c r="J1231" s="709"/>
      <c r="K1231" s="197"/>
      <c r="L1231" s="197"/>
      <c r="M1231" s="197"/>
      <c r="N1231" s="197"/>
    </row>
    <row r="1232" spans="1:14" s="195" customFormat="1" ht="48.75" customHeight="1" x14ac:dyDescent="0.2">
      <c r="A1232" s="694" t="s">
        <v>13942</v>
      </c>
      <c r="B1232" s="694" t="s">
        <v>13597</v>
      </c>
      <c r="C1232" s="710" t="s">
        <v>13943</v>
      </c>
      <c r="D1232" s="694" t="s">
        <v>13944</v>
      </c>
      <c r="E1232" s="696" t="s">
        <v>7028</v>
      </c>
      <c r="F1232" s="697">
        <v>1200</v>
      </c>
      <c r="G1232" s="699">
        <v>136032</v>
      </c>
      <c r="H1232" s="715"/>
      <c r="I1232" s="715" t="s">
        <v>11723</v>
      </c>
      <c r="J1232" s="709"/>
      <c r="K1232" s="197"/>
      <c r="L1232" s="197"/>
      <c r="M1232" s="197"/>
      <c r="N1232" s="197"/>
    </row>
    <row r="1233" spans="1:14" s="195" customFormat="1" ht="48.75" customHeight="1" x14ac:dyDescent="0.2">
      <c r="A1233" s="694" t="s">
        <v>13945</v>
      </c>
      <c r="B1233" s="694" t="s">
        <v>13597</v>
      </c>
      <c r="C1233" s="710" t="s">
        <v>13946</v>
      </c>
      <c r="D1233" s="694" t="s">
        <v>13947</v>
      </c>
      <c r="E1233" s="696" t="s">
        <v>7028</v>
      </c>
      <c r="F1233" s="697">
        <v>1102</v>
      </c>
      <c r="G1233" s="699">
        <v>124922.72</v>
      </c>
      <c r="H1233" s="715"/>
      <c r="I1233" s="715" t="s">
        <v>11723</v>
      </c>
      <c r="J1233" s="709"/>
      <c r="K1233" s="197"/>
      <c r="L1233" s="197"/>
      <c r="M1233" s="197"/>
      <c r="N1233" s="197"/>
    </row>
    <row r="1234" spans="1:14" s="195" customFormat="1" ht="48.75" customHeight="1" x14ac:dyDescent="0.2">
      <c r="A1234" s="694" t="s">
        <v>13948</v>
      </c>
      <c r="B1234" s="694" t="s">
        <v>13597</v>
      </c>
      <c r="C1234" s="710" t="s">
        <v>13949</v>
      </c>
      <c r="D1234" s="694" t="s">
        <v>13950</v>
      </c>
      <c r="E1234" s="696" t="s">
        <v>7028</v>
      </c>
      <c r="F1234" s="697">
        <v>1200</v>
      </c>
      <c r="G1234" s="699">
        <v>136032</v>
      </c>
      <c r="H1234" s="715"/>
      <c r="I1234" s="715" t="s">
        <v>11723</v>
      </c>
      <c r="J1234" s="709"/>
      <c r="K1234" s="197"/>
      <c r="L1234" s="197"/>
      <c r="M1234" s="197"/>
      <c r="N1234" s="197"/>
    </row>
    <row r="1235" spans="1:14" s="195" customFormat="1" ht="48.75" customHeight="1" x14ac:dyDescent="0.2">
      <c r="A1235" s="694" t="s">
        <v>13951</v>
      </c>
      <c r="B1235" s="694" t="s">
        <v>13597</v>
      </c>
      <c r="C1235" s="710" t="s">
        <v>13952</v>
      </c>
      <c r="D1235" s="694" t="s">
        <v>13953</v>
      </c>
      <c r="E1235" s="696" t="s">
        <v>7028</v>
      </c>
      <c r="F1235" s="697">
        <v>1199</v>
      </c>
      <c r="G1235" s="699">
        <v>135918.64000000001</v>
      </c>
      <c r="H1235" s="715"/>
      <c r="I1235" s="715" t="s">
        <v>11723</v>
      </c>
      <c r="J1235" s="709"/>
      <c r="K1235" s="197"/>
      <c r="L1235" s="197"/>
      <c r="M1235" s="197"/>
      <c r="N1235" s="197"/>
    </row>
    <row r="1236" spans="1:14" s="195" customFormat="1" ht="60" customHeight="1" x14ac:dyDescent="0.2">
      <c r="A1236" s="694" t="s">
        <v>13954</v>
      </c>
      <c r="B1236" s="694" t="s">
        <v>13597</v>
      </c>
      <c r="C1236" s="710" t="s">
        <v>13955</v>
      </c>
      <c r="D1236" s="694" t="s">
        <v>13956</v>
      </c>
      <c r="E1236" s="714" t="s">
        <v>7028</v>
      </c>
      <c r="F1236" s="697">
        <v>1200</v>
      </c>
      <c r="G1236" s="699">
        <v>136032</v>
      </c>
      <c r="H1236" s="715"/>
      <c r="I1236" s="715" t="s">
        <v>11723</v>
      </c>
      <c r="K1236" s="197"/>
      <c r="L1236" s="197"/>
      <c r="M1236" s="197"/>
      <c r="N1236" s="197"/>
    </row>
    <row r="1237" spans="1:14" s="195" customFormat="1" ht="48.75" customHeight="1" x14ac:dyDescent="0.2">
      <c r="A1237" s="694" t="s">
        <v>13957</v>
      </c>
      <c r="B1237" s="694" t="s">
        <v>13597</v>
      </c>
      <c r="C1237" s="710" t="s">
        <v>13958</v>
      </c>
      <c r="D1237" s="694" t="s">
        <v>13959</v>
      </c>
      <c r="E1237" s="714" t="s">
        <v>7028</v>
      </c>
      <c r="F1237" s="697">
        <v>1200</v>
      </c>
      <c r="G1237" s="699">
        <v>136032</v>
      </c>
      <c r="H1237" s="715"/>
      <c r="I1237" s="715" t="s">
        <v>11723</v>
      </c>
      <c r="K1237" s="197"/>
      <c r="L1237" s="197"/>
      <c r="M1237" s="197"/>
    </row>
    <row r="1238" spans="1:14" s="195" customFormat="1" ht="58.5" customHeight="1" x14ac:dyDescent="0.2">
      <c r="A1238" s="694" t="s">
        <v>13960</v>
      </c>
      <c r="B1238" s="694" t="s">
        <v>13597</v>
      </c>
      <c r="C1238" s="710" t="s">
        <v>13961</v>
      </c>
      <c r="D1238" s="694" t="s">
        <v>13962</v>
      </c>
      <c r="E1238" s="714" t="s">
        <v>7028</v>
      </c>
      <c r="F1238" s="697">
        <v>1199</v>
      </c>
      <c r="G1238" s="699">
        <v>135918.64000000001</v>
      </c>
      <c r="H1238" s="715"/>
      <c r="I1238" s="715" t="s">
        <v>11723</v>
      </c>
      <c r="K1238" s="197"/>
      <c r="L1238" s="197"/>
      <c r="M1238" s="197"/>
    </row>
    <row r="1239" spans="1:14" s="195" customFormat="1" ht="46.5" customHeight="1" x14ac:dyDescent="0.2">
      <c r="A1239" s="694" t="s">
        <v>13963</v>
      </c>
      <c r="B1239" s="694" t="s">
        <v>13597</v>
      </c>
      <c r="C1239" s="710" t="s">
        <v>13964</v>
      </c>
      <c r="D1239" s="694" t="s">
        <v>13965</v>
      </c>
      <c r="E1239" s="714" t="s">
        <v>7028</v>
      </c>
      <c r="F1239" s="697">
        <v>1200</v>
      </c>
      <c r="G1239" s="699">
        <v>136032</v>
      </c>
      <c r="H1239" s="715"/>
      <c r="I1239" s="715" t="s">
        <v>11723</v>
      </c>
      <c r="K1239" s="197"/>
      <c r="L1239" s="197"/>
      <c r="M1239" s="197"/>
    </row>
    <row r="1240" spans="1:14" s="195" customFormat="1" ht="50.25" customHeight="1" x14ac:dyDescent="0.2">
      <c r="A1240" s="694" t="s">
        <v>13966</v>
      </c>
      <c r="B1240" s="694" t="s">
        <v>13597</v>
      </c>
      <c r="C1240" s="710" t="s">
        <v>13967</v>
      </c>
      <c r="D1240" s="694" t="s">
        <v>13968</v>
      </c>
      <c r="E1240" s="714" t="s">
        <v>7028</v>
      </c>
      <c r="F1240" s="697">
        <v>1200</v>
      </c>
      <c r="G1240" s="699">
        <v>136032</v>
      </c>
      <c r="H1240" s="715"/>
      <c r="I1240" s="715" t="s">
        <v>11723</v>
      </c>
      <c r="K1240" s="197"/>
      <c r="L1240" s="197"/>
      <c r="M1240" s="197"/>
    </row>
    <row r="1241" spans="1:14" s="195" customFormat="1" ht="50.25" customHeight="1" x14ac:dyDescent="0.2">
      <c r="A1241" s="694" t="s">
        <v>13999</v>
      </c>
      <c r="B1241" s="694" t="s">
        <v>13597</v>
      </c>
      <c r="C1241" s="710" t="s">
        <v>14000</v>
      </c>
      <c r="D1241" s="694" t="s">
        <v>14001</v>
      </c>
      <c r="E1241" s="714" t="s">
        <v>7028</v>
      </c>
      <c r="F1241" s="697">
        <v>1200</v>
      </c>
      <c r="G1241" s="699">
        <v>136032</v>
      </c>
      <c r="H1241" s="715"/>
      <c r="I1241" s="715" t="s">
        <v>11723</v>
      </c>
      <c r="K1241" s="197"/>
      <c r="L1241" s="197"/>
      <c r="M1241" s="197"/>
    </row>
    <row r="1242" spans="1:14" s="195" customFormat="1" ht="50.25" customHeight="1" x14ac:dyDescent="0.2">
      <c r="A1242" s="694" t="s">
        <v>14002</v>
      </c>
      <c r="B1242" s="694" t="s">
        <v>13597</v>
      </c>
      <c r="C1242" s="710" t="s">
        <v>14003</v>
      </c>
      <c r="D1242" s="694" t="s">
        <v>14004</v>
      </c>
      <c r="E1242" s="714" t="s">
        <v>7028</v>
      </c>
      <c r="F1242" s="697">
        <v>1203</v>
      </c>
      <c r="G1242" s="699">
        <v>136372.07999999999</v>
      </c>
      <c r="H1242" s="715"/>
      <c r="I1242" s="715" t="s">
        <v>11723</v>
      </c>
      <c r="K1242" s="197"/>
      <c r="L1242" s="197"/>
      <c r="M1242" s="197"/>
    </row>
    <row r="1243" spans="1:14" s="195" customFormat="1" ht="50.25" customHeight="1" x14ac:dyDescent="0.2">
      <c r="A1243" s="694" t="s">
        <v>14005</v>
      </c>
      <c r="B1243" s="694" t="s">
        <v>13597</v>
      </c>
      <c r="C1243" s="710" t="s">
        <v>14007</v>
      </c>
      <c r="D1243" s="694" t="s">
        <v>14006</v>
      </c>
      <c r="E1243" s="714" t="s">
        <v>7028</v>
      </c>
      <c r="F1243" s="697">
        <v>1200</v>
      </c>
      <c r="G1243" s="699">
        <v>136032</v>
      </c>
      <c r="H1243" s="715"/>
      <c r="I1243" s="715" t="s">
        <v>11723</v>
      </c>
      <c r="K1243" s="197"/>
      <c r="L1243" s="197"/>
      <c r="M1243" s="197"/>
    </row>
    <row r="1244" spans="1:14" s="195" customFormat="1" ht="50.25" customHeight="1" x14ac:dyDescent="0.2">
      <c r="A1244" s="694" t="s">
        <v>14010</v>
      </c>
      <c r="B1244" s="694" t="s">
        <v>13597</v>
      </c>
      <c r="C1244" s="710" t="s">
        <v>14011</v>
      </c>
      <c r="D1244" s="694" t="s">
        <v>14012</v>
      </c>
      <c r="E1244" s="714" t="s">
        <v>7028</v>
      </c>
      <c r="F1244" s="697">
        <v>1200</v>
      </c>
      <c r="G1244" s="699">
        <v>136032</v>
      </c>
      <c r="H1244" s="715"/>
      <c r="I1244" s="715" t="s">
        <v>11723</v>
      </c>
      <c r="K1244" s="197"/>
      <c r="L1244" s="197"/>
      <c r="M1244" s="197"/>
    </row>
    <row r="1245" spans="1:14" s="195" customFormat="1" ht="50.25" customHeight="1" x14ac:dyDescent="0.2">
      <c r="A1245" s="694" t="s">
        <v>14013</v>
      </c>
      <c r="B1245" s="694" t="s">
        <v>13597</v>
      </c>
      <c r="C1245" s="710" t="s">
        <v>14014</v>
      </c>
      <c r="D1245" s="694" t="s">
        <v>14015</v>
      </c>
      <c r="E1245" s="714" t="s">
        <v>7028</v>
      </c>
      <c r="F1245" s="697">
        <v>1200</v>
      </c>
      <c r="G1245" s="699">
        <v>136032</v>
      </c>
      <c r="H1245" s="715"/>
      <c r="I1245" s="715" t="s">
        <v>11723</v>
      </c>
      <c r="K1245" s="197"/>
      <c r="L1245" s="197"/>
      <c r="M1245" s="197"/>
    </row>
    <row r="1246" spans="1:14" s="195" customFormat="1" ht="50.25" customHeight="1" x14ac:dyDescent="0.2">
      <c r="A1246" s="694" t="s">
        <v>14016</v>
      </c>
      <c r="B1246" s="694" t="s">
        <v>13597</v>
      </c>
      <c r="C1246" s="710" t="s">
        <v>14017</v>
      </c>
      <c r="D1246" s="694" t="s">
        <v>14018</v>
      </c>
      <c r="E1246" s="714" t="s">
        <v>7028</v>
      </c>
      <c r="F1246" s="697">
        <v>1200</v>
      </c>
      <c r="G1246" s="699">
        <v>136032</v>
      </c>
      <c r="H1246" s="715"/>
      <c r="I1246" s="715" t="s">
        <v>11723</v>
      </c>
      <c r="K1246" s="197"/>
      <c r="L1246" s="197"/>
      <c r="M1246" s="197"/>
    </row>
    <row r="1247" spans="1:14" s="195" customFormat="1" ht="50.25" customHeight="1" x14ac:dyDescent="0.2">
      <c r="A1247" s="694" t="s">
        <v>14019</v>
      </c>
      <c r="B1247" s="694" t="s">
        <v>13597</v>
      </c>
      <c r="C1247" s="710" t="s">
        <v>14020</v>
      </c>
      <c r="D1247" s="694" t="s">
        <v>14021</v>
      </c>
      <c r="E1247" s="714" t="s">
        <v>7028</v>
      </c>
      <c r="F1247" s="697">
        <v>1200</v>
      </c>
      <c r="G1247" s="699">
        <v>136032</v>
      </c>
      <c r="H1247" s="715"/>
      <c r="I1247" s="715" t="s">
        <v>11723</v>
      </c>
      <c r="K1247" s="197"/>
      <c r="L1247" s="197"/>
      <c r="M1247" s="197"/>
    </row>
    <row r="1248" spans="1:14" s="195" customFormat="1" ht="50.25" customHeight="1" x14ac:dyDescent="0.2">
      <c r="A1248" s="694" t="s">
        <v>14022</v>
      </c>
      <c r="B1248" s="694" t="s">
        <v>13597</v>
      </c>
      <c r="C1248" s="696" t="s">
        <v>14023</v>
      </c>
      <c r="D1248" s="694" t="s">
        <v>14024</v>
      </c>
      <c r="E1248" s="714" t="s">
        <v>7028</v>
      </c>
      <c r="F1248" s="697">
        <v>1200</v>
      </c>
      <c r="G1248" s="699">
        <v>136032</v>
      </c>
      <c r="H1248" s="715"/>
      <c r="I1248" s="715" t="s">
        <v>11723</v>
      </c>
      <c r="K1248" s="197"/>
      <c r="L1248" s="197"/>
      <c r="M1248" s="197"/>
    </row>
    <row r="1249" spans="1:13" s="195" customFormat="1" ht="50.25" customHeight="1" x14ac:dyDescent="0.2">
      <c r="A1249" s="694" t="s">
        <v>14025</v>
      </c>
      <c r="B1249" s="694" t="s">
        <v>13597</v>
      </c>
      <c r="C1249" s="696" t="s">
        <v>14026</v>
      </c>
      <c r="D1249" s="694" t="s">
        <v>14181</v>
      </c>
      <c r="E1249" s="714" t="s">
        <v>7028</v>
      </c>
      <c r="F1249" s="697">
        <v>1137</v>
      </c>
      <c r="G1249" s="699" t="s">
        <v>14027</v>
      </c>
      <c r="H1249" s="715"/>
      <c r="I1249" s="715" t="s">
        <v>11723</v>
      </c>
      <c r="K1249" s="197"/>
      <c r="L1249" s="197"/>
      <c r="M1249" s="197"/>
    </row>
    <row r="1250" spans="1:13" s="195" customFormat="1" ht="50.25" customHeight="1" x14ac:dyDescent="0.2">
      <c r="A1250" s="694" t="s">
        <v>14028</v>
      </c>
      <c r="B1250" s="694" t="s">
        <v>13597</v>
      </c>
      <c r="C1250" s="710" t="s">
        <v>14029</v>
      </c>
      <c r="D1250" s="694" t="s">
        <v>14030</v>
      </c>
      <c r="E1250" s="714" t="s">
        <v>7028</v>
      </c>
      <c r="F1250" s="697">
        <v>1200</v>
      </c>
      <c r="G1250" s="699">
        <v>136032</v>
      </c>
      <c r="H1250" s="715"/>
      <c r="I1250" s="715" t="s">
        <v>11723</v>
      </c>
      <c r="K1250" s="197"/>
      <c r="L1250" s="197"/>
      <c r="M1250" s="197"/>
    </row>
    <row r="1251" spans="1:13" s="195" customFormat="1" ht="50.25" customHeight="1" x14ac:dyDescent="0.2">
      <c r="A1251" s="694" t="s">
        <v>14034</v>
      </c>
      <c r="B1251" s="694" t="s">
        <v>13597</v>
      </c>
      <c r="C1251" s="696" t="s">
        <v>14035</v>
      </c>
      <c r="D1251" s="694" t="s">
        <v>14036</v>
      </c>
      <c r="E1251" s="714" t="s">
        <v>7028</v>
      </c>
      <c r="F1251" s="697">
        <v>1017</v>
      </c>
      <c r="G1251" s="699">
        <v>115287.12</v>
      </c>
      <c r="H1251" s="715"/>
      <c r="I1251" s="715" t="s">
        <v>11723</v>
      </c>
      <c r="K1251" s="197"/>
      <c r="L1251" s="197"/>
      <c r="M1251" s="197"/>
    </row>
    <row r="1252" spans="1:13" s="195" customFormat="1" ht="50.25" customHeight="1" x14ac:dyDescent="0.2">
      <c r="A1252" s="694" t="s">
        <v>14037</v>
      </c>
      <c r="B1252" s="694" t="s">
        <v>13597</v>
      </c>
      <c r="C1252" s="710" t="s">
        <v>14038</v>
      </c>
      <c r="D1252" s="694" t="s">
        <v>14039</v>
      </c>
      <c r="E1252" s="714" t="s">
        <v>7028</v>
      </c>
      <c r="F1252" s="697">
        <v>1200</v>
      </c>
      <c r="G1252" s="699">
        <v>136032</v>
      </c>
      <c r="H1252" s="715"/>
      <c r="I1252" s="715" t="s">
        <v>11723</v>
      </c>
      <c r="K1252" s="197"/>
      <c r="L1252" s="197"/>
      <c r="M1252" s="197"/>
    </row>
    <row r="1253" spans="1:13" s="195" customFormat="1" ht="50.25" customHeight="1" x14ac:dyDescent="0.2">
      <c r="A1253" s="694" t="s">
        <v>14040</v>
      </c>
      <c r="B1253" s="694" t="s">
        <v>13597</v>
      </c>
      <c r="C1253" s="710" t="s">
        <v>14041</v>
      </c>
      <c r="D1253" s="694" t="s">
        <v>14042</v>
      </c>
      <c r="E1253" s="714" t="s">
        <v>7028</v>
      </c>
      <c r="F1253" s="697">
        <v>1200</v>
      </c>
      <c r="G1253" s="699">
        <v>136032</v>
      </c>
      <c r="H1253" s="715"/>
      <c r="I1253" s="715" t="s">
        <v>11723</v>
      </c>
      <c r="K1253" s="197"/>
      <c r="L1253" s="197"/>
      <c r="M1253" s="197"/>
    </row>
    <row r="1254" spans="1:13" s="195" customFormat="1" ht="50.25" customHeight="1" x14ac:dyDescent="0.2">
      <c r="A1254" s="694" t="s">
        <v>14043</v>
      </c>
      <c r="B1254" s="694" t="s">
        <v>13597</v>
      </c>
      <c r="C1254" s="710" t="s">
        <v>14044</v>
      </c>
      <c r="D1254" s="694" t="s">
        <v>14045</v>
      </c>
      <c r="E1254" s="714" t="s">
        <v>7028</v>
      </c>
      <c r="F1254" s="697">
        <v>1201</v>
      </c>
      <c r="G1254" s="699">
        <v>136145.35999999999</v>
      </c>
      <c r="H1254" s="715"/>
      <c r="I1254" s="715" t="s">
        <v>11723</v>
      </c>
      <c r="K1254" s="197"/>
      <c r="L1254" s="197"/>
      <c r="M1254" s="197"/>
    </row>
    <row r="1255" spans="1:13" s="195" customFormat="1" ht="50.25" customHeight="1" x14ac:dyDescent="0.2">
      <c r="A1255" s="694" t="s">
        <v>14058</v>
      </c>
      <c r="B1255" s="694" t="s">
        <v>13597</v>
      </c>
      <c r="C1255" s="710" t="s">
        <v>14059</v>
      </c>
      <c r="D1255" s="694" t="s">
        <v>14060</v>
      </c>
      <c r="E1255" s="714" t="s">
        <v>7028</v>
      </c>
      <c r="F1255" s="697">
        <v>1200</v>
      </c>
      <c r="G1255" s="699">
        <v>136032</v>
      </c>
      <c r="H1255" s="715"/>
      <c r="I1255" s="715" t="s">
        <v>11723</v>
      </c>
      <c r="K1255" s="197"/>
      <c r="L1255" s="197"/>
      <c r="M1255" s="197"/>
    </row>
    <row r="1256" spans="1:13" s="195" customFormat="1" ht="50.25" customHeight="1" x14ac:dyDescent="0.2">
      <c r="A1256" s="694" t="s">
        <v>14061</v>
      </c>
      <c r="B1256" s="694" t="s">
        <v>13597</v>
      </c>
      <c r="C1256" s="694" t="s">
        <v>14062</v>
      </c>
      <c r="D1256" s="694" t="s">
        <v>14063</v>
      </c>
      <c r="E1256" s="714" t="s">
        <v>7028</v>
      </c>
      <c r="F1256" s="697">
        <v>1199</v>
      </c>
      <c r="G1256" s="699">
        <v>135918.64000000001</v>
      </c>
      <c r="H1256" s="715"/>
      <c r="I1256" s="715" t="s">
        <v>11723</v>
      </c>
      <c r="K1256" s="197"/>
      <c r="L1256" s="197"/>
      <c r="M1256" s="197"/>
    </row>
    <row r="1257" spans="1:13" s="195" customFormat="1" ht="50.25" customHeight="1" x14ac:dyDescent="0.2">
      <c r="A1257" s="694" t="s">
        <v>14064</v>
      </c>
      <c r="B1257" s="694" t="s">
        <v>13597</v>
      </c>
      <c r="C1257" s="710" t="s">
        <v>14065</v>
      </c>
      <c r="D1257" s="694" t="s">
        <v>14066</v>
      </c>
      <c r="E1257" s="714" t="s">
        <v>7028</v>
      </c>
      <c r="F1257" s="697">
        <v>1200</v>
      </c>
      <c r="G1257" s="699">
        <v>136032</v>
      </c>
      <c r="H1257" s="715"/>
      <c r="I1257" s="715" t="s">
        <v>11723</v>
      </c>
      <c r="K1257" s="197"/>
      <c r="L1257" s="197"/>
      <c r="M1257" s="197"/>
    </row>
    <row r="1258" spans="1:13" s="195" customFormat="1" ht="50.25" customHeight="1" x14ac:dyDescent="0.2">
      <c r="A1258" s="694" t="s">
        <v>14067</v>
      </c>
      <c r="B1258" s="694" t="s">
        <v>13597</v>
      </c>
      <c r="C1258" s="710" t="s">
        <v>14068</v>
      </c>
      <c r="D1258" s="694" t="s">
        <v>14069</v>
      </c>
      <c r="E1258" s="714" t="s">
        <v>7028</v>
      </c>
      <c r="F1258" s="697">
        <v>1199</v>
      </c>
      <c r="G1258" s="699">
        <v>135918.64000000001</v>
      </c>
      <c r="H1258" s="715"/>
      <c r="I1258" s="715" t="s">
        <v>11723</v>
      </c>
      <c r="K1258" s="197"/>
      <c r="L1258" s="197"/>
      <c r="M1258" s="197"/>
    </row>
    <row r="1259" spans="1:13" s="195" customFormat="1" ht="50.25" customHeight="1" x14ac:dyDescent="0.2">
      <c r="A1259" s="694" t="s">
        <v>14070</v>
      </c>
      <c r="B1259" s="694" t="s">
        <v>13597</v>
      </c>
      <c r="C1259" s="710" t="s">
        <v>14072</v>
      </c>
      <c r="D1259" s="694" t="s">
        <v>14073</v>
      </c>
      <c r="E1259" s="714" t="s">
        <v>7028</v>
      </c>
      <c r="F1259" s="697">
        <v>1202</v>
      </c>
      <c r="G1259" s="699">
        <v>136258.72</v>
      </c>
      <c r="H1259" s="715"/>
      <c r="I1259" s="715" t="s">
        <v>11723</v>
      </c>
      <c r="K1259" s="197"/>
      <c r="L1259" s="197"/>
      <c r="M1259" s="197"/>
    </row>
    <row r="1260" spans="1:13" s="195" customFormat="1" ht="50.25" customHeight="1" x14ac:dyDescent="0.2">
      <c r="A1260" s="694" t="s">
        <v>14071</v>
      </c>
      <c r="B1260" s="694" t="s">
        <v>13597</v>
      </c>
      <c r="C1260" s="731" t="s">
        <v>14074</v>
      </c>
      <c r="D1260" s="694" t="s">
        <v>14075</v>
      </c>
      <c r="E1260" s="714" t="s">
        <v>7028</v>
      </c>
      <c r="F1260" s="697">
        <v>1200</v>
      </c>
      <c r="G1260" s="699">
        <v>136032</v>
      </c>
      <c r="H1260" s="715"/>
      <c r="I1260" s="715" t="s">
        <v>11723</v>
      </c>
      <c r="K1260" s="197"/>
      <c r="L1260" s="197"/>
      <c r="M1260" s="197"/>
    </row>
    <row r="1261" spans="1:13" s="195" customFormat="1" ht="47.25" customHeight="1" x14ac:dyDescent="0.2">
      <c r="A1261" s="694" t="s">
        <v>14076</v>
      </c>
      <c r="B1261" s="694" t="s">
        <v>13597</v>
      </c>
      <c r="C1261" s="710" t="s">
        <v>14077</v>
      </c>
      <c r="D1261" s="694" t="s">
        <v>14078</v>
      </c>
      <c r="E1261" s="714" t="s">
        <v>7028</v>
      </c>
      <c r="F1261" s="697">
        <v>1200</v>
      </c>
      <c r="G1261" s="699">
        <v>136032</v>
      </c>
      <c r="H1261" s="715"/>
      <c r="I1261" s="715" t="s">
        <v>11723</v>
      </c>
      <c r="K1261" s="197"/>
      <c r="L1261" s="197"/>
      <c r="M1261" s="197"/>
    </row>
    <row r="1262" spans="1:13" s="195" customFormat="1" ht="50.25" customHeight="1" x14ac:dyDescent="0.2">
      <c r="A1262" s="694" t="s">
        <v>14079</v>
      </c>
      <c r="B1262" s="694" t="s">
        <v>13597</v>
      </c>
      <c r="C1262" s="731" t="s">
        <v>14080</v>
      </c>
      <c r="D1262" s="694" t="s">
        <v>14081</v>
      </c>
      <c r="E1262" s="714" t="s">
        <v>7028</v>
      </c>
      <c r="F1262" s="697">
        <v>1199</v>
      </c>
      <c r="G1262" s="699">
        <v>135918.64000000001</v>
      </c>
      <c r="H1262" s="715"/>
      <c r="I1262" s="715" t="s">
        <v>11723</v>
      </c>
      <c r="K1262" s="197"/>
      <c r="L1262" s="197"/>
      <c r="M1262" s="197"/>
    </row>
    <row r="1263" spans="1:13" s="195" customFormat="1" ht="50.25" customHeight="1" x14ac:dyDescent="0.2">
      <c r="A1263" s="694" t="s">
        <v>14082</v>
      </c>
      <c r="B1263" s="694" t="s">
        <v>13597</v>
      </c>
      <c r="C1263" s="731" t="s">
        <v>14083</v>
      </c>
      <c r="D1263" s="694" t="s">
        <v>14084</v>
      </c>
      <c r="E1263" s="714" t="s">
        <v>7028</v>
      </c>
      <c r="F1263" s="697">
        <v>1199</v>
      </c>
      <c r="G1263" s="699">
        <v>135918.64000000001</v>
      </c>
      <c r="H1263" s="715"/>
      <c r="I1263" s="715" t="s">
        <v>11723</v>
      </c>
      <c r="K1263" s="197"/>
      <c r="L1263" s="197"/>
      <c r="M1263" s="197"/>
    </row>
    <row r="1264" spans="1:13" s="195" customFormat="1" ht="50.25" customHeight="1" x14ac:dyDescent="0.2">
      <c r="A1264" s="694" t="s">
        <v>14085</v>
      </c>
      <c r="B1264" s="694" t="s">
        <v>13597</v>
      </c>
      <c r="C1264" s="731" t="s">
        <v>14086</v>
      </c>
      <c r="D1264" s="694" t="s">
        <v>14087</v>
      </c>
      <c r="E1264" s="714" t="s">
        <v>7028</v>
      </c>
      <c r="F1264" s="697">
        <v>1201</v>
      </c>
      <c r="G1264" s="699">
        <v>136145.35999999999</v>
      </c>
      <c r="H1264" s="715"/>
      <c r="I1264" s="715" t="s">
        <v>11723</v>
      </c>
      <c r="K1264" s="197"/>
      <c r="L1264" s="197"/>
      <c r="M1264" s="197"/>
    </row>
    <row r="1265" spans="1:13" s="195" customFormat="1" ht="50.25" customHeight="1" x14ac:dyDescent="0.2">
      <c r="A1265" s="694" t="s">
        <v>14088</v>
      </c>
      <c r="B1265" s="694" t="s">
        <v>13597</v>
      </c>
      <c r="C1265" s="731" t="s">
        <v>14089</v>
      </c>
      <c r="D1265" s="694" t="s">
        <v>14090</v>
      </c>
      <c r="E1265" s="714" t="s">
        <v>7028</v>
      </c>
      <c r="F1265" s="697">
        <v>1202</v>
      </c>
      <c r="G1265" s="699">
        <v>136258.72</v>
      </c>
      <c r="H1265" s="715"/>
      <c r="I1265" s="715" t="s">
        <v>11723</v>
      </c>
      <c r="K1265" s="197"/>
      <c r="L1265" s="197"/>
      <c r="M1265" s="197"/>
    </row>
    <row r="1266" spans="1:13" s="195" customFormat="1" ht="50.25" customHeight="1" x14ac:dyDescent="0.2">
      <c r="A1266" s="694" t="s">
        <v>14096</v>
      </c>
      <c r="B1266" s="694" t="s">
        <v>13597</v>
      </c>
      <c r="C1266" s="731" t="s">
        <v>14097</v>
      </c>
      <c r="D1266" s="694" t="s">
        <v>14098</v>
      </c>
      <c r="E1266" s="714" t="s">
        <v>7028</v>
      </c>
      <c r="F1266" s="697">
        <v>1201</v>
      </c>
      <c r="G1266" s="699">
        <v>136145.35999999999</v>
      </c>
      <c r="H1266" s="715"/>
      <c r="I1266" s="715" t="s">
        <v>11723</v>
      </c>
      <c r="K1266" s="197"/>
      <c r="L1266" s="197"/>
      <c r="M1266" s="197"/>
    </row>
    <row r="1267" spans="1:13" s="195" customFormat="1" ht="50.25" customHeight="1" x14ac:dyDescent="0.2">
      <c r="A1267" s="694" t="s">
        <v>14099</v>
      </c>
      <c r="B1267" s="694" t="s">
        <v>13597</v>
      </c>
      <c r="C1267" s="731" t="s">
        <v>14100</v>
      </c>
      <c r="D1267" s="694" t="s">
        <v>14101</v>
      </c>
      <c r="E1267" s="714" t="s">
        <v>7028</v>
      </c>
      <c r="F1267" s="697">
        <v>1200</v>
      </c>
      <c r="G1267" s="699">
        <v>136032</v>
      </c>
      <c r="H1267" s="715"/>
      <c r="I1267" s="715" t="s">
        <v>11723</v>
      </c>
      <c r="K1267" s="197"/>
      <c r="L1267" s="197"/>
      <c r="M1267" s="197"/>
    </row>
    <row r="1268" spans="1:13" s="195" customFormat="1" ht="50.25" customHeight="1" x14ac:dyDescent="0.2">
      <c r="A1268" s="694" t="s">
        <v>14102</v>
      </c>
      <c r="B1268" s="694" t="s">
        <v>13597</v>
      </c>
      <c r="C1268" s="731" t="s">
        <v>14103</v>
      </c>
      <c r="D1268" s="694" t="s">
        <v>14104</v>
      </c>
      <c r="E1268" s="714" t="s">
        <v>7028</v>
      </c>
      <c r="F1268" s="697">
        <v>1198</v>
      </c>
      <c r="G1268" s="699">
        <v>135805.28</v>
      </c>
      <c r="H1268" s="715"/>
      <c r="I1268" s="715" t="s">
        <v>11723</v>
      </c>
      <c r="K1268" s="197"/>
      <c r="L1268" s="197"/>
      <c r="M1268" s="197"/>
    </row>
    <row r="1269" spans="1:13" s="195" customFormat="1" ht="50.25" customHeight="1" x14ac:dyDescent="0.2">
      <c r="A1269" s="694" t="s">
        <v>14105</v>
      </c>
      <c r="B1269" s="694" t="s">
        <v>13597</v>
      </c>
      <c r="C1269" s="731" t="s">
        <v>14106</v>
      </c>
      <c r="D1269" s="694" t="s">
        <v>14107</v>
      </c>
      <c r="E1269" s="714" t="s">
        <v>7028</v>
      </c>
      <c r="F1269" s="697">
        <v>1200</v>
      </c>
      <c r="G1269" s="699">
        <v>136032</v>
      </c>
      <c r="H1269" s="715"/>
      <c r="I1269" s="715" t="s">
        <v>11723</v>
      </c>
      <c r="K1269" s="197"/>
      <c r="L1269" s="197"/>
      <c r="M1269" s="197"/>
    </row>
    <row r="1270" spans="1:13" s="195" customFormat="1" ht="50.25" customHeight="1" x14ac:dyDescent="0.2">
      <c r="A1270" s="694" t="s">
        <v>14108</v>
      </c>
      <c r="B1270" s="694" t="s">
        <v>13597</v>
      </c>
      <c r="C1270" s="731" t="s">
        <v>14109</v>
      </c>
      <c r="D1270" s="694" t="s">
        <v>14110</v>
      </c>
      <c r="E1270" s="714" t="s">
        <v>7028</v>
      </c>
      <c r="F1270" s="697">
        <v>1201</v>
      </c>
      <c r="G1270" s="699">
        <v>136145.35999999999</v>
      </c>
      <c r="H1270" s="715"/>
      <c r="I1270" s="715" t="s">
        <v>11723</v>
      </c>
      <c r="K1270" s="197"/>
      <c r="L1270" s="197"/>
      <c r="M1270" s="197"/>
    </row>
    <row r="1271" spans="1:13" s="195" customFormat="1" ht="50.25" customHeight="1" x14ac:dyDescent="0.2">
      <c r="A1271" s="694" t="s">
        <v>14111</v>
      </c>
      <c r="B1271" s="694" t="s">
        <v>13597</v>
      </c>
      <c r="C1271" s="731" t="s">
        <v>14112</v>
      </c>
      <c r="D1271" s="694" t="s">
        <v>14113</v>
      </c>
      <c r="E1271" s="714" t="s">
        <v>7028</v>
      </c>
      <c r="F1271" s="697">
        <v>1200</v>
      </c>
      <c r="G1271" s="699">
        <v>136032</v>
      </c>
      <c r="H1271" s="715"/>
      <c r="I1271" s="715" t="s">
        <v>11723</v>
      </c>
      <c r="K1271" s="197"/>
      <c r="L1271" s="197"/>
      <c r="M1271" s="197"/>
    </row>
    <row r="1272" spans="1:13" s="195" customFormat="1" ht="50.25" customHeight="1" x14ac:dyDescent="0.2">
      <c r="A1272" s="694" t="s">
        <v>14114</v>
      </c>
      <c r="B1272" s="694" t="s">
        <v>13597</v>
      </c>
      <c r="C1272" s="731" t="s">
        <v>14115</v>
      </c>
      <c r="D1272" s="694" t="s">
        <v>14116</v>
      </c>
      <c r="E1272" s="714" t="s">
        <v>7028</v>
      </c>
      <c r="F1272" s="697">
        <v>1200</v>
      </c>
      <c r="G1272" s="699">
        <v>136032</v>
      </c>
      <c r="H1272" s="715"/>
      <c r="I1272" s="715" t="s">
        <v>11723</v>
      </c>
      <c r="K1272" s="197"/>
      <c r="L1272" s="197"/>
      <c r="M1272" s="197"/>
    </row>
    <row r="1273" spans="1:13" s="195" customFormat="1" ht="50.25" customHeight="1" x14ac:dyDescent="0.2">
      <c r="A1273" s="694" t="s">
        <v>14117</v>
      </c>
      <c r="B1273" s="694" t="s">
        <v>13597</v>
      </c>
      <c r="C1273" s="731" t="s">
        <v>14118</v>
      </c>
      <c r="D1273" s="694" t="s">
        <v>14119</v>
      </c>
      <c r="E1273" s="714" t="s">
        <v>7028</v>
      </c>
      <c r="F1273" s="697">
        <v>1200</v>
      </c>
      <c r="G1273" s="699">
        <v>136032</v>
      </c>
      <c r="H1273" s="715"/>
      <c r="I1273" s="715" t="s">
        <v>11723</v>
      </c>
      <c r="K1273" s="197"/>
      <c r="L1273" s="197"/>
      <c r="M1273" s="197"/>
    </row>
    <row r="1274" spans="1:13" s="195" customFormat="1" ht="50.25" customHeight="1" x14ac:dyDescent="0.2">
      <c r="A1274" s="694" t="s">
        <v>14120</v>
      </c>
      <c r="B1274" s="694" t="s">
        <v>13597</v>
      </c>
      <c r="C1274" s="731" t="s">
        <v>14121</v>
      </c>
      <c r="D1274" s="694" t="s">
        <v>14122</v>
      </c>
      <c r="E1274" s="714" t="s">
        <v>7028</v>
      </c>
      <c r="F1274" s="697">
        <v>1199</v>
      </c>
      <c r="G1274" s="699">
        <v>135918.64000000001</v>
      </c>
      <c r="H1274" s="715"/>
      <c r="I1274" s="715" t="s">
        <v>11723</v>
      </c>
      <c r="K1274" s="197"/>
      <c r="L1274" s="197"/>
      <c r="M1274" s="197"/>
    </row>
    <row r="1275" spans="1:13" s="195" customFormat="1" ht="50.25" customHeight="1" x14ac:dyDescent="0.2">
      <c r="A1275" s="694" t="s">
        <v>14123</v>
      </c>
      <c r="B1275" s="694" t="s">
        <v>13597</v>
      </c>
      <c r="C1275" s="731" t="s">
        <v>14124</v>
      </c>
      <c r="D1275" s="694" t="s">
        <v>14125</v>
      </c>
      <c r="E1275" s="714" t="s">
        <v>7028</v>
      </c>
      <c r="F1275" s="697">
        <v>1200</v>
      </c>
      <c r="G1275" s="699">
        <v>136032</v>
      </c>
      <c r="H1275" s="715"/>
      <c r="I1275" s="715" t="s">
        <v>11723</v>
      </c>
      <c r="K1275" s="197"/>
      <c r="L1275" s="197"/>
      <c r="M1275" s="197"/>
    </row>
    <row r="1276" spans="1:13" s="195" customFormat="1" ht="50.25" customHeight="1" x14ac:dyDescent="0.2">
      <c r="A1276" s="694" t="s">
        <v>14146</v>
      </c>
      <c r="B1276" s="694" t="s">
        <v>13597</v>
      </c>
      <c r="C1276" s="731" t="s">
        <v>14740</v>
      </c>
      <c r="D1276" s="694" t="s">
        <v>14147</v>
      </c>
      <c r="E1276" s="714" t="s">
        <v>7028</v>
      </c>
      <c r="F1276" s="697">
        <v>1200</v>
      </c>
      <c r="G1276" s="699">
        <v>136032</v>
      </c>
      <c r="H1276" s="715"/>
      <c r="I1276" s="715" t="s">
        <v>11723</v>
      </c>
      <c r="K1276" s="197"/>
      <c r="L1276" s="197"/>
      <c r="M1276" s="197"/>
    </row>
    <row r="1277" spans="1:13" s="195" customFormat="1" ht="50.25" customHeight="1" x14ac:dyDescent="0.2">
      <c r="A1277" s="694" t="s">
        <v>14148</v>
      </c>
      <c r="B1277" s="694" t="s">
        <v>13597</v>
      </c>
      <c r="C1277" s="731" t="s">
        <v>14149</v>
      </c>
      <c r="D1277" s="694" t="s">
        <v>14150</v>
      </c>
      <c r="E1277" s="714" t="s">
        <v>7028</v>
      </c>
      <c r="F1277" s="697">
        <v>1201</v>
      </c>
      <c r="G1277" s="699">
        <v>136145.35999999999</v>
      </c>
      <c r="H1277" s="715"/>
      <c r="I1277" s="715" t="s">
        <v>11723</v>
      </c>
      <c r="K1277" s="197"/>
      <c r="L1277" s="197"/>
      <c r="M1277" s="197"/>
    </row>
    <row r="1278" spans="1:13" s="195" customFormat="1" ht="60" customHeight="1" x14ac:dyDescent="0.2">
      <c r="A1278" s="694" t="s">
        <v>14151</v>
      </c>
      <c r="B1278" s="694" t="s">
        <v>13597</v>
      </c>
      <c r="C1278" s="731" t="s">
        <v>14152</v>
      </c>
      <c r="D1278" s="694" t="s">
        <v>14153</v>
      </c>
      <c r="E1278" s="714" t="s">
        <v>7028</v>
      </c>
      <c r="F1278" s="697">
        <v>1199</v>
      </c>
      <c r="G1278" s="699">
        <v>135918.64000000001</v>
      </c>
      <c r="H1278" s="715"/>
      <c r="I1278" s="715" t="s">
        <v>11723</v>
      </c>
      <c r="K1278" s="197"/>
      <c r="L1278" s="197"/>
      <c r="M1278" s="197"/>
    </row>
    <row r="1279" spans="1:13" s="195" customFormat="1" ht="49.5" customHeight="1" x14ac:dyDescent="0.2">
      <c r="A1279" s="694" t="s">
        <v>14154</v>
      </c>
      <c r="B1279" s="694" t="s">
        <v>13597</v>
      </c>
      <c r="C1279" s="731" t="s">
        <v>14155</v>
      </c>
      <c r="D1279" s="694" t="s">
        <v>14156</v>
      </c>
      <c r="E1279" s="714" t="s">
        <v>7028</v>
      </c>
      <c r="F1279" s="697">
        <v>1201</v>
      </c>
      <c r="G1279" s="699">
        <v>136145.35999999999</v>
      </c>
      <c r="H1279" s="715"/>
      <c r="I1279" s="715" t="s">
        <v>11723</v>
      </c>
      <c r="K1279" s="197"/>
      <c r="L1279" s="197"/>
      <c r="M1279" s="197"/>
    </row>
    <row r="1280" spans="1:13" s="195" customFormat="1" ht="48" customHeight="1" x14ac:dyDescent="0.2">
      <c r="A1280" s="694" t="s">
        <v>14160</v>
      </c>
      <c r="B1280" s="694" t="s">
        <v>13597</v>
      </c>
      <c r="C1280" s="731" t="s">
        <v>14164</v>
      </c>
      <c r="D1280" s="694" t="s">
        <v>14165</v>
      </c>
      <c r="E1280" s="714" t="s">
        <v>7028</v>
      </c>
      <c r="F1280" s="697">
        <v>1201</v>
      </c>
      <c r="G1280" s="699">
        <v>136145.35999999999</v>
      </c>
      <c r="H1280" s="715"/>
      <c r="I1280" s="715" t="s">
        <v>11723</v>
      </c>
      <c r="K1280" s="197"/>
      <c r="L1280" s="197"/>
      <c r="M1280" s="197"/>
    </row>
    <row r="1281" spans="1:13" s="195" customFormat="1" ht="48" customHeight="1" x14ac:dyDescent="0.2">
      <c r="A1281" s="694" t="s">
        <v>14161</v>
      </c>
      <c r="B1281" s="694" t="s">
        <v>13597</v>
      </c>
      <c r="C1281" s="739" t="s">
        <v>14162</v>
      </c>
      <c r="D1281" s="694" t="s">
        <v>14163</v>
      </c>
      <c r="E1281" s="714" t="s">
        <v>7028</v>
      </c>
      <c r="F1281" s="697">
        <v>1199</v>
      </c>
      <c r="G1281" s="699">
        <v>135918.64000000001</v>
      </c>
      <c r="H1281" s="715"/>
      <c r="I1281" s="715" t="s">
        <v>11723</v>
      </c>
      <c r="K1281" s="197"/>
      <c r="L1281" s="197"/>
      <c r="M1281" s="197"/>
    </row>
    <row r="1282" spans="1:13" s="195" customFormat="1" ht="48" customHeight="1" x14ac:dyDescent="0.2">
      <c r="A1282" s="694" t="s">
        <v>14166</v>
      </c>
      <c r="B1282" s="694" t="s">
        <v>13597</v>
      </c>
      <c r="C1282" s="739" t="s">
        <v>14167</v>
      </c>
      <c r="D1282" s="694" t="s">
        <v>14168</v>
      </c>
      <c r="E1282" s="714" t="s">
        <v>7028</v>
      </c>
      <c r="F1282" s="697">
        <v>1199</v>
      </c>
      <c r="G1282" s="699">
        <v>135918.64000000001</v>
      </c>
      <c r="H1282" s="715"/>
      <c r="I1282" s="715" t="s">
        <v>11723</v>
      </c>
      <c r="K1282" s="197"/>
      <c r="L1282" s="197"/>
      <c r="M1282" s="197"/>
    </row>
    <row r="1283" spans="1:13" s="195" customFormat="1" ht="48.75" customHeight="1" x14ac:dyDescent="0.2">
      <c r="A1283" s="694" t="s">
        <v>14169</v>
      </c>
      <c r="B1283" s="694" t="s">
        <v>13597</v>
      </c>
      <c r="C1283" s="753" t="s">
        <v>14197</v>
      </c>
      <c r="D1283" s="694" t="s">
        <v>14198</v>
      </c>
      <c r="E1283" s="714" t="s">
        <v>7028</v>
      </c>
      <c r="F1283" s="697">
        <v>1200</v>
      </c>
      <c r="G1283" s="699">
        <v>136032</v>
      </c>
      <c r="H1283" s="715"/>
      <c r="I1283" s="715" t="s">
        <v>11723</v>
      </c>
      <c r="K1283" s="197"/>
      <c r="L1283" s="197"/>
      <c r="M1283" s="197"/>
    </row>
    <row r="1284" spans="1:13" s="195" customFormat="1" ht="49.5" customHeight="1" x14ac:dyDescent="0.2">
      <c r="A1284" s="694" t="s">
        <v>14170</v>
      </c>
      <c r="B1284" s="694" t="s">
        <v>13597</v>
      </c>
      <c r="C1284" s="753" t="s">
        <v>14199</v>
      </c>
      <c r="D1284" s="694" t="s">
        <v>14200</v>
      </c>
      <c r="E1284" s="714" t="s">
        <v>7028</v>
      </c>
      <c r="F1284" s="697">
        <v>1200</v>
      </c>
      <c r="G1284" s="699">
        <v>136032</v>
      </c>
      <c r="H1284" s="715"/>
      <c r="I1284" s="715" t="s">
        <v>11723</v>
      </c>
      <c r="K1284" s="197"/>
      <c r="L1284" s="197"/>
      <c r="M1284" s="197"/>
    </row>
    <row r="1285" spans="1:13" s="195" customFormat="1" ht="58.5" customHeight="1" x14ac:dyDescent="0.2">
      <c r="A1285" s="694" t="s">
        <v>14171</v>
      </c>
      <c r="B1285" s="694" t="s">
        <v>13597</v>
      </c>
      <c r="C1285" s="753" t="s">
        <v>14172</v>
      </c>
      <c r="D1285" s="694" t="s">
        <v>14173</v>
      </c>
      <c r="E1285" s="714" t="s">
        <v>7028</v>
      </c>
      <c r="F1285" s="697">
        <v>1006</v>
      </c>
      <c r="G1285" s="699">
        <v>114040.16</v>
      </c>
      <c r="H1285" s="715"/>
      <c r="I1285" s="715" t="s">
        <v>11723</v>
      </c>
      <c r="K1285" s="197"/>
      <c r="L1285" s="197"/>
      <c r="M1285" s="197"/>
    </row>
    <row r="1286" spans="1:13" s="195" customFormat="1" ht="49.5" customHeight="1" x14ac:dyDescent="0.2">
      <c r="A1286" s="694" t="s">
        <v>14174</v>
      </c>
      <c r="B1286" s="694" t="s">
        <v>13597</v>
      </c>
      <c r="C1286" s="731" t="s">
        <v>14175</v>
      </c>
      <c r="D1286" s="694" t="s">
        <v>14176</v>
      </c>
      <c r="E1286" s="714" t="s">
        <v>7028</v>
      </c>
      <c r="F1286" s="697">
        <v>1200</v>
      </c>
      <c r="G1286" s="699">
        <v>136032</v>
      </c>
      <c r="H1286" s="698"/>
      <c r="I1286" s="715" t="s">
        <v>11723</v>
      </c>
      <c r="K1286" s="197"/>
      <c r="L1286" s="197"/>
      <c r="M1286" s="197"/>
    </row>
    <row r="1287" spans="1:13" s="195" customFormat="1" ht="58.5" customHeight="1" x14ac:dyDescent="0.2">
      <c r="A1287" s="694" t="s">
        <v>14177</v>
      </c>
      <c r="B1287" s="694" t="s">
        <v>13597</v>
      </c>
      <c r="C1287" s="731" t="s">
        <v>14178</v>
      </c>
      <c r="D1287" s="694" t="s">
        <v>14179</v>
      </c>
      <c r="E1287" s="714" t="s">
        <v>7028</v>
      </c>
      <c r="F1287" s="697">
        <v>1200</v>
      </c>
      <c r="G1287" s="699">
        <v>136032</v>
      </c>
      <c r="H1287" s="698"/>
      <c r="I1287" s="715" t="s">
        <v>11723</v>
      </c>
      <c r="K1287" s="197"/>
      <c r="L1287" s="197"/>
      <c r="M1287" s="197"/>
    </row>
    <row r="1288" spans="1:13" s="195" customFormat="1" ht="48" customHeight="1" x14ac:dyDescent="0.2">
      <c r="A1288" s="694" t="s">
        <v>14180</v>
      </c>
      <c r="B1288" s="694" t="s">
        <v>13597</v>
      </c>
      <c r="C1288" s="731" t="s">
        <v>14464</v>
      </c>
      <c r="D1288" s="694" t="s">
        <v>14465</v>
      </c>
      <c r="E1288" s="714" t="s">
        <v>7028</v>
      </c>
      <c r="F1288" s="697">
        <v>1198</v>
      </c>
      <c r="G1288" s="699">
        <v>135805.28</v>
      </c>
      <c r="H1288" s="698"/>
      <c r="I1288" s="715" t="s">
        <v>11723</v>
      </c>
      <c r="K1288" s="197"/>
      <c r="L1288" s="197"/>
      <c r="M1288" s="197"/>
    </row>
    <row r="1289" spans="1:13" s="195" customFormat="1" ht="49.5" customHeight="1" x14ac:dyDescent="0.2">
      <c r="A1289" s="694" t="s">
        <v>14182</v>
      </c>
      <c r="B1289" s="694" t="s">
        <v>13597</v>
      </c>
      <c r="C1289" s="731" t="s">
        <v>14183</v>
      </c>
      <c r="D1289" s="694" t="s">
        <v>14184</v>
      </c>
      <c r="E1289" s="714" t="s">
        <v>7028</v>
      </c>
      <c r="F1289" s="697">
        <v>1200</v>
      </c>
      <c r="G1289" s="699">
        <v>136032</v>
      </c>
      <c r="H1289" s="698"/>
      <c r="I1289" s="715" t="s">
        <v>11723</v>
      </c>
      <c r="K1289" s="197"/>
      <c r="L1289" s="197"/>
      <c r="M1289" s="197"/>
    </row>
    <row r="1290" spans="1:13" s="195" customFormat="1" ht="46.5" customHeight="1" x14ac:dyDescent="0.2">
      <c r="A1290" s="694" t="s">
        <v>14185</v>
      </c>
      <c r="B1290" s="694" t="s">
        <v>13597</v>
      </c>
      <c r="C1290" s="731" t="s">
        <v>14186</v>
      </c>
      <c r="D1290" s="694" t="s">
        <v>14187</v>
      </c>
      <c r="E1290" s="714" t="s">
        <v>7028</v>
      </c>
      <c r="F1290" s="697">
        <v>1200</v>
      </c>
      <c r="G1290" s="699">
        <v>136032</v>
      </c>
      <c r="H1290" s="698"/>
      <c r="I1290" s="715" t="s">
        <v>11723</v>
      </c>
      <c r="K1290" s="197"/>
      <c r="L1290" s="197"/>
      <c r="M1290" s="197"/>
    </row>
    <row r="1291" spans="1:13" s="195" customFormat="1" ht="49.5" customHeight="1" x14ac:dyDescent="0.2">
      <c r="A1291" s="694" t="s">
        <v>14188</v>
      </c>
      <c r="B1291" s="694" t="s">
        <v>13597</v>
      </c>
      <c r="C1291" s="731" t="s">
        <v>14189</v>
      </c>
      <c r="D1291" s="694" t="s">
        <v>14190</v>
      </c>
      <c r="E1291" s="714" t="s">
        <v>7028</v>
      </c>
      <c r="F1291" s="697">
        <v>1200</v>
      </c>
      <c r="G1291" s="699">
        <v>136032</v>
      </c>
      <c r="H1291" s="698"/>
      <c r="I1291" s="715" t="s">
        <v>11723</v>
      </c>
      <c r="K1291" s="197"/>
      <c r="L1291" s="197"/>
      <c r="M1291" s="197"/>
    </row>
    <row r="1292" spans="1:13" s="195" customFormat="1" ht="50.25" customHeight="1" x14ac:dyDescent="0.2">
      <c r="A1292" s="694" t="s">
        <v>14191</v>
      </c>
      <c r="B1292" s="694" t="s">
        <v>13597</v>
      </c>
      <c r="C1292" s="731" t="s">
        <v>14192</v>
      </c>
      <c r="D1292" s="694" t="s">
        <v>13809</v>
      </c>
      <c r="E1292" s="714" t="s">
        <v>7028</v>
      </c>
      <c r="F1292" s="697">
        <v>1204</v>
      </c>
      <c r="G1292" s="699">
        <v>136485.44</v>
      </c>
      <c r="H1292" s="698"/>
      <c r="I1292" s="715" t="s">
        <v>11723</v>
      </c>
      <c r="K1292" s="197"/>
      <c r="L1292" s="197"/>
      <c r="M1292" s="197"/>
    </row>
    <row r="1293" spans="1:13" s="195" customFormat="1" ht="48" customHeight="1" x14ac:dyDescent="0.2">
      <c r="A1293" s="694" t="s">
        <v>14193</v>
      </c>
      <c r="B1293" s="694" t="s">
        <v>13597</v>
      </c>
      <c r="C1293" s="731" t="s">
        <v>14194</v>
      </c>
      <c r="D1293" s="694" t="s">
        <v>14001</v>
      </c>
      <c r="E1293" s="714" t="s">
        <v>7028</v>
      </c>
      <c r="F1293" s="697">
        <v>1200</v>
      </c>
      <c r="G1293" s="699">
        <v>136032</v>
      </c>
      <c r="H1293" s="698"/>
      <c r="I1293" s="715" t="s">
        <v>11723</v>
      </c>
      <c r="K1293" s="197"/>
      <c r="L1293" s="197"/>
      <c r="M1293" s="197"/>
    </row>
    <row r="1294" spans="1:13" s="195" customFormat="1" ht="48" customHeight="1" x14ac:dyDescent="0.2">
      <c r="A1294" s="694" t="s">
        <v>14202</v>
      </c>
      <c r="B1294" s="694" t="s">
        <v>13597</v>
      </c>
      <c r="C1294" s="731" t="s">
        <v>14203</v>
      </c>
      <c r="D1294" s="694" t="s">
        <v>14204</v>
      </c>
      <c r="E1294" s="714" t="s">
        <v>7028</v>
      </c>
      <c r="F1294" s="697">
        <v>1200</v>
      </c>
      <c r="G1294" s="699">
        <v>136032</v>
      </c>
      <c r="H1294" s="698"/>
      <c r="I1294" s="715" t="s">
        <v>11723</v>
      </c>
      <c r="K1294" s="197"/>
      <c r="L1294" s="197"/>
      <c r="M1294" s="197"/>
    </row>
    <row r="1295" spans="1:13" s="195" customFormat="1" ht="48" customHeight="1" x14ac:dyDescent="0.2">
      <c r="A1295" s="694" t="s">
        <v>14209</v>
      </c>
      <c r="B1295" s="694" t="s">
        <v>13597</v>
      </c>
      <c r="C1295" s="731" t="s">
        <v>14210</v>
      </c>
      <c r="D1295" s="694" t="s">
        <v>14211</v>
      </c>
      <c r="E1295" s="714" t="s">
        <v>7028</v>
      </c>
      <c r="F1295" s="697">
        <v>1200</v>
      </c>
      <c r="G1295" s="699">
        <v>136032</v>
      </c>
      <c r="H1295" s="698"/>
      <c r="I1295" s="715" t="s">
        <v>11723</v>
      </c>
      <c r="K1295" s="197"/>
      <c r="L1295" s="197"/>
      <c r="M1295" s="197"/>
    </row>
    <row r="1296" spans="1:13" s="195" customFormat="1" ht="48" customHeight="1" x14ac:dyDescent="0.2">
      <c r="A1296" s="694" t="s">
        <v>14212</v>
      </c>
      <c r="B1296" s="694" t="s">
        <v>13597</v>
      </c>
      <c r="C1296" s="753" t="s">
        <v>14224</v>
      </c>
      <c r="D1296" s="694" t="s">
        <v>14225</v>
      </c>
      <c r="E1296" s="714" t="s">
        <v>7028</v>
      </c>
      <c r="F1296" s="697">
        <v>1200</v>
      </c>
      <c r="G1296" s="699">
        <v>136032</v>
      </c>
      <c r="H1296" s="698"/>
      <c r="I1296" s="715" t="s">
        <v>11723</v>
      </c>
      <c r="K1296" s="197"/>
      <c r="L1296" s="197"/>
      <c r="M1296" s="197"/>
    </row>
    <row r="1297" spans="1:13" s="195" customFormat="1" ht="48" customHeight="1" x14ac:dyDescent="0.2">
      <c r="A1297" s="694" t="s">
        <v>14213</v>
      </c>
      <c r="B1297" s="694" t="s">
        <v>13597</v>
      </c>
      <c r="C1297" s="753" t="s">
        <v>14226</v>
      </c>
      <c r="D1297" s="694" t="s">
        <v>14227</v>
      </c>
      <c r="E1297" s="714" t="s">
        <v>7028</v>
      </c>
      <c r="F1297" s="697">
        <v>1200</v>
      </c>
      <c r="G1297" s="699">
        <v>136032</v>
      </c>
      <c r="H1297" s="698"/>
      <c r="I1297" s="715" t="s">
        <v>11723</v>
      </c>
      <c r="K1297" s="197"/>
      <c r="L1297" s="197"/>
      <c r="M1297" s="197"/>
    </row>
    <row r="1298" spans="1:13" s="195" customFormat="1" ht="48" customHeight="1" x14ac:dyDescent="0.2">
      <c r="A1298" s="694" t="s">
        <v>14214</v>
      </c>
      <c r="B1298" s="694" t="s">
        <v>13597</v>
      </c>
      <c r="C1298" s="753" t="s">
        <v>14238</v>
      </c>
      <c r="D1298" s="694" t="s">
        <v>14239</v>
      </c>
      <c r="E1298" s="714" t="s">
        <v>7028</v>
      </c>
      <c r="F1298" s="697">
        <v>1200</v>
      </c>
      <c r="G1298" s="699">
        <v>136032</v>
      </c>
      <c r="H1298" s="698"/>
      <c r="I1298" s="715" t="s">
        <v>11723</v>
      </c>
      <c r="K1298" s="197"/>
      <c r="L1298" s="197"/>
      <c r="M1298" s="197"/>
    </row>
    <row r="1299" spans="1:13" s="195" customFormat="1" ht="48" customHeight="1" x14ac:dyDescent="0.2">
      <c r="A1299" s="694" t="s">
        <v>14215</v>
      </c>
      <c r="B1299" s="694" t="s">
        <v>13597</v>
      </c>
      <c r="C1299" s="753" t="s">
        <v>14228</v>
      </c>
      <c r="D1299" s="694" t="s">
        <v>14229</v>
      </c>
      <c r="E1299" s="714" t="s">
        <v>7028</v>
      </c>
      <c r="F1299" s="697">
        <v>1202</v>
      </c>
      <c r="G1299" s="699">
        <v>136258.72</v>
      </c>
      <c r="H1299" s="698"/>
      <c r="I1299" s="715" t="s">
        <v>11723</v>
      </c>
      <c r="K1299" s="197"/>
      <c r="L1299" s="197"/>
      <c r="M1299" s="197"/>
    </row>
    <row r="1300" spans="1:13" s="195" customFormat="1" ht="48" customHeight="1" x14ac:dyDescent="0.2">
      <c r="A1300" s="694" t="s">
        <v>14216</v>
      </c>
      <c r="B1300" s="694" t="s">
        <v>13597</v>
      </c>
      <c r="C1300" s="753" t="s">
        <v>14230</v>
      </c>
      <c r="D1300" s="694" t="s">
        <v>14231</v>
      </c>
      <c r="E1300" s="714" t="s">
        <v>7028</v>
      </c>
      <c r="F1300" s="697">
        <v>1199</v>
      </c>
      <c r="G1300" s="699">
        <v>135918.64000000001</v>
      </c>
      <c r="H1300" s="698"/>
      <c r="I1300" s="715" t="s">
        <v>11723</v>
      </c>
      <c r="K1300" s="197"/>
      <c r="L1300" s="197"/>
      <c r="M1300" s="197"/>
    </row>
    <row r="1301" spans="1:13" s="195" customFormat="1" ht="48" customHeight="1" x14ac:dyDescent="0.2">
      <c r="A1301" s="694" t="s">
        <v>14217</v>
      </c>
      <c r="B1301" s="694" t="s">
        <v>13597</v>
      </c>
      <c r="C1301" s="753" t="s">
        <v>14232</v>
      </c>
      <c r="D1301" s="694" t="s">
        <v>14233</v>
      </c>
      <c r="E1301" s="714" t="s">
        <v>7028</v>
      </c>
      <c r="F1301" s="697">
        <v>1201</v>
      </c>
      <c r="G1301" s="699">
        <v>136145.35999999999</v>
      </c>
      <c r="H1301" s="698"/>
      <c r="I1301" s="715" t="s">
        <v>11723</v>
      </c>
      <c r="K1301" s="197"/>
      <c r="L1301" s="197"/>
      <c r="M1301" s="197"/>
    </row>
    <row r="1302" spans="1:13" s="195" customFormat="1" ht="48" customHeight="1" x14ac:dyDescent="0.2">
      <c r="A1302" s="694" t="s">
        <v>14218</v>
      </c>
      <c r="B1302" s="694" t="s">
        <v>13597</v>
      </c>
      <c r="C1302" s="753" t="s">
        <v>14234</v>
      </c>
      <c r="D1302" s="694" t="s">
        <v>14235</v>
      </c>
      <c r="E1302" s="714" t="s">
        <v>7028</v>
      </c>
      <c r="F1302" s="697">
        <v>1201</v>
      </c>
      <c r="G1302" s="699">
        <v>136145.35999999999</v>
      </c>
      <c r="H1302" s="698"/>
      <c r="I1302" s="715" t="s">
        <v>11723</v>
      </c>
      <c r="K1302" s="197"/>
      <c r="L1302" s="197"/>
      <c r="M1302" s="197"/>
    </row>
    <row r="1303" spans="1:13" s="195" customFormat="1" ht="48" customHeight="1" x14ac:dyDescent="0.2">
      <c r="A1303" s="694" t="s">
        <v>14219</v>
      </c>
      <c r="B1303" s="694" t="s">
        <v>13597</v>
      </c>
      <c r="C1303" s="753" t="s">
        <v>14236</v>
      </c>
      <c r="D1303" s="694" t="s">
        <v>14237</v>
      </c>
      <c r="E1303" s="714" t="s">
        <v>7028</v>
      </c>
      <c r="F1303" s="697">
        <v>1201</v>
      </c>
      <c r="G1303" s="699">
        <v>136145.35999999999</v>
      </c>
      <c r="H1303" s="698"/>
      <c r="I1303" s="715" t="s">
        <v>11723</v>
      </c>
      <c r="K1303" s="197"/>
      <c r="L1303" s="197"/>
      <c r="M1303" s="197"/>
    </row>
    <row r="1304" spans="1:13" s="195" customFormat="1" ht="48" customHeight="1" x14ac:dyDescent="0.2">
      <c r="A1304" s="694" t="s">
        <v>14220</v>
      </c>
      <c r="B1304" s="694" t="s">
        <v>13597</v>
      </c>
      <c r="C1304" s="758" t="s">
        <v>14240</v>
      </c>
      <c r="D1304" s="756" t="s">
        <v>14241</v>
      </c>
      <c r="E1304" s="759" t="s">
        <v>7028</v>
      </c>
      <c r="F1304" s="738">
        <v>1200</v>
      </c>
      <c r="G1304" s="699">
        <v>136032</v>
      </c>
      <c r="H1304" s="698"/>
      <c r="I1304" s="715" t="s">
        <v>11723</v>
      </c>
      <c r="K1304" s="197"/>
      <c r="L1304" s="197"/>
      <c r="M1304" s="197"/>
    </row>
    <row r="1305" spans="1:13" s="195" customFormat="1" ht="48" customHeight="1" x14ac:dyDescent="0.2">
      <c r="A1305" s="694" t="s">
        <v>14221</v>
      </c>
      <c r="B1305" s="694" t="s">
        <v>13597</v>
      </c>
      <c r="C1305" s="758" t="s">
        <v>14242</v>
      </c>
      <c r="D1305" s="694" t="s">
        <v>14243</v>
      </c>
      <c r="E1305" s="714" t="s">
        <v>7028</v>
      </c>
      <c r="F1305" s="697">
        <v>1201</v>
      </c>
      <c r="G1305" s="699">
        <v>136145.35999999999</v>
      </c>
      <c r="H1305" s="698"/>
      <c r="I1305" s="715" t="s">
        <v>11723</v>
      </c>
      <c r="K1305" s="197"/>
      <c r="L1305" s="197"/>
      <c r="M1305" s="197"/>
    </row>
    <row r="1306" spans="1:13" s="195" customFormat="1" ht="48" customHeight="1" x14ac:dyDescent="0.2">
      <c r="A1306" s="694" t="s">
        <v>14222</v>
      </c>
      <c r="B1306" s="694" t="s">
        <v>13597</v>
      </c>
      <c r="C1306" s="753" t="s">
        <v>14244</v>
      </c>
      <c r="D1306" s="694" t="s">
        <v>14245</v>
      </c>
      <c r="E1306" s="714" t="s">
        <v>7028</v>
      </c>
      <c r="F1306" s="738">
        <v>1200</v>
      </c>
      <c r="G1306" s="699">
        <v>136032</v>
      </c>
      <c r="H1306" s="698"/>
      <c r="I1306" s="715" t="s">
        <v>11723</v>
      </c>
      <c r="K1306" s="197"/>
      <c r="L1306" s="197"/>
      <c r="M1306" s="197"/>
    </row>
    <row r="1307" spans="1:13" s="195" customFormat="1" ht="48" customHeight="1" x14ac:dyDescent="0.2">
      <c r="A1307" s="694" t="s">
        <v>14223</v>
      </c>
      <c r="B1307" s="694" t="s">
        <v>13597</v>
      </c>
      <c r="C1307" s="753" t="s">
        <v>14246</v>
      </c>
      <c r="D1307" s="694" t="s">
        <v>14247</v>
      </c>
      <c r="E1307" s="714" t="s">
        <v>7028</v>
      </c>
      <c r="F1307" s="697">
        <v>1199</v>
      </c>
      <c r="G1307" s="699">
        <v>135918.64000000001</v>
      </c>
      <c r="H1307" s="698"/>
      <c r="I1307" s="715" t="s">
        <v>11723</v>
      </c>
      <c r="K1307" s="197"/>
      <c r="L1307" s="197"/>
      <c r="M1307" s="197"/>
    </row>
    <row r="1308" spans="1:13" s="195" customFormat="1" ht="48" customHeight="1" x14ac:dyDescent="0.2">
      <c r="A1308" s="694" t="s">
        <v>14248</v>
      </c>
      <c r="B1308" s="694" t="s">
        <v>13597</v>
      </c>
      <c r="C1308" s="753" t="s">
        <v>14249</v>
      </c>
      <c r="D1308" s="694" t="s">
        <v>14250</v>
      </c>
      <c r="E1308" s="714" t="s">
        <v>7028</v>
      </c>
      <c r="F1308" s="738">
        <v>1200</v>
      </c>
      <c r="G1308" s="743">
        <v>136032</v>
      </c>
      <c r="H1308" s="698"/>
      <c r="I1308" s="715" t="s">
        <v>11723</v>
      </c>
      <c r="K1308" s="197"/>
      <c r="L1308" s="197"/>
      <c r="M1308" s="197"/>
    </row>
    <row r="1309" spans="1:13" s="195" customFormat="1" ht="48" customHeight="1" x14ac:dyDescent="0.2">
      <c r="A1309" s="694" t="s">
        <v>14251</v>
      </c>
      <c r="B1309" s="694" t="s">
        <v>13597</v>
      </c>
      <c r="C1309" s="753" t="s">
        <v>14252</v>
      </c>
      <c r="D1309" s="694" t="s">
        <v>14253</v>
      </c>
      <c r="E1309" s="714" t="s">
        <v>7028</v>
      </c>
      <c r="F1309" s="738">
        <v>1200</v>
      </c>
      <c r="G1309" s="743">
        <v>136032</v>
      </c>
      <c r="H1309" s="698"/>
      <c r="I1309" s="715" t="s">
        <v>11723</v>
      </c>
      <c r="K1309" s="197"/>
      <c r="L1309" s="197"/>
      <c r="M1309" s="197"/>
    </row>
    <row r="1310" spans="1:13" s="195" customFormat="1" ht="48" customHeight="1" x14ac:dyDescent="0.2">
      <c r="A1310" s="694" t="s">
        <v>14267</v>
      </c>
      <c r="B1310" s="694" t="s">
        <v>13597</v>
      </c>
      <c r="C1310" s="753" t="s">
        <v>14268</v>
      </c>
      <c r="D1310" s="694" t="s">
        <v>14269</v>
      </c>
      <c r="E1310" s="714" t="s">
        <v>7028</v>
      </c>
      <c r="F1310" s="738">
        <v>1200</v>
      </c>
      <c r="G1310" s="743">
        <v>136032</v>
      </c>
      <c r="H1310" s="698"/>
      <c r="I1310" s="715" t="s">
        <v>11723</v>
      </c>
      <c r="K1310" s="197"/>
      <c r="L1310" s="197"/>
      <c r="M1310" s="197"/>
    </row>
    <row r="1311" spans="1:13" s="195" customFormat="1" ht="48" customHeight="1" x14ac:dyDescent="0.2">
      <c r="A1311" s="694" t="s">
        <v>14270</v>
      </c>
      <c r="B1311" s="694" t="s">
        <v>13597</v>
      </c>
      <c r="C1311" s="753" t="s">
        <v>14271</v>
      </c>
      <c r="D1311" s="694" t="s">
        <v>14272</v>
      </c>
      <c r="E1311" s="714" t="s">
        <v>7028</v>
      </c>
      <c r="F1311" s="697">
        <v>1199</v>
      </c>
      <c r="G1311" s="699">
        <v>135918.64000000001</v>
      </c>
      <c r="H1311" s="698"/>
      <c r="I1311" s="715" t="s">
        <v>11723</v>
      </c>
      <c r="K1311" s="197"/>
      <c r="L1311" s="197"/>
      <c r="M1311" s="197"/>
    </row>
    <row r="1312" spans="1:13" s="195" customFormat="1" ht="48" customHeight="1" x14ac:dyDescent="0.2">
      <c r="A1312" s="694" t="s">
        <v>14273</v>
      </c>
      <c r="B1312" s="694" t="s">
        <v>13597</v>
      </c>
      <c r="C1312" s="753" t="s">
        <v>14274</v>
      </c>
      <c r="D1312" s="694" t="s">
        <v>14275</v>
      </c>
      <c r="E1312" s="714" t="s">
        <v>7028</v>
      </c>
      <c r="F1312" s="697">
        <v>1201</v>
      </c>
      <c r="G1312" s="699">
        <v>136145.35999999999</v>
      </c>
      <c r="H1312" s="698"/>
      <c r="I1312" s="715" t="s">
        <v>11723</v>
      </c>
      <c r="K1312" s="197"/>
      <c r="L1312" s="197"/>
      <c r="M1312" s="197"/>
    </row>
    <row r="1313" spans="1:13" s="195" customFormat="1" ht="48" customHeight="1" x14ac:dyDescent="0.2">
      <c r="A1313" s="694" t="s">
        <v>14283</v>
      </c>
      <c r="B1313" s="694" t="s">
        <v>13597</v>
      </c>
      <c r="C1313" s="753" t="s">
        <v>14284</v>
      </c>
      <c r="D1313" s="694" t="s">
        <v>14285</v>
      </c>
      <c r="E1313" s="714" t="s">
        <v>7028</v>
      </c>
      <c r="F1313" s="738">
        <v>1200</v>
      </c>
      <c r="G1313" s="743">
        <v>136032</v>
      </c>
      <c r="H1313" s="698"/>
      <c r="I1313" s="715" t="s">
        <v>11723</v>
      </c>
      <c r="K1313" s="197"/>
      <c r="L1313" s="197"/>
      <c r="M1313" s="197"/>
    </row>
    <row r="1314" spans="1:13" s="195" customFormat="1" ht="48" customHeight="1" x14ac:dyDescent="0.2">
      <c r="A1314" s="694" t="s">
        <v>14286</v>
      </c>
      <c r="B1314" s="694" t="s">
        <v>13597</v>
      </c>
      <c r="C1314" s="753" t="s">
        <v>14287</v>
      </c>
      <c r="D1314" s="694" t="s">
        <v>14288</v>
      </c>
      <c r="E1314" s="714" t="s">
        <v>7028</v>
      </c>
      <c r="F1314" s="738">
        <v>1200</v>
      </c>
      <c r="G1314" s="743">
        <v>136032</v>
      </c>
      <c r="H1314" s="698"/>
      <c r="I1314" s="715" t="s">
        <v>11723</v>
      </c>
      <c r="K1314" s="197"/>
      <c r="L1314" s="197"/>
      <c r="M1314" s="197"/>
    </row>
    <row r="1315" spans="1:13" s="195" customFormat="1" ht="48" customHeight="1" x14ac:dyDescent="0.2">
      <c r="A1315" s="694" t="s">
        <v>14289</v>
      </c>
      <c r="B1315" s="694" t="s">
        <v>13597</v>
      </c>
      <c r="C1315" s="753" t="s">
        <v>14290</v>
      </c>
      <c r="D1315" s="694" t="s">
        <v>14291</v>
      </c>
      <c r="E1315" s="714" t="s">
        <v>7028</v>
      </c>
      <c r="F1315" s="738">
        <v>1200</v>
      </c>
      <c r="G1315" s="743">
        <v>136032</v>
      </c>
      <c r="H1315" s="698"/>
      <c r="I1315" s="715" t="s">
        <v>11723</v>
      </c>
      <c r="K1315" s="197"/>
      <c r="L1315" s="197"/>
      <c r="M1315" s="197"/>
    </row>
    <row r="1316" spans="1:13" s="195" customFormat="1" ht="48" customHeight="1" x14ac:dyDescent="0.2">
      <c r="A1316" s="694" t="s">
        <v>14292</v>
      </c>
      <c r="B1316" s="694" t="s">
        <v>13597</v>
      </c>
      <c r="C1316" s="753" t="s">
        <v>14293</v>
      </c>
      <c r="D1316" s="694" t="s">
        <v>14294</v>
      </c>
      <c r="E1316" s="714" t="s">
        <v>7028</v>
      </c>
      <c r="F1316" s="738">
        <v>1200</v>
      </c>
      <c r="G1316" s="743">
        <v>136032</v>
      </c>
      <c r="H1316" s="698"/>
      <c r="I1316" s="715" t="s">
        <v>11723</v>
      </c>
      <c r="K1316" s="197"/>
      <c r="L1316" s="197"/>
      <c r="M1316" s="197"/>
    </row>
    <row r="1317" spans="1:13" s="195" customFormat="1" ht="48" customHeight="1" x14ac:dyDescent="0.2">
      <c r="A1317" s="694" t="s">
        <v>14295</v>
      </c>
      <c r="B1317" s="694" t="s">
        <v>13597</v>
      </c>
      <c r="C1317" s="753" t="s">
        <v>14296</v>
      </c>
      <c r="D1317" s="694" t="s">
        <v>14297</v>
      </c>
      <c r="E1317" s="714" t="s">
        <v>7028</v>
      </c>
      <c r="F1317" s="738">
        <v>1200</v>
      </c>
      <c r="G1317" s="743">
        <v>136032</v>
      </c>
      <c r="H1317" s="698"/>
      <c r="I1317" s="715" t="s">
        <v>11723</v>
      </c>
      <c r="K1317" s="197"/>
      <c r="L1317" s="197"/>
      <c r="M1317" s="197"/>
    </row>
    <row r="1318" spans="1:13" s="195" customFormat="1" ht="48" customHeight="1" x14ac:dyDescent="0.2">
      <c r="A1318" s="694" t="s">
        <v>14298</v>
      </c>
      <c r="B1318" s="694" t="s">
        <v>13597</v>
      </c>
      <c r="C1318" s="753" t="s">
        <v>14299</v>
      </c>
      <c r="D1318" s="694" t="s">
        <v>14300</v>
      </c>
      <c r="E1318" s="714" t="s">
        <v>7028</v>
      </c>
      <c r="F1318" s="738">
        <v>1200</v>
      </c>
      <c r="G1318" s="743">
        <v>136032</v>
      </c>
      <c r="H1318" s="698"/>
      <c r="I1318" s="715" t="s">
        <v>11723</v>
      </c>
      <c r="K1318" s="197"/>
      <c r="L1318" s="197"/>
      <c r="M1318" s="197"/>
    </row>
    <row r="1319" spans="1:13" s="195" customFormat="1" ht="48" customHeight="1" x14ac:dyDescent="0.2">
      <c r="A1319" s="694" t="s">
        <v>14301</v>
      </c>
      <c r="B1319" s="694" t="s">
        <v>13597</v>
      </c>
      <c r="C1319" s="753" t="s">
        <v>14302</v>
      </c>
      <c r="D1319" s="694" t="s">
        <v>14303</v>
      </c>
      <c r="E1319" s="714" t="s">
        <v>7028</v>
      </c>
      <c r="F1319" s="697">
        <v>1199</v>
      </c>
      <c r="G1319" s="699">
        <v>135918.64000000001</v>
      </c>
      <c r="H1319" s="698"/>
      <c r="I1319" s="715" t="s">
        <v>11723</v>
      </c>
      <c r="K1319" s="197"/>
      <c r="L1319" s="197"/>
      <c r="M1319" s="197"/>
    </row>
    <row r="1320" spans="1:13" s="195" customFormat="1" ht="48" customHeight="1" x14ac:dyDescent="0.2">
      <c r="A1320" s="694" t="s">
        <v>14308</v>
      </c>
      <c r="B1320" s="694" t="s">
        <v>13597</v>
      </c>
      <c r="C1320" s="753" t="s">
        <v>14304</v>
      </c>
      <c r="D1320" s="694" t="s">
        <v>14305</v>
      </c>
      <c r="E1320" s="714" t="s">
        <v>7028</v>
      </c>
      <c r="F1320" s="697">
        <v>1199</v>
      </c>
      <c r="G1320" s="699">
        <v>135918.64000000001</v>
      </c>
      <c r="H1320" s="698"/>
      <c r="I1320" s="715" t="s">
        <v>11723</v>
      </c>
      <c r="K1320" s="197"/>
      <c r="L1320" s="197"/>
      <c r="M1320" s="197"/>
    </row>
    <row r="1321" spans="1:13" s="195" customFormat="1" ht="48" customHeight="1" x14ac:dyDescent="0.2">
      <c r="A1321" s="694" t="s">
        <v>14309</v>
      </c>
      <c r="B1321" s="694" t="s">
        <v>13597</v>
      </c>
      <c r="C1321" s="753" t="s">
        <v>14306</v>
      </c>
      <c r="D1321" s="694" t="s">
        <v>14307</v>
      </c>
      <c r="E1321" s="714" t="s">
        <v>7028</v>
      </c>
      <c r="F1321" s="697">
        <v>1199</v>
      </c>
      <c r="G1321" s="699">
        <v>135918.64000000001</v>
      </c>
      <c r="H1321" s="698"/>
      <c r="I1321" s="715" t="s">
        <v>11723</v>
      </c>
      <c r="K1321" s="197"/>
      <c r="L1321" s="197"/>
      <c r="M1321" s="197"/>
    </row>
    <row r="1322" spans="1:13" s="195" customFormat="1" ht="48" customHeight="1" x14ac:dyDescent="0.2">
      <c r="A1322" s="694" t="s">
        <v>14310</v>
      </c>
      <c r="B1322" s="694" t="s">
        <v>13597</v>
      </c>
      <c r="C1322" s="753" t="s">
        <v>14311</v>
      </c>
      <c r="D1322" s="694" t="s">
        <v>14312</v>
      </c>
      <c r="E1322" s="714" t="s">
        <v>7028</v>
      </c>
      <c r="F1322" s="738">
        <v>1200</v>
      </c>
      <c r="G1322" s="743">
        <v>136032</v>
      </c>
      <c r="H1322" s="698"/>
      <c r="I1322" s="715" t="s">
        <v>11723</v>
      </c>
      <c r="K1322" s="197"/>
      <c r="L1322" s="197"/>
      <c r="M1322" s="197"/>
    </row>
    <row r="1323" spans="1:13" s="195" customFormat="1" ht="48" customHeight="1" x14ac:dyDescent="0.2">
      <c r="A1323" s="694" t="s">
        <v>14313</v>
      </c>
      <c r="B1323" s="694" t="s">
        <v>13597</v>
      </c>
      <c r="C1323" s="753" t="s">
        <v>14314</v>
      </c>
      <c r="D1323" s="694" t="s">
        <v>14315</v>
      </c>
      <c r="E1323" s="714" t="s">
        <v>7028</v>
      </c>
      <c r="F1323" s="738">
        <v>1200</v>
      </c>
      <c r="G1323" s="743">
        <v>136032</v>
      </c>
      <c r="H1323" s="786"/>
      <c r="I1323" s="715" t="s">
        <v>11723</v>
      </c>
      <c r="K1323" s="197"/>
      <c r="L1323" s="197"/>
      <c r="M1323" s="197"/>
    </row>
    <row r="1324" spans="1:13" s="195" customFormat="1" ht="48" customHeight="1" x14ac:dyDescent="0.2">
      <c r="A1324" s="694" t="s">
        <v>14316</v>
      </c>
      <c r="B1324" s="694" t="s">
        <v>13597</v>
      </c>
      <c r="C1324" s="753" t="s">
        <v>14317</v>
      </c>
      <c r="D1324" s="694" t="s">
        <v>14318</v>
      </c>
      <c r="E1324" s="714" t="s">
        <v>7028</v>
      </c>
      <c r="F1324" s="738">
        <v>1200</v>
      </c>
      <c r="G1324" s="743">
        <v>136032</v>
      </c>
      <c r="H1324" s="786"/>
      <c r="I1324" s="715" t="s">
        <v>11723</v>
      </c>
      <c r="K1324" s="197"/>
      <c r="L1324" s="197"/>
      <c r="M1324" s="197"/>
    </row>
    <row r="1325" spans="1:13" s="195" customFormat="1" ht="48" customHeight="1" x14ac:dyDescent="0.2">
      <c r="A1325" s="694" t="s">
        <v>14319</v>
      </c>
      <c r="B1325" s="694" t="s">
        <v>13597</v>
      </c>
      <c r="C1325" s="753" t="s">
        <v>14320</v>
      </c>
      <c r="D1325" s="694" t="s">
        <v>14321</v>
      </c>
      <c r="E1325" s="714" t="s">
        <v>7028</v>
      </c>
      <c r="F1325" s="697">
        <v>1201</v>
      </c>
      <c r="G1325" s="699">
        <v>136145.35999999999</v>
      </c>
      <c r="H1325" s="698"/>
      <c r="I1325" s="715" t="s">
        <v>11723</v>
      </c>
      <c r="K1325" s="197"/>
      <c r="L1325" s="197"/>
      <c r="M1325" s="197"/>
    </row>
    <row r="1326" spans="1:13" s="195" customFormat="1" ht="48" customHeight="1" x14ac:dyDescent="0.2">
      <c r="A1326" s="694" t="s">
        <v>14322</v>
      </c>
      <c r="B1326" s="694" t="s">
        <v>13597</v>
      </c>
      <c r="C1326" s="753" t="s">
        <v>14323</v>
      </c>
      <c r="D1326" s="694" t="s">
        <v>14324</v>
      </c>
      <c r="E1326" s="714" t="s">
        <v>7028</v>
      </c>
      <c r="F1326" s="738">
        <v>1200</v>
      </c>
      <c r="G1326" s="743">
        <v>136032</v>
      </c>
      <c r="H1326" s="786"/>
      <c r="I1326" s="715" t="s">
        <v>11723</v>
      </c>
      <c r="K1326" s="197"/>
      <c r="L1326" s="197"/>
      <c r="M1326" s="197"/>
    </row>
    <row r="1327" spans="1:13" s="195" customFormat="1" ht="48" customHeight="1" x14ac:dyDescent="0.2">
      <c r="A1327" s="694" t="s">
        <v>14325</v>
      </c>
      <c r="B1327" s="694" t="s">
        <v>13597</v>
      </c>
      <c r="C1327" s="753" t="s">
        <v>14326</v>
      </c>
      <c r="D1327" s="694" t="s">
        <v>14327</v>
      </c>
      <c r="E1327" s="714" t="s">
        <v>7028</v>
      </c>
      <c r="F1327" s="738">
        <v>1200</v>
      </c>
      <c r="G1327" s="743">
        <v>136032</v>
      </c>
      <c r="H1327" s="786"/>
      <c r="I1327" s="715" t="s">
        <v>11723</v>
      </c>
      <c r="K1327" s="197"/>
      <c r="L1327" s="197"/>
      <c r="M1327" s="197"/>
    </row>
    <row r="1328" spans="1:13" s="195" customFormat="1" ht="48" customHeight="1" x14ac:dyDescent="0.2">
      <c r="A1328" s="694" t="s">
        <v>14328</v>
      </c>
      <c r="B1328" s="694" t="s">
        <v>13597</v>
      </c>
      <c r="C1328" s="753" t="s">
        <v>14329</v>
      </c>
      <c r="D1328" s="694" t="s">
        <v>14330</v>
      </c>
      <c r="E1328" s="714" t="s">
        <v>7028</v>
      </c>
      <c r="F1328" s="697">
        <v>1201</v>
      </c>
      <c r="G1328" s="699">
        <v>136145.35999999999</v>
      </c>
      <c r="H1328" s="786"/>
      <c r="I1328" s="715" t="s">
        <v>11723</v>
      </c>
      <c r="K1328" s="197"/>
      <c r="L1328" s="197"/>
      <c r="M1328" s="197"/>
    </row>
    <row r="1329" spans="1:13" s="195" customFormat="1" ht="48" customHeight="1" x14ac:dyDescent="0.2">
      <c r="A1329" s="694" t="s">
        <v>14331</v>
      </c>
      <c r="B1329" s="694" t="s">
        <v>13597</v>
      </c>
      <c r="C1329" s="787" t="s">
        <v>14332</v>
      </c>
      <c r="D1329" s="694" t="s">
        <v>14333</v>
      </c>
      <c r="E1329" s="714" t="s">
        <v>7028</v>
      </c>
      <c r="F1329" s="738">
        <v>1200</v>
      </c>
      <c r="G1329" s="743">
        <v>136032</v>
      </c>
      <c r="H1329" s="786"/>
      <c r="I1329" s="715" t="s">
        <v>11723</v>
      </c>
      <c r="K1329" s="197"/>
      <c r="L1329" s="197"/>
      <c r="M1329" s="197"/>
    </row>
    <row r="1330" spans="1:13" s="195" customFormat="1" ht="48" customHeight="1" x14ac:dyDescent="0.2">
      <c r="A1330" s="694" t="s">
        <v>14334</v>
      </c>
      <c r="B1330" s="694" t="s">
        <v>13597</v>
      </c>
      <c r="C1330" s="787" t="s">
        <v>14335</v>
      </c>
      <c r="D1330" s="694" t="s">
        <v>14336</v>
      </c>
      <c r="E1330" s="714" t="s">
        <v>7028</v>
      </c>
      <c r="F1330" s="697">
        <v>1199</v>
      </c>
      <c r="G1330" s="699">
        <v>135918.64000000001</v>
      </c>
      <c r="H1330" s="786"/>
      <c r="I1330" s="715" t="s">
        <v>11723</v>
      </c>
      <c r="K1330" s="197"/>
      <c r="L1330" s="197"/>
      <c r="M1330" s="197"/>
    </row>
    <row r="1331" spans="1:13" s="195" customFormat="1" ht="48" customHeight="1" x14ac:dyDescent="0.2">
      <c r="A1331" s="694" t="s">
        <v>14337</v>
      </c>
      <c r="B1331" s="694" t="s">
        <v>13597</v>
      </c>
      <c r="C1331" s="787" t="s">
        <v>14338</v>
      </c>
      <c r="D1331" s="694" t="s">
        <v>14339</v>
      </c>
      <c r="E1331" s="714" t="s">
        <v>7028</v>
      </c>
      <c r="F1331" s="738">
        <v>1200</v>
      </c>
      <c r="G1331" s="743">
        <v>136032</v>
      </c>
      <c r="H1331" s="786"/>
      <c r="I1331" s="715" t="s">
        <v>11723</v>
      </c>
      <c r="K1331" s="197"/>
      <c r="L1331" s="197"/>
      <c r="M1331" s="197"/>
    </row>
    <row r="1332" spans="1:13" s="195" customFormat="1" ht="48" customHeight="1" x14ac:dyDescent="0.2">
      <c r="A1332" s="694" t="s">
        <v>14340</v>
      </c>
      <c r="B1332" s="694" t="s">
        <v>13597</v>
      </c>
      <c r="C1332" s="787" t="s">
        <v>14341</v>
      </c>
      <c r="D1332" s="694" t="s">
        <v>14342</v>
      </c>
      <c r="E1332" s="714" t="s">
        <v>7028</v>
      </c>
      <c r="F1332" s="738">
        <v>1200</v>
      </c>
      <c r="G1332" s="743">
        <v>136032</v>
      </c>
      <c r="H1332" s="786"/>
      <c r="I1332" s="715" t="s">
        <v>11723</v>
      </c>
      <c r="K1332" s="197"/>
      <c r="L1332" s="197"/>
      <c r="M1332" s="197"/>
    </row>
    <row r="1333" spans="1:13" s="195" customFormat="1" ht="48" customHeight="1" x14ac:dyDescent="0.2">
      <c r="A1333" s="694" t="s">
        <v>14343</v>
      </c>
      <c r="B1333" s="694" t="s">
        <v>13597</v>
      </c>
      <c r="C1333" s="787" t="s">
        <v>14344</v>
      </c>
      <c r="D1333" s="694" t="s">
        <v>14345</v>
      </c>
      <c r="E1333" s="714" t="s">
        <v>7028</v>
      </c>
      <c r="F1333" s="738">
        <v>1200</v>
      </c>
      <c r="G1333" s="743">
        <v>136032</v>
      </c>
      <c r="H1333" s="786"/>
      <c r="I1333" s="715" t="s">
        <v>11723</v>
      </c>
      <c r="K1333" s="197"/>
      <c r="L1333" s="197"/>
      <c r="M1333" s="197"/>
    </row>
    <row r="1334" spans="1:13" s="195" customFormat="1" ht="48" customHeight="1" x14ac:dyDescent="0.2">
      <c r="A1334" s="694" t="s">
        <v>14346</v>
      </c>
      <c r="B1334" s="694" t="s">
        <v>13597</v>
      </c>
      <c r="C1334" s="787" t="s">
        <v>14347</v>
      </c>
      <c r="D1334" s="694" t="s">
        <v>14348</v>
      </c>
      <c r="E1334" s="714" t="s">
        <v>7028</v>
      </c>
      <c r="F1334" s="738">
        <v>1200</v>
      </c>
      <c r="G1334" s="743">
        <v>136032</v>
      </c>
      <c r="H1334" s="786"/>
      <c r="I1334" s="715" t="s">
        <v>11723</v>
      </c>
      <c r="K1334" s="197"/>
      <c r="L1334" s="197"/>
      <c r="M1334" s="197"/>
    </row>
    <row r="1335" spans="1:13" s="195" customFormat="1" ht="48" customHeight="1" x14ac:dyDescent="0.2">
      <c r="A1335" s="694" t="s">
        <v>14349</v>
      </c>
      <c r="B1335" s="694" t="s">
        <v>13597</v>
      </c>
      <c r="C1335" s="787" t="s">
        <v>14350</v>
      </c>
      <c r="D1335" s="694" t="s">
        <v>14351</v>
      </c>
      <c r="E1335" s="714" t="s">
        <v>7028</v>
      </c>
      <c r="F1335" s="738">
        <v>1200</v>
      </c>
      <c r="G1335" s="743">
        <v>136032</v>
      </c>
      <c r="H1335" s="786"/>
      <c r="I1335" s="715" t="s">
        <v>11723</v>
      </c>
      <c r="K1335" s="197"/>
      <c r="L1335" s="197"/>
      <c r="M1335" s="197"/>
    </row>
    <row r="1336" spans="1:13" s="195" customFormat="1" ht="48" customHeight="1" x14ac:dyDescent="0.2">
      <c r="A1336" s="694" t="s">
        <v>14352</v>
      </c>
      <c r="B1336" s="694" t="s">
        <v>13597</v>
      </c>
      <c r="C1336" s="787" t="s">
        <v>14353</v>
      </c>
      <c r="D1336" s="694" t="s">
        <v>14354</v>
      </c>
      <c r="E1336" s="714" t="s">
        <v>7028</v>
      </c>
      <c r="F1336" s="738">
        <v>1200</v>
      </c>
      <c r="G1336" s="743">
        <v>136032</v>
      </c>
      <c r="H1336" s="786"/>
      <c r="I1336" s="715" t="s">
        <v>11723</v>
      </c>
      <c r="K1336" s="197"/>
      <c r="L1336" s="197"/>
      <c r="M1336" s="197"/>
    </row>
    <row r="1337" spans="1:13" s="195" customFormat="1" ht="48" customHeight="1" x14ac:dyDescent="0.2">
      <c r="A1337" s="694" t="s">
        <v>14355</v>
      </c>
      <c r="B1337" s="694" t="s">
        <v>13597</v>
      </c>
      <c r="C1337" s="787" t="s">
        <v>14359</v>
      </c>
      <c r="D1337" s="694" t="s">
        <v>14356</v>
      </c>
      <c r="E1337" s="714" t="s">
        <v>7028</v>
      </c>
      <c r="F1337" s="738">
        <v>1200</v>
      </c>
      <c r="G1337" s="743">
        <v>136032</v>
      </c>
      <c r="H1337" s="786"/>
      <c r="I1337" s="715" t="s">
        <v>11723</v>
      </c>
      <c r="K1337" s="197"/>
      <c r="L1337" s="197"/>
      <c r="M1337" s="197"/>
    </row>
    <row r="1338" spans="1:13" s="195" customFormat="1" ht="48" customHeight="1" x14ac:dyDescent="0.2">
      <c r="A1338" s="694" t="s">
        <v>14357</v>
      </c>
      <c r="B1338" s="694" t="s">
        <v>13597</v>
      </c>
      <c r="C1338" s="787" t="s">
        <v>14360</v>
      </c>
      <c r="D1338" s="694" t="s">
        <v>14358</v>
      </c>
      <c r="E1338" s="714" t="s">
        <v>7028</v>
      </c>
      <c r="F1338" s="738">
        <v>1200</v>
      </c>
      <c r="G1338" s="743">
        <v>136032</v>
      </c>
      <c r="H1338" s="786"/>
      <c r="I1338" s="715" t="s">
        <v>11723</v>
      </c>
      <c r="K1338" s="197"/>
      <c r="L1338" s="197"/>
      <c r="M1338" s="197"/>
    </row>
    <row r="1339" spans="1:13" s="195" customFormat="1" ht="48" customHeight="1" x14ac:dyDescent="0.2">
      <c r="A1339" s="694" t="s">
        <v>14361</v>
      </c>
      <c r="B1339" s="694" t="s">
        <v>13315</v>
      </c>
      <c r="C1339" s="787" t="s">
        <v>14362</v>
      </c>
      <c r="D1339" s="694" t="s">
        <v>14363</v>
      </c>
      <c r="E1339" s="714" t="s">
        <v>7028</v>
      </c>
      <c r="F1339" s="697">
        <v>1199</v>
      </c>
      <c r="G1339" s="699">
        <v>135918.64000000001</v>
      </c>
      <c r="H1339" s="786"/>
      <c r="I1339" s="715" t="s">
        <v>11723</v>
      </c>
      <c r="K1339" s="197"/>
      <c r="L1339" s="197"/>
      <c r="M1339" s="197"/>
    </row>
    <row r="1340" spans="1:13" s="195" customFormat="1" ht="48" customHeight="1" x14ac:dyDescent="0.2">
      <c r="A1340" s="694" t="s">
        <v>14364</v>
      </c>
      <c r="B1340" s="694" t="s">
        <v>13597</v>
      </c>
      <c r="C1340" s="739" t="s">
        <v>14365</v>
      </c>
      <c r="D1340" s="694" t="s">
        <v>14366</v>
      </c>
      <c r="E1340" s="714" t="s">
        <v>7028</v>
      </c>
      <c r="F1340" s="738">
        <v>1200</v>
      </c>
      <c r="G1340" s="743">
        <v>136032</v>
      </c>
      <c r="H1340" s="786"/>
      <c r="I1340" s="715" t="s">
        <v>11723</v>
      </c>
      <c r="K1340" s="197"/>
      <c r="L1340" s="197"/>
      <c r="M1340" s="197"/>
    </row>
    <row r="1341" spans="1:13" s="195" customFormat="1" ht="48" customHeight="1" x14ac:dyDescent="0.2">
      <c r="A1341" s="694" t="s">
        <v>14367</v>
      </c>
      <c r="B1341" s="694" t="s">
        <v>13597</v>
      </c>
      <c r="C1341" s="739" t="s">
        <v>14368</v>
      </c>
      <c r="D1341" s="694" t="s">
        <v>14369</v>
      </c>
      <c r="E1341" s="714" t="s">
        <v>7028</v>
      </c>
      <c r="F1341" s="738">
        <v>1200</v>
      </c>
      <c r="G1341" s="743">
        <v>136032</v>
      </c>
      <c r="H1341" s="786"/>
      <c r="I1341" s="715" t="s">
        <v>11723</v>
      </c>
      <c r="K1341" s="197"/>
      <c r="L1341" s="197"/>
      <c r="M1341" s="197"/>
    </row>
    <row r="1342" spans="1:13" s="195" customFormat="1" ht="48" customHeight="1" x14ac:dyDescent="0.2">
      <c r="A1342" s="694" t="s">
        <v>14370</v>
      </c>
      <c r="B1342" s="694" t="s">
        <v>13597</v>
      </c>
      <c r="C1342" s="739" t="s">
        <v>14371</v>
      </c>
      <c r="D1342" s="694" t="s">
        <v>14372</v>
      </c>
      <c r="E1342" s="714" t="s">
        <v>7028</v>
      </c>
      <c r="F1342" s="697">
        <v>1199</v>
      </c>
      <c r="G1342" s="699">
        <v>135918.64000000001</v>
      </c>
      <c r="H1342" s="786"/>
      <c r="I1342" s="715" t="s">
        <v>11723</v>
      </c>
      <c r="K1342" s="197"/>
      <c r="L1342" s="197"/>
      <c r="M1342" s="197"/>
    </row>
    <row r="1343" spans="1:13" s="195" customFormat="1" ht="48" customHeight="1" x14ac:dyDescent="0.2">
      <c r="A1343" s="694" t="s">
        <v>14373</v>
      </c>
      <c r="B1343" s="694" t="s">
        <v>13597</v>
      </c>
      <c r="C1343" s="739" t="s">
        <v>14374</v>
      </c>
      <c r="D1343" s="694" t="s">
        <v>14375</v>
      </c>
      <c r="E1343" s="714" t="s">
        <v>7028</v>
      </c>
      <c r="F1343" s="697">
        <v>1198</v>
      </c>
      <c r="G1343" s="699">
        <v>135805.28</v>
      </c>
      <c r="H1343" s="786"/>
      <c r="I1343" s="715" t="s">
        <v>11723</v>
      </c>
      <c r="K1343" s="197"/>
      <c r="L1343" s="197"/>
      <c r="M1343" s="197"/>
    </row>
    <row r="1344" spans="1:13" s="195" customFormat="1" ht="48" customHeight="1" x14ac:dyDescent="0.2">
      <c r="A1344" s="694" t="s">
        <v>14376</v>
      </c>
      <c r="B1344" s="694" t="s">
        <v>13597</v>
      </c>
      <c r="C1344" s="739" t="s">
        <v>14377</v>
      </c>
      <c r="D1344" s="694" t="s">
        <v>14378</v>
      </c>
      <c r="E1344" s="714"/>
      <c r="F1344" s="697">
        <v>1199</v>
      </c>
      <c r="G1344" s="699"/>
      <c r="H1344" s="786"/>
      <c r="I1344" s="715" t="s">
        <v>11723</v>
      </c>
      <c r="K1344" s="197"/>
      <c r="L1344" s="197"/>
      <c r="M1344" s="197"/>
    </row>
    <row r="1345" spans="1:13" s="195" customFormat="1" ht="48" customHeight="1" x14ac:dyDescent="0.2">
      <c r="A1345" s="694" t="s">
        <v>14379</v>
      </c>
      <c r="B1345" s="694" t="s">
        <v>13597</v>
      </c>
      <c r="C1345" s="739" t="s">
        <v>14380</v>
      </c>
      <c r="D1345" s="694" t="s">
        <v>14381</v>
      </c>
      <c r="E1345" s="714" t="s">
        <v>7028</v>
      </c>
      <c r="F1345" s="697">
        <v>1199</v>
      </c>
      <c r="G1345" s="699">
        <v>135918.64000000001</v>
      </c>
      <c r="H1345" s="786"/>
      <c r="I1345" s="715" t="s">
        <v>11723</v>
      </c>
      <c r="K1345" s="197"/>
      <c r="L1345" s="197"/>
      <c r="M1345" s="197"/>
    </row>
    <row r="1346" spans="1:13" s="195" customFormat="1" ht="48" customHeight="1" x14ac:dyDescent="0.2">
      <c r="A1346" s="694" t="s">
        <v>14382</v>
      </c>
      <c r="B1346" s="694" t="s">
        <v>13597</v>
      </c>
      <c r="C1346" s="739" t="s">
        <v>14383</v>
      </c>
      <c r="D1346" s="694" t="s">
        <v>14384</v>
      </c>
      <c r="E1346" s="714" t="s">
        <v>7028</v>
      </c>
      <c r="F1346" s="697">
        <v>925</v>
      </c>
      <c r="G1346" s="699">
        <v>104858</v>
      </c>
      <c r="H1346" s="786"/>
      <c r="I1346" s="715" t="s">
        <v>11723</v>
      </c>
      <c r="K1346" s="197"/>
      <c r="L1346" s="197"/>
      <c r="M1346" s="197"/>
    </row>
    <row r="1347" spans="1:13" s="195" customFormat="1" ht="48" customHeight="1" x14ac:dyDescent="0.2">
      <c r="A1347" s="694" t="s">
        <v>14385</v>
      </c>
      <c r="B1347" s="694" t="s">
        <v>13597</v>
      </c>
      <c r="C1347" s="710" t="s">
        <v>14386</v>
      </c>
      <c r="D1347" s="694" t="s">
        <v>14387</v>
      </c>
      <c r="E1347" s="714" t="s">
        <v>7028</v>
      </c>
      <c r="F1347" s="697">
        <v>1201</v>
      </c>
      <c r="G1347" s="699">
        <v>136145.35999999999</v>
      </c>
      <c r="H1347" s="786"/>
      <c r="I1347" s="715" t="s">
        <v>11723</v>
      </c>
      <c r="K1347" s="197"/>
      <c r="L1347" s="197"/>
      <c r="M1347" s="197"/>
    </row>
    <row r="1348" spans="1:13" s="195" customFormat="1" ht="48" customHeight="1" x14ac:dyDescent="0.2">
      <c r="A1348" s="694" t="s">
        <v>14388</v>
      </c>
      <c r="B1348" s="694" t="s">
        <v>13597</v>
      </c>
      <c r="C1348" s="710" t="s">
        <v>14389</v>
      </c>
      <c r="D1348" s="694" t="s">
        <v>14390</v>
      </c>
      <c r="E1348" s="714" t="s">
        <v>7028</v>
      </c>
      <c r="F1348" s="738">
        <v>1200</v>
      </c>
      <c r="G1348" s="743">
        <v>136032</v>
      </c>
      <c r="H1348" s="786"/>
      <c r="I1348" s="715" t="s">
        <v>11723</v>
      </c>
      <c r="K1348" s="197"/>
      <c r="L1348" s="197"/>
      <c r="M1348" s="197"/>
    </row>
    <row r="1349" spans="1:13" s="195" customFormat="1" ht="48" customHeight="1" x14ac:dyDescent="0.2">
      <c r="A1349" s="694" t="s">
        <v>14391</v>
      </c>
      <c r="B1349" s="694" t="s">
        <v>13597</v>
      </c>
      <c r="C1349" s="710" t="s">
        <v>14392</v>
      </c>
      <c r="D1349" s="694" t="s">
        <v>14393</v>
      </c>
      <c r="E1349" s="714" t="s">
        <v>7028</v>
      </c>
      <c r="F1349" s="697">
        <v>1201</v>
      </c>
      <c r="G1349" s="699">
        <v>136145.35999999999</v>
      </c>
      <c r="H1349" s="786"/>
      <c r="I1349" s="715" t="s">
        <v>11723</v>
      </c>
      <c r="K1349" s="197"/>
      <c r="L1349" s="197"/>
      <c r="M1349" s="197"/>
    </row>
    <row r="1350" spans="1:13" s="195" customFormat="1" ht="48" customHeight="1" x14ac:dyDescent="0.2">
      <c r="A1350" s="694" t="s">
        <v>14394</v>
      </c>
      <c r="B1350" s="694" t="s">
        <v>13597</v>
      </c>
      <c r="C1350" s="710" t="s">
        <v>14395</v>
      </c>
      <c r="D1350" s="694" t="s">
        <v>14396</v>
      </c>
      <c r="E1350" s="714" t="s">
        <v>7028</v>
      </c>
      <c r="F1350" s="697">
        <v>1199</v>
      </c>
      <c r="G1350" s="699">
        <v>135918.64000000001</v>
      </c>
      <c r="H1350" s="786"/>
      <c r="I1350" s="715" t="s">
        <v>11723</v>
      </c>
      <c r="K1350" s="197"/>
      <c r="L1350" s="197"/>
      <c r="M1350" s="197"/>
    </row>
    <row r="1351" spans="1:13" s="195" customFormat="1" ht="48" customHeight="1" x14ac:dyDescent="0.2">
      <c r="A1351" s="694" t="s">
        <v>14397</v>
      </c>
      <c r="B1351" s="694" t="s">
        <v>13597</v>
      </c>
      <c r="C1351" s="710" t="s">
        <v>14398</v>
      </c>
      <c r="D1351" s="694" t="s">
        <v>14399</v>
      </c>
      <c r="E1351" s="714" t="s">
        <v>7028</v>
      </c>
      <c r="F1351" s="697">
        <v>1199</v>
      </c>
      <c r="G1351" s="699">
        <v>135918.64000000001</v>
      </c>
      <c r="H1351" s="786"/>
      <c r="I1351" s="715" t="s">
        <v>11723</v>
      </c>
      <c r="K1351" s="197"/>
      <c r="L1351" s="197"/>
      <c r="M1351" s="197"/>
    </row>
    <row r="1352" spans="1:13" s="195" customFormat="1" ht="48" customHeight="1" x14ac:dyDescent="0.2">
      <c r="A1352" s="694" t="s">
        <v>14400</v>
      </c>
      <c r="B1352" s="694" t="s">
        <v>13597</v>
      </c>
      <c r="C1352" s="739" t="s">
        <v>14402</v>
      </c>
      <c r="D1352" s="694" t="s">
        <v>14401</v>
      </c>
      <c r="E1352" s="714" t="s">
        <v>7028</v>
      </c>
      <c r="F1352" s="697">
        <v>1201</v>
      </c>
      <c r="G1352" s="699">
        <v>136145.35999999999</v>
      </c>
      <c r="H1352" s="786"/>
      <c r="I1352" s="715" t="s">
        <v>11723</v>
      </c>
      <c r="K1352" s="197"/>
      <c r="L1352" s="197"/>
      <c r="M1352" s="197"/>
    </row>
    <row r="1353" spans="1:13" s="195" customFormat="1" ht="48" customHeight="1" x14ac:dyDescent="0.2">
      <c r="A1353" s="694" t="s">
        <v>14403</v>
      </c>
      <c r="B1353" s="694" t="s">
        <v>13597</v>
      </c>
      <c r="C1353" s="710" t="s">
        <v>14404</v>
      </c>
      <c r="D1353" s="694" t="s">
        <v>14405</v>
      </c>
      <c r="E1353" s="714" t="s">
        <v>7028</v>
      </c>
      <c r="F1353" s="697">
        <v>1198</v>
      </c>
      <c r="G1353" s="699">
        <v>135805.28</v>
      </c>
      <c r="H1353" s="786"/>
      <c r="I1353" s="715" t="s">
        <v>11723</v>
      </c>
      <c r="K1353" s="197"/>
      <c r="L1353" s="197"/>
      <c r="M1353" s="197"/>
    </row>
    <row r="1354" spans="1:13" s="195" customFormat="1" ht="48" customHeight="1" x14ac:dyDescent="0.2">
      <c r="A1354" s="694" t="s">
        <v>14406</v>
      </c>
      <c r="B1354" s="694" t="s">
        <v>13315</v>
      </c>
      <c r="C1354" s="710" t="s">
        <v>14407</v>
      </c>
      <c r="D1354" s="694" t="s">
        <v>14408</v>
      </c>
      <c r="E1354" s="714" t="s">
        <v>7028</v>
      </c>
      <c r="F1354" s="738">
        <v>1200</v>
      </c>
      <c r="G1354" s="743">
        <v>136032</v>
      </c>
      <c r="H1354" s="786"/>
      <c r="I1354" s="715" t="s">
        <v>11723</v>
      </c>
      <c r="K1354" s="197"/>
      <c r="L1354" s="197"/>
      <c r="M1354" s="197"/>
    </row>
    <row r="1355" spans="1:13" s="195" customFormat="1" ht="48" customHeight="1" x14ac:dyDescent="0.2">
      <c r="A1355" s="694" t="s">
        <v>14409</v>
      </c>
      <c r="B1355" s="694" t="s">
        <v>13597</v>
      </c>
      <c r="C1355" s="710" t="s">
        <v>14410</v>
      </c>
      <c r="D1355" s="694" t="s">
        <v>14411</v>
      </c>
      <c r="E1355" s="714" t="s">
        <v>7028</v>
      </c>
      <c r="F1355" s="738">
        <v>1200</v>
      </c>
      <c r="G1355" s="743"/>
      <c r="H1355" s="786"/>
      <c r="I1355" s="715" t="s">
        <v>11723</v>
      </c>
      <c r="K1355" s="197"/>
      <c r="L1355" s="197"/>
      <c r="M1355" s="197"/>
    </row>
    <row r="1356" spans="1:13" s="195" customFormat="1" ht="48" customHeight="1" x14ac:dyDescent="0.2">
      <c r="A1356" s="694" t="s">
        <v>14412</v>
      </c>
      <c r="B1356" s="694" t="s">
        <v>13597</v>
      </c>
      <c r="C1356" s="710" t="s">
        <v>14413</v>
      </c>
      <c r="D1356" s="694" t="s">
        <v>14414</v>
      </c>
      <c r="E1356" s="714" t="s">
        <v>7028</v>
      </c>
      <c r="F1356" s="697">
        <v>1199</v>
      </c>
      <c r="G1356" s="699"/>
      <c r="H1356" s="786"/>
      <c r="I1356" s="715" t="s">
        <v>11723</v>
      </c>
      <c r="K1356" s="197"/>
      <c r="L1356" s="197"/>
      <c r="M1356" s="197"/>
    </row>
    <row r="1357" spans="1:13" s="195" customFormat="1" ht="48" customHeight="1" x14ac:dyDescent="0.2">
      <c r="A1357" s="694" t="s">
        <v>14415</v>
      </c>
      <c r="B1357" s="694" t="s">
        <v>13597</v>
      </c>
      <c r="C1357" s="710" t="s">
        <v>14416</v>
      </c>
      <c r="D1357" s="694" t="s">
        <v>14417</v>
      </c>
      <c r="E1357" s="714" t="s">
        <v>7028</v>
      </c>
      <c r="F1357" s="697">
        <v>1201</v>
      </c>
      <c r="G1357" s="699"/>
      <c r="H1357" s="786"/>
      <c r="I1357" s="715" t="s">
        <v>11723</v>
      </c>
      <c r="K1357" s="197"/>
      <c r="L1357" s="197"/>
      <c r="M1357" s="197"/>
    </row>
    <row r="1358" spans="1:13" s="195" customFormat="1" ht="48" customHeight="1" x14ac:dyDescent="0.2">
      <c r="A1358" s="694" t="s">
        <v>14418</v>
      </c>
      <c r="B1358" s="694" t="s">
        <v>13597</v>
      </c>
      <c r="C1358" s="710" t="s">
        <v>14419</v>
      </c>
      <c r="D1358" s="694" t="s">
        <v>14420</v>
      </c>
      <c r="E1358" s="714" t="s">
        <v>7028</v>
      </c>
      <c r="F1358" s="697">
        <v>1199</v>
      </c>
      <c r="G1358" s="699">
        <v>135918.64000000001</v>
      </c>
      <c r="H1358" s="786"/>
      <c r="I1358" s="715" t="s">
        <v>11723</v>
      </c>
      <c r="K1358" s="197"/>
      <c r="L1358" s="197"/>
      <c r="M1358" s="197"/>
    </row>
    <row r="1359" spans="1:13" s="195" customFormat="1" ht="48" customHeight="1" x14ac:dyDescent="0.2">
      <c r="A1359" s="694" t="s">
        <v>14421</v>
      </c>
      <c r="B1359" s="694" t="s">
        <v>13597</v>
      </c>
      <c r="C1359" s="710" t="s">
        <v>14422</v>
      </c>
      <c r="D1359" s="694" t="s">
        <v>14423</v>
      </c>
      <c r="E1359" s="714" t="s">
        <v>7028</v>
      </c>
      <c r="F1359" s="697">
        <v>1201</v>
      </c>
      <c r="G1359" s="699">
        <v>136145.35999999999</v>
      </c>
      <c r="H1359" s="786"/>
      <c r="I1359" s="715" t="s">
        <v>11723</v>
      </c>
      <c r="K1359" s="197"/>
      <c r="L1359" s="197"/>
      <c r="M1359" s="197"/>
    </row>
    <row r="1360" spans="1:13" s="195" customFormat="1" ht="48" customHeight="1" x14ac:dyDescent="0.2">
      <c r="A1360" s="694" t="s">
        <v>14424</v>
      </c>
      <c r="B1360" s="694" t="s">
        <v>13597</v>
      </c>
      <c r="C1360" s="710" t="s">
        <v>14425</v>
      </c>
      <c r="D1360" s="694" t="s">
        <v>14426</v>
      </c>
      <c r="E1360" s="714" t="s">
        <v>7028</v>
      </c>
      <c r="F1360" s="697">
        <v>1201</v>
      </c>
      <c r="G1360" s="699">
        <v>136145.35999999999</v>
      </c>
      <c r="H1360" s="786"/>
      <c r="I1360" s="715" t="s">
        <v>11723</v>
      </c>
      <c r="K1360" s="197"/>
      <c r="L1360" s="197"/>
      <c r="M1360" s="197"/>
    </row>
    <row r="1361" spans="1:13" s="195" customFormat="1" ht="48" customHeight="1" x14ac:dyDescent="0.2">
      <c r="A1361" s="694" t="s">
        <v>14427</v>
      </c>
      <c r="B1361" s="694" t="s">
        <v>13597</v>
      </c>
      <c r="C1361" s="710" t="s">
        <v>14428</v>
      </c>
      <c r="D1361" s="694" t="s">
        <v>14429</v>
      </c>
      <c r="E1361" s="714" t="s">
        <v>7028</v>
      </c>
      <c r="F1361" s="738">
        <v>1200</v>
      </c>
      <c r="G1361" s="743">
        <v>136032</v>
      </c>
      <c r="H1361" s="786"/>
      <c r="I1361" s="715" t="s">
        <v>11723</v>
      </c>
      <c r="K1361" s="197"/>
      <c r="L1361" s="197"/>
      <c r="M1361" s="197"/>
    </row>
    <row r="1362" spans="1:13" s="195" customFormat="1" ht="48" customHeight="1" x14ac:dyDescent="0.2">
      <c r="A1362" s="694" t="s">
        <v>14430</v>
      </c>
      <c r="B1362" s="694" t="s">
        <v>13597</v>
      </c>
      <c r="C1362" s="710" t="s">
        <v>14431</v>
      </c>
      <c r="D1362" s="694" t="s">
        <v>14432</v>
      </c>
      <c r="E1362" s="714" t="s">
        <v>7028</v>
      </c>
      <c r="F1362" s="738">
        <v>1200</v>
      </c>
      <c r="G1362" s="743">
        <v>136032</v>
      </c>
      <c r="H1362" s="786"/>
      <c r="I1362" s="715" t="s">
        <v>11723</v>
      </c>
      <c r="K1362" s="197"/>
      <c r="L1362" s="197"/>
      <c r="M1362" s="197"/>
    </row>
    <row r="1363" spans="1:13" s="195" customFormat="1" ht="48" customHeight="1" x14ac:dyDescent="0.2">
      <c r="A1363" s="694" t="s">
        <v>14433</v>
      </c>
      <c r="B1363" s="694" t="s">
        <v>13597</v>
      </c>
      <c r="C1363" s="710" t="s">
        <v>14434</v>
      </c>
      <c r="D1363" s="694" t="s">
        <v>14435</v>
      </c>
      <c r="E1363" s="714" t="s">
        <v>7028</v>
      </c>
      <c r="F1363" s="738">
        <v>1200</v>
      </c>
      <c r="G1363" s="699"/>
      <c r="H1363" s="786"/>
      <c r="I1363" s="715" t="s">
        <v>11723</v>
      </c>
      <c r="K1363" s="197"/>
      <c r="L1363" s="197"/>
      <c r="M1363" s="197"/>
    </row>
    <row r="1364" spans="1:13" s="195" customFormat="1" ht="48" customHeight="1" x14ac:dyDescent="0.2">
      <c r="A1364" s="694" t="s">
        <v>14436</v>
      </c>
      <c r="B1364" s="694" t="s">
        <v>13597</v>
      </c>
      <c r="C1364" s="710" t="s">
        <v>14437</v>
      </c>
      <c r="D1364" s="694" t="s">
        <v>14438</v>
      </c>
      <c r="E1364" s="714" t="s">
        <v>7028</v>
      </c>
      <c r="F1364" s="697">
        <v>1201</v>
      </c>
      <c r="G1364" s="699"/>
      <c r="H1364" s="786"/>
      <c r="I1364" s="715" t="s">
        <v>11723</v>
      </c>
      <c r="K1364" s="197"/>
      <c r="L1364" s="197"/>
      <c r="M1364" s="197"/>
    </row>
    <row r="1365" spans="1:13" s="195" customFormat="1" ht="48" customHeight="1" x14ac:dyDescent="0.2">
      <c r="A1365" s="694" t="s">
        <v>14439</v>
      </c>
      <c r="B1365" s="694" t="s">
        <v>13597</v>
      </c>
      <c r="C1365" s="710" t="s">
        <v>14440</v>
      </c>
      <c r="D1365" s="694" t="s">
        <v>14441</v>
      </c>
      <c r="E1365" s="714" t="s">
        <v>7028</v>
      </c>
      <c r="F1365" s="738">
        <v>1200</v>
      </c>
      <c r="G1365" s="743">
        <v>136032</v>
      </c>
      <c r="H1365" s="786"/>
      <c r="I1365" s="715" t="s">
        <v>11723</v>
      </c>
      <c r="K1365" s="197"/>
      <c r="L1365" s="197"/>
      <c r="M1365" s="197"/>
    </row>
    <row r="1366" spans="1:13" s="195" customFormat="1" ht="48" customHeight="1" x14ac:dyDescent="0.2">
      <c r="A1366" s="694" t="s">
        <v>14442</v>
      </c>
      <c r="B1366" s="694" t="s">
        <v>13597</v>
      </c>
      <c r="C1366" s="710" t="s">
        <v>14443</v>
      </c>
      <c r="D1366" s="694" t="s">
        <v>14444</v>
      </c>
      <c r="E1366" s="714" t="s">
        <v>7028</v>
      </c>
      <c r="F1366" s="697">
        <v>1201</v>
      </c>
      <c r="G1366" s="699">
        <v>136145.35999999999</v>
      </c>
      <c r="H1366" s="786"/>
      <c r="I1366" s="715" t="s">
        <v>11723</v>
      </c>
      <c r="K1366" s="197"/>
      <c r="L1366" s="197"/>
      <c r="M1366" s="197"/>
    </row>
    <row r="1367" spans="1:13" s="195" customFormat="1" ht="48" customHeight="1" x14ac:dyDescent="0.2">
      <c r="A1367" s="694" t="s">
        <v>14445</v>
      </c>
      <c r="B1367" s="694" t="s">
        <v>13597</v>
      </c>
      <c r="C1367" s="710" t="s">
        <v>14446</v>
      </c>
      <c r="D1367" s="694" t="s">
        <v>14447</v>
      </c>
      <c r="E1367" s="714" t="s">
        <v>7028</v>
      </c>
      <c r="F1367" s="738">
        <v>1200</v>
      </c>
      <c r="G1367" s="699"/>
      <c r="H1367" s="786"/>
      <c r="I1367" s="715" t="s">
        <v>11723</v>
      </c>
      <c r="K1367" s="197"/>
      <c r="L1367" s="197"/>
      <c r="M1367" s="197"/>
    </row>
    <row r="1368" spans="1:13" s="195" customFormat="1" ht="48" customHeight="1" x14ac:dyDescent="0.2">
      <c r="A1368" s="694" t="s">
        <v>14448</v>
      </c>
      <c r="B1368" s="694" t="s">
        <v>13597</v>
      </c>
      <c r="C1368" s="710" t="s">
        <v>14449</v>
      </c>
      <c r="D1368" s="694" t="s">
        <v>14450</v>
      </c>
      <c r="E1368" s="714" t="s">
        <v>7028</v>
      </c>
      <c r="F1368" s="697">
        <v>1203</v>
      </c>
      <c r="G1368" s="699">
        <v>136372.07999999999</v>
      </c>
      <c r="H1368" s="786"/>
      <c r="I1368" s="715" t="s">
        <v>11723</v>
      </c>
      <c r="K1368" s="197"/>
      <c r="L1368" s="197"/>
      <c r="M1368" s="197"/>
    </row>
    <row r="1369" spans="1:13" s="195" customFormat="1" ht="48" customHeight="1" x14ac:dyDescent="0.2">
      <c r="A1369" s="694" t="s">
        <v>14451</v>
      </c>
      <c r="B1369" s="694" t="s">
        <v>13597</v>
      </c>
      <c r="C1369" s="710" t="s">
        <v>14452</v>
      </c>
      <c r="D1369" s="694" t="s">
        <v>14453</v>
      </c>
      <c r="E1369" s="714" t="s">
        <v>7028</v>
      </c>
      <c r="F1369" s="738">
        <v>1200</v>
      </c>
      <c r="G1369" s="743">
        <v>136032</v>
      </c>
      <c r="H1369" s="786"/>
      <c r="I1369" s="715" t="s">
        <v>11723</v>
      </c>
      <c r="K1369" s="197"/>
      <c r="L1369" s="197"/>
      <c r="M1369" s="197"/>
    </row>
    <row r="1370" spans="1:13" s="195" customFormat="1" ht="48" customHeight="1" x14ac:dyDescent="0.2">
      <c r="A1370" s="694" t="s">
        <v>14454</v>
      </c>
      <c r="B1370" s="694" t="s">
        <v>13315</v>
      </c>
      <c r="C1370" s="710" t="s">
        <v>14455</v>
      </c>
      <c r="D1370" s="694" t="s">
        <v>14456</v>
      </c>
      <c r="E1370" s="714" t="s">
        <v>7028</v>
      </c>
      <c r="F1370" s="697">
        <v>1200</v>
      </c>
      <c r="G1370" s="699"/>
      <c r="H1370" s="786"/>
      <c r="I1370" s="715" t="s">
        <v>11723</v>
      </c>
      <c r="K1370" s="197"/>
      <c r="L1370" s="197"/>
      <c r="M1370" s="197"/>
    </row>
    <row r="1371" spans="1:13" s="195" customFormat="1" ht="48" customHeight="1" x14ac:dyDescent="0.2">
      <c r="A1371" s="694" t="s">
        <v>14457</v>
      </c>
      <c r="B1371" s="694" t="s">
        <v>13315</v>
      </c>
      <c r="C1371" s="710" t="s">
        <v>14458</v>
      </c>
      <c r="D1371" s="694" t="s">
        <v>14459</v>
      </c>
      <c r="E1371" s="714" t="s">
        <v>7028</v>
      </c>
      <c r="F1371" s="697">
        <v>1200</v>
      </c>
      <c r="G1371" s="699"/>
      <c r="H1371" s="786"/>
      <c r="I1371" s="715" t="s">
        <v>11723</v>
      </c>
      <c r="K1371" s="197"/>
      <c r="L1371" s="197"/>
      <c r="M1371" s="197"/>
    </row>
    <row r="1372" spans="1:13" s="195" customFormat="1" ht="48" customHeight="1" x14ac:dyDescent="0.2">
      <c r="A1372" s="694" t="s">
        <v>14466</v>
      </c>
      <c r="B1372" s="694" t="s">
        <v>13597</v>
      </c>
      <c r="C1372" s="710" t="s">
        <v>14467</v>
      </c>
      <c r="D1372" s="694" t="s">
        <v>14468</v>
      </c>
      <c r="E1372" s="714" t="s">
        <v>7028</v>
      </c>
      <c r="F1372" s="697">
        <v>1190</v>
      </c>
      <c r="G1372" s="699">
        <v>134898.4</v>
      </c>
      <c r="H1372" s="786"/>
      <c r="I1372" s="715" t="s">
        <v>11723</v>
      </c>
      <c r="K1372" s="197"/>
      <c r="L1372" s="197"/>
      <c r="M1372" s="197"/>
    </row>
    <row r="1373" spans="1:13" s="195" customFormat="1" ht="48" customHeight="1" x14ac:dyDescent="0.2">
      <c r="A1373" s="694" t="s">
        <v>14469</v>
      </c>
      <c r="B1373" s="694" t="s">
        <v>13597</v>
      </c>
      <c r="C1373" s="710" t="s">
        <v>14470</v>
      </c>
      <c r="D1373" s="694" t="s">
        <v>14471</v>
      </c>
      <c r="E1373" s="714" t="s">
        <v>7028</v>
      </c>
      <c r="F1373" s="738">
        <v>1200</v>
      </c>
      <c r="G1373" s="743">
        <v>136032</v>
      </c>
      <c r="H1373" s="786"/>
      <c r="I1373" s="715" t="s">
        <v>11723</v>
      </c>
      <c r="K1373" s="197"/>
      <c r="L1373" s="197"/>
      <c r="M1373" s="197"/>
    </row>
    <row r="1374" spans="1:13" s="195" customFormat="1" ht="48" customHeight="1" x14ac:dyDescent="0.2">
      <c r="A1374" s="694" t="s">
        <v>14472</v>
      </c>
      <c r="B1374" s="694" t="s">
        <v>13597</v>
      </c>
      <c r="C1374" s="710" t="s">
        <v>14473</v>
      </c>
      <c r="D1374" s="694" t="s">
        <v>14474</v>
      </c>
      <c r="E1374" s="714" t="s">
        <v>7028</v>
      </c>
      <c r="F1374" s="738">
        <v>1200</v>
      </c>
      <c r="G1374" s="743">
        <v>136032</v>
      </c>
      <c r="H1374" s="786"/>
      <c r="I1374" s="715" t="s">
        <v>11723</v>
      </c>
      <c r="K1374" s="197"/>
      <c r="L1374" s="197"/>
      <c r="M1374" s="197"/>
    </row>
    <row r="1375" spans="1:13" s="195" customFormat="1" ht="48" customHeight="1" x14ac:dyDescent="0.2">
      <c r="A1375" s="694" t="s">
        <v>14475</v>
      </c>
      <c r="B1375" s="694" t="s">
        <v>13597</v>
      </c>
      <c r="C1375" s="710" t="s">
        <v>14476</v>
      </c>
      <c r="D1375" s="694" t="s">
        <v>14477</v>
      </c>
      <c r="E1375" s="714" t="s">
        <v>7028</v>
      </c>
      <c r="F1375" s="738">
        <v>1200</v>
      </c>
      <c r="G1375" s="743">
        <v>136032</v>
      </c>
      <c r="H1375" s="786"/>
      <c r="I1375" s="715" t="s">
        <v>11723</v>
      </c>
      <c r="K1375" s="197"/>
      <c r="L1375" s="197"/>
      <c r="M1375" s="197"/>
    </row>
    <row r="1376" spans="1:13" s="195" customFormat="1" ht="48" customHeight="1" x14ac:dyDescent="0.2">
      <c r="A1376" s="694" t="s">
        <v>14478</v>
      </c>
      <c r="B1376" s="694" t="s">
        <v>13597</v>
      </c>
      <c r="C1376" s="710" t="s">
        <v>14479</v>
      </c>
      <c r="D1376" s="694" t="s">
        <v>14480</v>
      </c>
      <c r="E1376" s="714" t="s">
        <v>7028</v>
      </c>
      <c r="F1376" s="697">
        <v>1201</v>
      </c>
      <c r="G1376" s="743">
        <v>136145.35999999999</v>
      </c>
      <c r="H1376" s="786"/>
      <c r="I1376" s="715" t="s">
        <v>11723</v>
      </c>
      <c r="K1376" s="197"/>
      <c r="L1376" s="197"/>
      <c r="M1376" s="197"/>
    </row>
    <row r="1377" spans="1:13" s="195" customFormat="1" ht="48" customHeight="1" x14ac:dyDescent="0.2">
      <c r="A1377" s="694" t="s">
        <v>14481</v>
      </c>
      <c r="B1377" s="694" t="s">
        <v>13597</v>
      </c>
      <c r="C1377" s="710" t="s">
        <v>14482</v>
      </c>
      <c r="D1377" s="694" t="s">
        <v>14483</v>
      </c>
      <c r="E1377" s="714" t="s">
        <v>7028</v>
      </c>
      <c r="F1377" s="738">
        <v>1200</v>
      </c>
      <c r="G1377" s="743">
        <v>136032</v>
      </c>
      <c r="H1377" s="786"/>
      <c r="I1377" s="715" t="s">
        <v>11723</v>
      </c>
      <c r="K1377" s="197"/>
      <c r="L1377" s="197"/>
      <c r="M1377" s="197"/>
    </row>
    <row r="1378" spans="1:13" s="195" customFormat="1" ht="48" customHeight="1" x14ac:dyDescent="0.2">
      <c r="A1378" s="694" t="s">
        <v>14484</v>
      </c>
      <c r="B1378" s="694" t="s">
        <v>13597</v>
      </c>
      <c r="C1378" s="710" t="s">
        <v>14485</v>
      </c>
      <c r="D1378" s="694" t="s">
        <v>14486</v>
      </c>
      <c r="E1378" s="714" t="s">
        <v>7028</v>
      </c>
      <c r="F1378" s="738">
        <v>1200</v>
      </c>
      <c r="G1378" s="743">
        <v>136032</v>
      </c>
      <c r="H1378" s="786"/>
      <c r="I1378" s="715" t="s">
        <v>11723</v>
      </c>
      <c r="K1378" s="197"/>
      <c r="L1378" s="197"/>
      <c r="M1378" s="197"/>
    </row>
    <row r="1379" spans="1:13" s="195" customFormat="1" ht="48" customHeight="1" x14ac:dyDescent="0.2">
      <c r="A1379" s="694" t="s">
        <v>14487</v>
      </c>
      <c r="B1379" s="694" t="s">
        <v>13597</v>
      </c>
      <c r="C1379" s="710" t="s">
        <v>14488</v>
      </c>
      <c r="D1379" s="694" t="s">
        <v>14489</v>
      </c>
      <c r="E1379" s="714" t="s">
        <v>7028</v>
      </c>
      <c r="F1379" s="738">
        <v>1200</v>
      </c>
      <c r="G1379" s="743">
        <v>136032</v>
      </c>
      <c r="H1379" s="786"/>
      <c r="I1379" s="715" t="s">
        <v>11723</v>
      </c>
      <c r="K1379" s="197"/>
      <c r="L1379" s="197"/>
      <c r="M1379" s="197"/>
    </row>
    <row r="1380" spans="1:13" s="195" customFormat="1" ht="48" customHeight="1" x14ac:dyDescent="0.2">
      <c r="A1380" s="694" t="s">
        <v>14490</v>
      </c>
      <c r="B1380" s="694" t="s">
        <v>13597</v>
      </c>
      <c r="C1380" s="710" t="s">
        <v>14491</v>
      </c>
      <c r="D1380" s="694" t="s">
        <v>14492</v>
      </c>
      <c r="E1380" s="714" t="s">
        <v>7028</v>
      </c>
      <c r="F1380" s="738">
        <v>1200</v>
      </c>
      <c r="G1380" s="743">
        <v>136032</v>
      </c>
      <c r="H1380" s="786"/>
      <c r="I1380" s="715" t="s">
        <v>11723</v>
      </c>
      <c r="K1380" s="197"/>
      <c r="L1380" s="197"/>
      <c r="M1380" s="197"/>
    </row>
    <row r="1381" spans="1:13" s="195" customFormat="1" ht="48" customHeight="1" x14ac:dyDescent="0.2">
      <c r="A1381" s="694" t="s">
        <v>14493</v>
      </c>
      <c r="B1381" s="694" t="s">
        <v>13597</v>
      </c>
      <c r="C1381" s="710" t="s">
        <v>14494</v>
      </c>
      <c r="D1381" s="694" t="s">
        <v>14495</v>
      </c>
      <c r="E1381" s="714" t="s">
        <v>7028</v>
      </c>
      <c r="F1381" s="738">
        <v>1200</v>
      </c>
      <c r="G1381" s="743">
        <v>136032</v>
      </c>
      <c r="H1381" s="786"/>
      <c r="I1381" s="715" t="s">
        <v>11723</v>
      </c>
      <c r="K1381" s="197"/>
      <c r="L1381" s="197"/>
      <c r="M1381" s="197"/>
    </row>
    <row r="1382" spans="1:13" s="195" customFormat="1" ht="48" customHeight="1" x14ac:dyDescent="0.2">
      <c r="A1382" s="694" t="s">
        <v>14496</v>
      </c>
      <c r="B1382" s="694" t="s">
        <v>13597</v>
      </c>
      <c r="C1382" s="710" t="s">
        <v>14497</v>
      </c>
      <c r="D1382" s="694" t="s">
        <v>14498</v>
      </c>
      <c r="E1382" s="714" t="s">
        <v>7028</v>
      </c>
      <c r="F1382" s="738">
        <v>1200</v>
      </c>
      <c r="G1382" s="743">
        <v>136032</v>
      </c>
      <c r="H1382" s="786"/>
      <c r="I1382" s="715" t="s">
        <v>11723</v>
      </c>
      <c r="K1382" s="197"/>
      <c r="L1382" s="197"/>
      <c r="M1382" s="197"/>
    </row>
    <row r="1383" spans="1:13" s="195" customFormat="1" ht="48" customHeight="1" x14ac:dyDescent="0.2">
      <c r="A1383" s="694" t="s">
        <v>14499</v>
      </c>
      <c r="B1383" s="694" t="s">
        <v>13597</v>
      </c>
      <c r="C1383" s="710" t="s">
        <v>14500</v>
      </c>
      <c r="D1383" s="694" t="s">
        <v>14501</v>
      </c>
      <c r="E1383" s="714" t="s">
        <v>7028</v>
      </c>
      <c r="F1383" s="738">
        <v>1200</v>
      </c>
      <c r="G1383" s="699">
        <v>136145.35999999999</v>
      </c>
      <c r="H1383" s="786"/>
      <c r="I1383" s="715" t="s">
        <v>11723</v>
      </c>
      <c r="K1383" s="197"/>
      <c r="L1383" s="197"/>
      <c r="M1383" s="197"/>
    </row>
    <row r="1384" spans="1:13" s="195" customFormat="1" ht="48" customHeight="1" x14ac:dyDescent="0.2">
      <c r="A1384" s="694" t="s">
        <v>14502</v>
      </c>
      <c r="B1384" s="694" t="s">
        <v>13597</v>
      </c>
      <c r="C1384" s="710" t="s">
        <v>14503</v>
      </c>
      <c r="D1384" s="694" t="s">
        <v>14504</v>
      </c>
      <c r="E1384" s="714" t="s">
        <v>7028</v>
      </c>
      <c r="F1384" s="697">
        <v>1201</v>
      </c>
      <c r="G1384" s="699">
        <v>135918.64000000001</v>
      </c>
      <c r="H1384" s="786"/>
      <c r="I1384" s="715" t="s">
        <v>11723</v>
      </c>
      <c r="K1384" s="197"/>
      <c r="L1384" s="197"/>
      <c r="M1384" s="197"/>
    </row>
    <row r="1385" spans="1:13" s="195" customFormat="1" ht="48" customHeight="1" x14ac:dyDescent="0.2">
      <c r="A1385" s="694" t="s">
        <v>14505</v>
      </c>
      <c r="B1385" s="694" t="s">
        <v>13597</v>
      </c>
      <c r="C1385" s="710" t="s">
        <v>14506</v>
      </c>
      <c r="D1385" s="694" t="s">
        <v>14507</v>
      </c>
      <c r="E1385" s="714" t="s">
        <v>7028</v>
      </c>
      <c r="F1385" s="697">
        <v>1199</v>
      </c>
      <c r="G1385" s="743">
        <v>136032</v>
      </c>
      <c r="H1385" s="786"/>
      <c r="I1385" s="715" t="s">
        <v>11723</v>
      </c>
      <c r="K1385" s="197"/>
      <c r="L1385" s="197"/>
      <c r="M1385" s="197"/>
    </row>
    <row r="1386" spans="1:13" s="195" customFormat="1" ht="48" customHeight="1" x14ac:dyDescent="0.2">
      <c r="A1386" s="694" t="s">
        <v>14508</v>
      </c>
      <c r="B1386" s="694" t="s">
        <v>13597</v>
      </c>
      <c r="C1386" s="710" t="s">
        <v>14509</v>
      </c>
      <c r="D1386" s="694" t="s">
        <v>14510</v>
      </c>
      <c r="E1386" s="714" t="s">
        <v>7028</v>
      </c>
      <c r="F1386" s="738">
        <v>1200</v>
      </c>
      <c r="G1386" s="743">
        <v>136032</v>
      </c>
      <c r="H1386" s="786"/>
      <c r="I1386" s="715" t="s">
        <v>11723</v>
      </c>
      <c r="K1386" s="197"/>
      <c r="L1386" s="197"/>
      <c r="M1386" s="197"/>
    </row>
    <row r="1387" spans="1:13" s="195" customFormat="1" ht="48" customHeight="1" x14ac:dyDescent="0.2">
      <c r="A1387" s="694" t="s">
        <v>14511</v>
      </c>
      <c r="B1387" s="694" t="s">
        <v>13597</v>
      </c>
      <c r="C1387" s="710" t="s">
        <v>14512</v>
      </c>
      <c r="D1387" s="694" t="s">
        <v>14513</v>
      </c>
      <c r="E1387" s="714" t="s">
        <v>7028</v>
      </c>
      <c r="F1387" s="738">
        <v>1200</v>
      </c>
      <c r="G1387" s="699">
        <v>135805.28</v>
      </c>
      <c r="H1387" s="786"/>
      <c r="I1387" s="715" t="s">
        <v>11723</v>
      </c>
      <c r="K1387" s="197"/>
      <c r="L1387" s="197"/>
      <c r="M1387" s="197"/>
    </row>
    <row r="1388" spans="1:13" s="195" customFormat="1" ht="48" customHeight="1" x14ac:dyDescent="0.2">
      <c r="A1388" s="694" t="s">
        <v>14514</v>
      </c>
      <c r="B1388" s="694" t="s">
        <v>13597</v>
      </c>
      <c r="C1388" s="710" t="s">
        <v>14515</v>
      </c>
      <c r="D1388" s="694" t="s">
        <v>14516</v>
      </c>
      <c r="E1388" s="714" t="s">
        <v>7028</v>
      </c>
      <c r="F1388" s="697">
        <v>1198</v>
      </c>
      <c r="G1388" s="699">
        <v>135805.28</v>
      </c>
      <c r="H1388" s="786"/>
      <c r="I1388" s="715" t="s">
        <v>11723</v>
      </c>
      <c r="K1388" s="197"/>
      <c r="L1388" s="197"/>
      <c r="M1388" s="197"/>
    </row>
    <row r="1389" spans="1:13" s="195" customFormat="1" ht="48" customHeight="1" x14ac:dyDescent="0.2">
      <c r="A1389" s="694" t="s">
        <v>14517</v>
      </c>
      <c r="B1389" s="694" t="s">
        <v>13597</v>
      </c>
      <c r="C1389" s="710" t="s">
        <v>14518</v>
      </c>
      <c r="D1389" s="694" t="s">
        <v>14519</v>
      </c>
      <c r="E1389" s="714" t="s">
        <v>7028</v>
      </c>
      <c r="F1389" s="697">
        <v>1198</v>
      </c>
      <c r="G1389" s="699">
        <v>136145.35999999999</v>
      </c>
      <c r="H1389" s="786"/>
      <c r="I1389" s="715" t="s">
        <v>11723</v>
      </c>
      <c r="K1389" s="197"/>
      <c r="L1389" s="197"/>
      <c r="M1389" s="197"/>
    </row>
    <row r="1390" spans="1:13" s="195" customFormat="1" ht="48" customHeight="1" x14ac:dyDescent="0.2">
      <c r="A1390" s="694" t="s">
        <v>14520</v>
      </c>
      <c r="B1390" s="694" t="s">
        <v>13597</v>
      </c>
      <c r="C1390" s="710" t="s">
        <v>14521</v>
      </c>
      <c r="D1390" s="694" t="s">
        <v>14522</v>
      </c>
      <c r="E1390" s="714" t="s">
        <v>7028</v>
      </c>
      <c r="F1390" s="697">
        <v>1201</v>
      </c>
      <c r="G1390" s="699"/>
      <c r="H1390" s="786"/>
      <c r="I1390" s="715"/>
      <c r="K1390" s="197"/>
      <c r="L1390" s="197"/>
      <c r="M1390" s="197"/>
    </row>
    <row r="1391" spans="1:13" s="195" customFormat="1" ht="48" customHeight="1" x14ac:dyDescent="0.2">
      <c r="A1391" s="694" t="s">
        <v>14523</v>
      </c>
      <c r="B1391" s="694"/>
      <c r="C1391" s="710" t="s">
        <v>14524</v>
      </c>
      <c r="D1391" s="694" t="s">
        <v>14525</v>
      </c>
      <c r="E1391" s="714"/>
      <c r="F1391" s="738">
        <v>1200</v>
      </c>
      <c r="G1391" s="699"/>
      <c r="H1391" s="786"/>
      <c r="I1391" s="736"/>
      <c r="K1391" s="197"/>
      <c r="L1391" s="197"/>
      <c r="M1391" s="197"/>
    </row>
    <row r="1392" spans="1:13" s="195" customFormat="1" ht="48" customHeight="1" x14ac:dyDescent="0.2">
      <c r="A1392" s="694" t="s">
        <v>14526</v>
      </c>
      <c r="B1392" s="694"/>
      <c r="C1392" s="710" t="s">
        <v>14527</v>
      </c>
      <c r="D1392" s="694" t="s">
        <v>12196</v>
      </c>
      <c r="E1392" s="714"/>
      <c r="F1392" s="738">
        <v>1200</v>
      </c>
      <c r="G1392" s="699"/>
      <c r="H1392" s="786"/>
      <c r="I1392" s="736"/>
      <c r="K1392" s="197"/>
      <c r="L1392" s="197"/>
      <c r="M1392" s="197"/>
    </row>
    <row r="1393" spans="1:13" s="195" customFormat="1" ht="48" customHeight="1" x14ac:dyDescent="0.2">
      <c r="A1393" s="694" t="s">
        <v>14528</v>
      </c>
      <c r="B1393" s="694"/>
      <c r="C1393" s="710" t="s">
        <v>14529</v>
      </c>
      <c r="D1393" s="694" t="s">
        <v>14530</v>
      </c>
      <c r="E1393" s="714"/>
      <c r="F1393" s="738">
        <v>1200</v>
      </c>
      <c r="G1393" s="743">
        <v>136032</v>
      </c>
      <c r="H1393" s="786"/>
      <c r="I1393" s="736"/>
      <c r="K1393" s="197"/>
      <c r="L1393" s="197"/>
      <c r="M1393" s="197"/>
    </row>
    <row r="1394" spans="1:13" s="195" customFormat="1" ht="48" customHeight="1" x14ac:dyDescent="0.2">
      <c r="A1394" s="694" t="s">
        <v>14531</v>
      </c>
      <c r="B1394" s="694" t="s">
        <v>13597</v>
      </c>
      <c r="C1394" s="710" t="s">
        <v>14532</v>
      </c>
      <c r="D1394" s="694" t="s">
        <v>14533</v>
      </c>
      <c r="E1394" s="714" t="s">
        <v>7028</v>
      </c>
      <c r="F1394" s="738">
        <v>1200</v>
      </c>
      <c r="G1394" s="699">
        <v>135918.64000000001</v>
      </c>
      <c r="H1394" s="786"/>
      <c r="I1394" s="715" t="s">
        <v>11723</v>
      </c>
      <c r="K1394" s="197"/>
      <c r="L1394" s="197"/>
      <c r="M1394" s="197"/>
    </row>
    <row r="1395" spans="1:13" s="195" customFormat="1" ht="57.75" customHeight="1" x14ac:dyDescent="0.2">
      <c r="A1395" s="694" t="s">
        <v>14534</v>
      </c>
      <c r="B1395" s="694" t="s">
        <v>13597</v>
      </c>
      <c r="C1395" s="710" t="s">
        <v>14535</v>
      </c>
      <c r="D1395" s="694" t="s">
        <v>14536</v>
      </c>
      <c r="E1395" s="714" t="s">
        <v>7028</v>
      </c>
      <c r="F1395" s="697">
        <v>1199</v>
      </c>
      <c r="G1395" s="699"/>
      <c r="H1395" s="786"/>
      <c r="I1395" s="715" t="s">
        <v>11723</v>
      </c>
      <c r="K1395" s="197"/>
      <c r="L1395" s="197"/>
      <c r="M1395" s="197"/>
    </row>
    <row r="1396" spans="1:13" s="195" customFormat="1" ht="48" customHeight="1" x14ac:dyDescent="0.2">
      <c r="A1396" s="694" t="s">
        <v>14537</v>
      </c>
      <c r="B1396" s="694"/>
      <c r="C1396" s="710" t="s">
        <v>14538</v>
      </c>
      <c r="D1396" s="694" t="s">
        <v>14539</v>
      </c>
      <c r="E1396" s="714"/>
      <c r="F1396" s="697">
        <v>1197</v>
      </c>
      <c r="G1396" s="699"/>
      <c r="H1396" s="786"/>
      <c r="I1396" s="736"/>
      <c r="K1396" s="197"/>
      <c r="L1396" s="197"/>
      <c r="M1396" s="197"/>
    </row>
    <row r="1397" spans="1:13" s="195" customFormat="1" ht="48" customHeight="1" x14ac:dyDescent="0.2">
      <c r="A1397" s="694" t="s">
        <v>14540</v>
      </c>
      <c r="B1397" s="694" t="s">
        <v>13597</v>
      </c>
      <c r="C1397" s="710" t="s">
        <v>14541</v>
      </c>
      <c r="D1397" s="694" t="s">
        <v>14542</v>
      </c>
      <c r="E1397" s="714" t="s">
        <v>7028</v>
      </c>
      <c r="F1397" s="697">
        <v>1199</v>
      </c>
      <c r="G1397" s="699">
        <v>135918.64000000001</v>
      </c>
      <c r="H1397" s="786"/>
      <c r="I1397" s="715" t="s">
        <v>11723</v>
      </c>
      <c r="K1397" s="197"/>
      <c r="L1397" s="197"/>
      <c r="M1397" s="197"/>
    </row>
    <row r="1398" spans="1:13" s="195" customFormat="1" ht="48" customHeight="1" x14ac:dyDescent="0.2">
      <c r="A1398" s="694" t="s">
        <v>14543</v>
      </c>
      <c r="B1398" s="694" t="s">
        <v>13597</v>
      </c>
      <c r="C1398" s="710" t="s">
        <v>14544</v>
      </c>
      <c r="D1398" s="694" t="s">
        <v>14545</v>
      </c>
      <c r="E1398" s="714" t="s">
        <v>7028</v>
      </c>
      <c r="F1398" s="697">
        <v>1198</v>
      </c>
      <c r="G1398" s="699">
        <v>135805.28</v>
      </c>
      <c r="H1398" s="786"/>
      <c r="I1398" s="715" t="s">
        <v>11723</v>
      </c>
      <c r="K1398" s="197"/>
      <c r="L1398" s="197"/>
      <c r="M1398" s="197"/>
    </row>
    <row r="1399" spans="1:13" s="195" customFormat="1" ht="48" customHeight="1" x14ac:dyDescent="0.2">
      <c r="A1399" s="694" t="s">
        <v>14546</v>
      </c>
      <c r="B1399" s="694" t="s">
        <v>13597</v>
      </c>
      <c r="C1399" s="710" t="s">
        <v>14547</v>
      </c>
      <c r="D1399" s="694" t="s">
        <v>14548</v>
      </c>
      <c r="E1399" s="714" t="s">
        <v>7028</v>
      </c>
      <c r="F1399" s="697">
        <v>1199</v>
      </c>
      <c r="G1399" s="699">
        <v>135918.64000000001</v>
      </c>
      <c r="H1399" s="786"/>
      <c r="I1399" s="715" t="s">
        <v>11723</v>
      </c>
      <c r="K1399" s="197"/>
      <c r="L1399" s="197"/>
      <c r="M1399" s="197"/>
    </row>
    <row r="1400" spans="1:13" s="195" customFormat="1" ht="48" customHeight="1" x14ac:dyDescent="0.2">
      <c r="A1400" s="694" t="s">
        <v>14549</v>
      </c>
      <c r="B1400" s="694" t="s">
        <v>13597</v>
      </c>
      <c r="C1400" s="710" t="s">
        <v>14550</v>
      </c>
      <c r="D1400" s="694" t="s">
        <v>14551</v>
      </c>
      <c r="E1400" s="714" t="s">
        <v>7028</v>
      </c>
      <c r="F1400" s="738">
        <v>1200</v>
      </c>
      <c r="G1400" s="743">
        <v>136032</v>
      </c>
      <c r="H1400" s="786"/>
      <c r="I1400" s="715" t="s">
        <v>11723</v>
      </c>
      <c r="K1400" s="197"/>
      <c r="L1400" s="197"/>
      <c r="M1400" s="197"/>
    </row>
    <row r="1401" spans="1:13" s="195" customFormat="1" ht="48" customHeight="1" x14ac:dyDescent="0.2">
      <c r="A1401" s="694" t="s">
        <v>14552</v>
      </c>
      <c r="B1401" s="694" t="s">
        <v>13597</v>
      </c>
      <c r="C1401" s="710" t="s">
        <v>14553</v>
      </c>
      <c r="D1401" s="694" t="s">
        <v>14554</v>
      </c>
      <c r="E1401" s="714" t="s">
        <v>7028</v>
      </c>
      <c r="F1401" s="697">
        <v>1201</v>
      </c>
      <c r="G1401" s="699">
        <v>136145.35999999999</v>
      </c>
      <c r="H1401" s="786"/>
      <c r="I1401" s="715" t="s">
        <v>11723</v>
      </c>
      <c r="K1401" s="197"/>
      <c r="L1401" s="197"/>
      <c r="M1401" s="197"/>
    </row>
    <row r="1402" spans="1:13" s="195" customFormat="1" ht="48" customHeight="1" x14ac:dyDescent="0.2">
      <c r="A1402" s="694" t="s">
        <v>14555</v>
      </c>
      <c r="B1402" s="694" t="s">
        <v>13597</v>
      </c>
      <c r="C1402" s="710" t="s">
        <v>14556</v>
      </c>
      <c r="D1402" s="694" t="s">
        <v>14557</v>
      </c>
      <c r="E1402" s="714" t="s">
        <v>7028</v>
      </c>
      <c r="F1402" s="697">
        <v>1201</v>
      </c>
      <c r="G1402" s="699">
        <v>136145.35999999999</v>
      </c>
      <c r="H1402" s="786"/>
      <c r="I1402" s="715" t="s">
        <v>11723</v>
      </c>
      <c r="K1402" s="197"/>
      <c r="L1402" s="197"/>
      <c r="M1402" s="197"/>
    </row>
    <row r="1403" spans="1:13" s="195" customFormat="1" ht="48" customHeight="1" x14ac:dyDescent="0.2">
      <c r="A1403" s="694" t="s">
        <v>14565</v>
      </c>
      <c r="B1403" s="694" t="s">
        <v>13597</v>
      </c>
      <c r="C1403" s="710" t="s">
        <v>14566</v>
      </c>
      <c r="D1403" s="694" t="s">
        <v>14567</v>
      </c>
      <c r="E1403" s="714" t="s">
        <v>7028</v>
      </c>
      <c r="F1403" s="738">
        <v>1200</v>
      </c>
      <c r="G1403" s="743">
        <v>136032</v>
      </c>
      <c r="H1403" s="786"/>
      <c r="I1403" s="715" t="s">
        <v>11723</v>
      </c>
      <c r="K1403" s="197"/>
      <c r="L1403" s="197"/>
      <c r="M1403" s="197"/>
    </row>
    <row r="1404" spans="1:13" s="195" customFormat="1" ht="48" customHeight="1" x14ac:dyDescent="0.2">
      <c r="A1404" s="694" t="s">
        <v>14568</v>
      </c>
      <c r="B1404" s="694" t="s">
        <v>13597</v>
      </c>
      <c r="C1404" s="710" t="s">
        <v>14569</v>
      </c>
      <c r="D1404" s="694" t="s">
        <v>14570</v>
      </c>
      <c r="E1404" s="714" t="s">
        <v>7028</v>
      </c>
      <c r="F1404" s="738">
        <v>1200</v>
      </c>
      <c r="G1404" s="743">
        <v>136032</v>
      </c>
      <c r="H1404" s="786"/>
      <c r="I1404" s="715" t="s">
        <v>11723</v>
      </c>
      <c r="K1404" s="197"/>
      <c r="L1404" s="197"/>
      <c r="M1404" s="197"/>
    </row>
    <row r="1405" spans="1:13" s="195" customFormat="1" ht="48" customHeight="1" x14ac:dyDescent="0.2">
      <c r="A1405" s="694" t="s">
        <v>14571</v>
      </c>
      <c r="B1405" s="694" t="s">
        <v>13597</v>
      </c>
      <c r="C1405" s="710" t="s">
        <v>14572</v>
      </c>
      <c r="D1405" s="694" t="s">
        <v>14573</v>
      </c>
      <c r="E1405" s="714" t="s">
        <v>7028</v>
      </c>
      <c r="F1405" s="697">
        <v>1199</v>
      </c>
      <c r="G1405" s="699">
        <v>135918.64000000001</v>
      </c>
      <c r="H1405" s="786"/>
      <c r="I1405" s="715" t="s">
        <v>11723</v>
      </c>
      <c r="K1405" s="197"/>
      <c r="L1405" s="197"/>
      <c r="M1405" s="197"/>
    </row>
    <row r="1406" spans="1:13" s="195" customFormat="1" ht="48" customHeight="1" x14ac:dyDescent="0.2">
      <c r="A1406" s="694" t="s">
        <v>14574</v>
      </c>
      <c r="B1406" s="694" t="s">
        <v>13597</v>
      </c>
      <c r="C1406" s="710" t="s">
        <v>14575</v>
      </c>
      <c r="D1406" s="694" t="s">
        <v>14576</v>
      </c>
      <c r="E1406" s="714" t="s">
        <v>7028</v>
      </c>
      <c r="F1406" s="697">
        <v>1199</v>
      </c>
      <c r="G1406" s="699">
        <v>135918.64000000001</v>
      </c>
      <c r="H1406" s="786"/>
      <c r="I1406" s="715" t="s">
        <v>11723</v>
      </c>
      <c r="K1406" s="197"/>
      <c r="L1406" s="197"/>
      <c r="M1406" s="197"/>
    </row>
    <row r="1407" spans="1:13" s="195" customFormat="1" ht="48" customHeight="1" x14ac:dyDescent="0.2">
      <c r="A1407" s="694" t="s">
        <v>14577</v>
      </c>
      <c r="B1407" s="694" t="s">
        <v>13597</v>
      </c>
      <c r="C1407" s="710" t="s">
        <v>14578</v>
      </c>
      <c r="D1407" s="694" t="s">
        <v>14579</v>
      </c>
      <c r="E1407" s="714" t="s">
        <v>7028</v>
      </c>
      <c r="F1407" s="738">
        <v>1200</v>
      </c>
      <c r="G1407" s="743">
        <v>136032</v>
      </c>
      <c r="H1407" s="786"/>
      <c r="I1407" s="715" t="s">
        <v>11723</v>
      </c>
      <c r="K1407" s="197"/>
      <c r="L1407" s="197"/>
      <c r="M1407" s="197"/>
    </row>
    <row r="1408" spans="1:13" s="195" customFormat="1" ht="48" customHeight="1" x14ac:dyDescent="0.2">
      <c r="A1408" s="694" t="s">
        <v>14585</v>
      </c>
      <c r="B1408" s="694" t="s">
        <v>13597</v>
      </c>
      <c r="C1408" s="710" t="s">
        <v>14586</v>
      </c>
      <c r="D1408" s="694" t="s">
        <v>14587</v>
      </c>
      <c r="E1408" s="714" t="s">
        <v>7028</v>
      </c>
      <c r="F1408" s="738">
        <v>1200</v>
      </c>
      <c r="G1408" s="743">
        <v>136032</v>
      </c>
      <c r="H1408" s="786"/>
      <c r="I1408" s="715" t="s">
        <v>11723</v>
      </c>
      <c r="K1408" s="197"/>
      <c r="L1408" s="197"/>
      <c r="M1408" s="197"/>
    </row>
    <row r="1409" spans="1:13" s="195" customFormat="1" ht="48" customHeight="1" x14ac:dyDescent="0.2">
      <c r="A1409" s="694" t="s">
        <v>14588</v>
      </c>
      <c r="B1409" s="694" t="s">
        <v>13597</v>
      </c>
      <c r="C1409" s="710" t="s">
        <v>14589</v>
      </c>
      <c r="D1409" s="694" t="s">
        <v>14590</v>
      </c>
      <c r="E1409" s="714" t="s">
        <v>7028</v>
      </c>
      <c r="F1409" s="738">
        <v>1200</v>
      </c>
      <c r="G1409" s="743">
        <v>136032</v>
      </c>
      <c r="H1409" s="786"/>
      <c r="I1409" s="715" t="s">
        <v>11723</v>
      </c>
      <c r="K1409" s="197"/>
      <c r="L1409" s="197"/>
      <c r="M1409" s="197"/>
    </row>
    <row r="1410" spans="1:13" s="195" customFormat="1" ht="48" customHeight="1" x14ac:dyDescent="0.2">
      <c r="A1410" s="694" t="s">
        <v>14591</v>
      </c>
      <c r="B1410" s="694" t="s">
        <v>13597</v>
      </c>
      <c r="C1410" s="710" t="s">
        <v>14592</v>
      </c>
      <c r="D1410" s="694" t="s">
        <v>14593</v>
      </c>
      <c r="E1410" s="714" t="s">
        <v>7028</v>
      </c>
      <c r="F1410" s="738">
        <v>1200</v>
      </c>
      <c r="G1410" s="743">
        <v>136032</v>
      </c>
      <c r="H1410" s="786"/>
      <c r="I1410" s="715" t="s">
        <v>11723</v>
      </c>
      <c r="K1410" s="197"/>
      <c r="L1410" s="197"/>
      <c r="M1410" s="197"/>
    </row>
    <row r="1411" spans="1:13" s="195" customFormat="1" ht="48" customHeight="1" x14ac:dyDescent="0.2">
      <c r="A1411" s="694" t="s">
        <v>14594</v>
      </c>
      <c r="B1411" s="694" t="s">
        <v>13597</v>
      </c>
      <c r="C1411" s="710" t="s">
        <v>14595</v>
      </c>
      <c r="D1411" s="694" t="s">
        <v>14596</v>
      </c>
      <c r="E1411" s="714" t="s">
        <v>7028</v>
      </c>
      <c r="F1411" s="738">
        <v>1200</v>
      </c>
      <c r="G1411" s="743">
        <v>136032</v>
      </c>
      <c r="H1411" s="786"/>
      <c r="I1411" s="715" t="s">
        <v>11723</v>
      </c>
      <c r="K1411" s="197"/>
      <c r="L1411" s="197"/>
      <c r="M1411" s="197"/>
    </row>
    <row r="1412" spans="1:13" s="195" customFormat="1" ht="48" customHeight="1" x14ac:dyDescent="0.2">
      <c r="A1412" s="694" t="s">
        <v>14597</v>
      </c>
      <c r="B1412" s="694" t="s">
        <v>13597</v>
      </c>
      <c r="C1412" s="710" t="s">
        <v>14598</v>
      </c>
      <c r="D1412" s="694" t="s">
        <v>14599</v>
      </c>
      <c r="E1412" s="714" t="s">
        <v>7028</v>
      </c>
      <c r="F1412" s="697">
        <v>1202</v>
      </c>
      <c r="G1412" s="699">
        <v>136258.72</v>
      </c>
      <c r="H1412" s="786"/>
      <c r="I1412" s="715" t="s">
        <v>11723</v>
      </c>
      <c r="K1412" s="197"/>
      <c r="L1412" s="197"/>
      <c r="M1412" s="197"/>
    </row>
    <row r="1413" spans="1:13" s="195" customFormat="1" ht="48" customHeight="1" x14ac:dyDescent="0.2">
      <c r="A1413" s="694" t="s">
        <v>14600</v>
      </c>
      <c r="B1413" s="694" t="s">
        <v>13597</v>
      </c>
      <c r="C1413" s="710" t="s">
        <v>14601</v>
      </c>
      <c r="D1413" s="694" t="s">
        <v>14602</v>
      </c>
      <c r="E1413" s="714" t="s">
        <v>7028</v>
      </c>
      <c r="F1413" s="697">
        <v>1201</v>
      </c>
      <c r="G1413" s="699">
        <v>136145.35999999999</v>
      </c>
      <c r="H1413" s="786"/>
      <c r="I1413" s="715" t="s">
        <v>11723</v>
      </c>
      <c r="K1413" s="197"/>
      <c r="L1413" s="197"/>
      <c r="M1413" s="197"/>
    </row>
    <row r="1414" spans="1:13" s="195" customFormat="1" ht="48" customHeight="1" x14ac:dyDescent="0.2">
      <c r="A1414" s="694" t="s">
        <v>14603</v>
      </c>
      <c r="B1414" s="694" t="s">
        <v>13597</v>
      </c>
      <c r="C1414" s="710" t="s">
        <v>14604</v>
      </c>
      <c r="D1414" s="694" t="s">
        <v>14605</v>
      </c>
      <c r="E1414" s="714" t="s">
        <v>7028</v>
      </c>
      <c r="F1414" s="738">
        <v>1200</v>
      </c>
      <c r="G1414" s="743">
        <v>136032</v>
      </c>
      <c r="H1414" s="786"/>
      <c r="I1414" s="715" t="s">
        <v>11723</v>
      </c>
      <c r="K1414" s="197"/>
      <c r="L1414" s="197"/>
      <c r="M1414" s="197"/>
    </row>
    <row r="1415" spans="1:13" s="195" customFormat="1" ht="48" customHeight="1" x14ac:dyDescent="0.2">
      <c r="A1415" s="694" t="s">
        <v>14606</v>
      </c>
      <c r="B1415" s="694" t="s">
        <v>13597</v>
      </c>
      <c r="C1415" s="710" t="s">
        <v>14607</v>
      </c>
      <c r="D1415" s="694" t="s">
        <v>14608</v>
      </c>
      <c r="E1415" s="714" t="s">
        <v>7028</v>
      </c>
      <c r="F1415" s="697">
        <v>1199</v>
      </c>
      <c r="G1415" s="699">
        <v>135918.64000000001</v>
      </c>
      <c r="H1415" s="786"/>
      <c r="I1415" s="715" t="s">
        <v>11723</v>
      </c>
      <c r="K1415" s="197"/>
      <c r="L1415" s="197"/>
      <c r="M1415" s="197"/>
    </row>
    <row r="1416" spans="1:13" s="195" customFormat="1" ht="48" customHeight="1" x14ac:dyDescent="0.2">
      <c r="A1416" s="694" t="s">
        <v>14609</v>
      </c>
      <c r="B1416" s="694" t="s">
        <v>13597</v>
      </c>
      <c r="C1416" s="710" t="s">
        <v>14610</v>
      </c>
      <c r="D1416" s="694" t="s">
        <v>14611</v>
      </c>
      <c r="E1416" s="714" t="s">
        <v>7028</v>
      </c>
      <c r="F1416" s="697">
        <v>1199</v>
      </c>
      <c r="G1416" s="699">
        <v>135918.64000000001</v>
      </c>
      <c r="H1416" s="786"/>
      <c r="I1416" s="715" t="s">
        <v>11723</v>
      </c>
      <c r="K1416" s="197"/>
      <c r="L1416" s="197"/>
      <c r="M1416" s="197"/>
    </row>
    <row r="1417" spans="1:13" s="195" customFormat="1" ht="48" customHeight="1" x14ac:dyDescent="0.2">
      <c r="A1417" s="694" t="s">
        <v>14612</v>
      </c>
      <c r="B1417" s="694" t="s">
        <v>13597</v>
      </c>
      <c r="C1417" s="710" t="s">
        <v>14613</v>
      </c>
      <c r="D1417" s="694" t="s">
        <v>14614</v>
      </c>
      <c r="E1417" s="714" t="s">
        <v>7028</v>
      </c>
      <c r="F1417" s="738">
        <v>1200</v>
      </c>
      <c r="G1417" s="743">
        <v>136032</v>
      </c>
      <c r="H1417" s="786"/>
      <c r="I1417" s="715" t="s">
        <v>11723</v>
      </c>
      <c r="K1417" s="197"/>
      <c r="L1417" s="197"/>
      <c r="M1417" s="197"/>
    </row>
    <row r="1418" spans="1:13" s="195" customFormat="1" ht="48" customHeight="1" x14ac:dyDescent="0.2">
      <c r="A1418" s="694" t="s">
        <v>14615</v>
      </c>
      <c r="B1418" s="694" t="s">
        <v>13597</v>
      </c>
      <c r="C1418" s="710" t="s">
        <v>14616</v>
      </c>
      <c r="D1418" s="694" t="s">
        <v>14617</v>
      </c>
      <c r="E1418" s="714" t="s">
        <v>7028</v>
      </c>
      <c r="F1418" s="738">
        <v>1200</v>
      </c>
      <c r="G1418" s="743">
        <v>136032</v>
      </c>
      <c r="H1418" s="786"/>
      <c r="I1418" s="715" t="s">
        <v>11723</v>
      </c>
      <c r="K1418" s="197"/>
      <c r="L1418" s="197"/>
      <c r="M1418" s="197"/>
    </row>
    <row r="1419" spans="1:13" s="195" customFormat="1" ht="48" customHeight="1" x14ac:dyDescent="0.2">
      <c r="A1419" s="694" t="s">
        <v>14618</v>
      </c>
      <c r="B1419" s="694" t="s">
        <v>13597</v>
      </c>
      <c r="C1419" s="710" t="s">
        <v>14619</v>
      </c>
      <c r="D1419" s="694" t="s">
        <v>14620</v>
      </c>
      <c r="E1419" s="714" t="s">
        <v>7028</v>
      </c>
      <c r="F1419" s="697">
        <v>1199</v>
      </c>
      <c r="G1419" s="699">
        <v>135918.64000000001</v>
      </c>
      <c r="H1419" s="786"/>
      <c r="I1419" s="715" t="s">
        <v>11723</v>
      </c>
      <c r="K1419" s="197"/>
      <c r="L1419" s="197"/>
      <c r="M1419" s="197"/>
    </row>
    <row r="1420" spans="1:13" s="195" customFormat="1" ht="48" customHeight="1" x14ac:dyDescent="0.2">
      <c r="A1420" s="694" t="s">
        <v>14621</v>
      </c>
      <c r="B1420" s="694" t="s">
        <v>13597</v>
      </c>
      <c r="C1420" s="710" t="s">
        <v>14622</v>
      </c>
      <c r="D1420" s="694" t="s">
        <v>14623</v>
      </c>
      <c r="E1420" s="714" t="s">
        <v>7028</v>
      </c>
      <c r="F1420" s="738">
        <v>1200</v>
      </c>
      <c r="G1420" s="743">
        <v>136032</v>
      </c>
      <c r="H1420" s="786"/>
      <c r="I1420" s="715" t="s">
        <v>11723</v>
      </c>
      <c r="K1420" s="197"/>
      <c r="L1420" s="197"/>
      <c r="M1420" s="197"/>
    </row>
    <row r="1421" spans="1:13" s="195" customFormat="1" ht="48" customHeight="1" x14ac:dyDescent="0.2">
      <c r="A1421" s="694" t="s">
        <v>14624</v>
      </c>
      <c r="B1421" s="694" t="s">
        <v>13597</v>
      </c>
      <c r="C1421" s="710" t="s">
        <v>14625</v>
      </c>
      <c r="D1421" s="694" t="s">
        <v>14626</v>
      </c>
      <c r="E1421" s="714" t="s">
        <v>7028</v>
      </c>
      <c r="F1421" s="738">
        <v>1200</v>
      </c>
      <c r="G1421" s="743">
        <v>136032</v>
      </c>
      <c r="H1421" s="786"/>
      <c r="I1421" s="715" t="s">
        <v>11723</v>
      </c>
      <c r="K1421" s="197"/>
      <c r="L1421" s="197"/>
      <c r="M1421" s="197"/>
    </row>
    <row r="1422" spans="1:13" s="195" customFormat="1" ht="48" customHeight="1" x14ac:dyDescent="0.2">
      <c r="A1422" s="694" t="s">
        <v>14627</v>
      </c>
      <c r="B1422" s="694" t="s">
        <v>13597</v>
      </c>
      <c r="C1422" s="710" t="s">
        <v>14628</v>
      </c>
      <c r="D1422" s="694" t="s">
        <v>14629</v>
      </c>
      <c r="E1422" s="714" t="s">
        <v>7028</v>
      </c>
      <c r="F1422" s="738">
        <v>1200</v>
      </c>
      <c r="G1422" s="743">
        <v>136032</v>
      </c>
      <c r="H1422" s="786"/>
      <c r="I1422" s="715" t="s">
        <v>11723</v>
      </c>
      <c r="K1422" s="197"/>
      <c r="L1422" s="197"/>
      <c r="M1422" s="197"/>
    </row>
    <row r="1423" spans="1:13" s="195" customFormat="1" ht="48" customHeight="1" x14ac:dyDescent="0.2">
      <c r="A1423" s="694" t="s">
        <v>14630</v>
      </c>
      <c r="B1423" s="694" t="s">
        <v>13597</v>
      </c>
      <c r="C1423" s="710" t="s">
        <v>14631</v>
      </c>
      <c r="D1423" s="694" t="s">
        <v>14632</v>
      </c>
      <c r="E1423" s="714" t="s">
        <v>7028</v>
      </c>
      <c r="F1423" s="738">
        <v>1200</v>
      </c>
      <c r="G1423" s="743">
        <v>136032</v>
      </c>
      <c r="H1423" s="786"/>
      <c r="I1423" s="715" t="s">
        <v>11723</v>
      </c>
      <c r="K1423" s="197"/>
      <c r="L1423" s="197"/>
      <c r="M1423" s="197"/>
    </row>
    <row r="1424" spans="1:13" s="195" customFormat="1" ht="48" customHeight="1" x14ac:dyDescent="0.2">
      <c r="A1424" s="694" t="s">
        <v>14633</v>
      </c>
      <c r="B1424" s="694" t="s">
        <v>13315</v>
      </c>
      <c r="C1424" s="710" t="s">
        <v>14634</v>
      </c>
      <c r="D1424" s="694" t="s">
        <v>14635</v>
      </c>
      <c r="E1424" s="714" t="s">
        <v>7028</v>
      </c>
      <c r="F1424" s="697">
        <v>1201</v>
      </c>
      <c r="G1424" s="699">
        <v>136145.35999999999</v>
      </c>
      <c r="H1424" s="786"/>
      <c r="I1424" s="715" t="s">
        <v>11723</v>
      </c>
      <c r="K1424" s="197"/>
      <c r="L1424" s="197"/>
      <c r="M1424" s="197"/>
    </row>
    <row r="1425" spans="1:13" s="195" customFormat="1" ht="48" customHeight="1" x14ac:dyDescent="0.2">
      <c r="A1425" s="694" t="s">
        <v>14636</v>
      </c>
      <c r="B1425" s="694" t="s">
        <v>13315</v>
      </c>
      <c r="C1425" s="710" t="s">
        <v>14637</v>
      </c>
      <c r="D1425" s="694" t="s">
        <v>14638</v>
      </c>
      <c r="E1425" s="714" t="s">
        <v>7028</v>
      </c>
      <c r="F1425" s="697">
        <v>1201</v>
      </c>
      <c r="G1425" s="699">
        <v>136145.35999999999</v>
      </c>
      <c r="H1425" s="786"/>
      <c r="I1425" s="715" t="s">
        <v>11723</v>
      </c>
      <c r="K1425" s="197"/>
      <c r="L1425" s="197"/>
      <c r="M1425" s="197"/>
    </row>
    <row r="1426" spans="1:13" s="195" customFormat="1" ht="48" customHeight="1" x14ac:dyDescent="0.2">
      <c r="A1426" s="694" t="s">
        <v>14639</v>
      </c>
      <c r="B1426" s="694" t="s">
        <v>13597</v>
      </c>
      <c r="C1426" s="710" t="s">
        <v>14640</v>
      </c>
      <c r="D1426" s="694" t="s">
        <v>14641</v>
      </c>
      <c r="E1426" s="714" t="s">
        <v>7028</v>
      </c>
      <c r="F1426" s="738">
        <v>1200</v>
      </c>
      <c r="G1426" s="743">
        <v>136032</v>
      </c>
      <c r="H1426" s="786"/>
      <c r="I1426" s="715" t="s">
        <v>11723</v>
      </c>
      <c r="K1426" s="197"/>
      <c r="L1426" s="197"/>
      <c r="M1426" s="197"/>
    </row>
    <row r="1427" spans="1:13" s="195" customFormat="1" ht="48" customHeight="1" x14ac:dyDescent="0.2">
      <c r="A1427" s="694" t="s">
        <v>14642</v>
      </c>
      <c r="B1427" s="694" t="s">
        <v>13597</v>
      </c>
      <c r="C1427" s="710" t="s">
        <v>14643</v>
      </c>
      <c r="D1427" s="694" t="s">
        <v>14644</v>
      </c>
      <c r="E1427" s="714" t="s">
        <v>7028</v>
      </c>
      <c r="F1427" s="697">
        <v>1199</v>
      </c>
      <c r="G1427" s="699">
        <v>135918.64000000001</v>
      </c>
      <c r="H1427" s="786"/>
      <c r="I1427" s="715" t="s">
        <v>11723</v>
      </c>
      <c r="K1427" s="197"/>
      <c r="L1427" s="197"/>
      <c r="M1427" s="197"/>
    </row>
    <row r="1428" spans="1:13" s="195" customFormat="1" ht="37.5" customHeight="1" x14ac:dyDescent="0.2">
      <c r="A1428" s="694" t="s">
        <v>14664</v>
      </c>
      <c r="B1428" s="733" t="s">
        <v>14662</v>
      </c>
      <c r="C1428" s="733" t="s">
        <v>14094</v>
      </c>
      <c r="D1428" s="715" t="s">
        <v>14663</v>
      </c>
      <c r="E1428" s="734" t="s">
        <v>7028</v>
      </c>
      <c r="F1428" s="735">
        <v>1631</v>
      </c>
      <c r="G1428" s="736">
        <v>184890.16</v>
      </c>
      <c r="H1428" s="786"/>
      <c r="I1428" s="715"/>
      <c r="K1428" s="197"/>
      <c r="L1428" s="197"/>
      <c r="M1428" s="197"/>
    </row>
    <row r="1429" spans="1:13" s="195" customFormat="1" ht="48" customHeight="1" x14ac:dyDescent="0.2">
      <c r="A1429" s="694" t="s">
        <v>14665</v>
      </c>
      <c r="B1429" s="694" t="s">
        <v>13597</v>
      </c>
      <c r="C1429" s="795" t="s">
        <v>14666</v>
      </c>
      <c r="D1429" s="715" t="s">
        <v>14667</v>
      </c>
      <c r="E1429" s="734" t="s">
        <v>7028</v>
      </c>
      <c r="F1429" s="735">
        <v>1198</v>
      </c>
      <c r="G1429" s="736">
        <v>135805.28</v>
      </c>
      <c r="H1429" s="786"/>
      <c r="I1429" s="715" t="s">
        <v>11723</v>
      </c>
      <c r="K1429" s="197"/>
      <c r="L1429" s="197"/>
      <c r="M1429" s="197"/>
    </row>
    <row r="1430" spans="1:13" s="195" customFormat="1" ht="48" customHeight="1" x14ac:dyDescent="0.2">
      <c r="A1430" s="694" t="s">
        <v>14668</v>
      </c>
      <c r="B1430" s="694" t="s">
        <v>13597</v>
      </c>
      <c r="C1430" s="795" t="s">
        <v>14669</v>
      </c>
      <c r="D1430" s="715" t="s">
        <v>14670</v>
      </c>
      <c r="E1430" s="734" t="s">
        <v>7028</v>
      </c>
      <c r="F1430" s="738">
        <v>1200</v>
      </c>
      <c r="G1430" s="743">
        <v>136032</v>
      </c>
      <c r="H1430" s="786"/>
      <c r="I1430" s="715" t="s">
        <v>11723</v>
      </c>
      <c r="K1430" s="197"/>
      <c r="L1430" s="197"/>
      <c r="M1430" s="197"/>
    </row>
    <row r="1431" spans="1:13" s="195" customFormat="1" ht="48" customHeight="1" x14ac:dyDescent="0.2">
      <c r="A1431" s="694" t="s">
        <v>14671</v>
      </c>
      <c r="B1431" s="694" t="s">
        <v>13597</v>
      </c>
      <c r="C1431" s="795" t="s">
        <v>14672</v>
      </c>
      <c r="D1431" s="715" t="s">
        <v>14673</v>
      </c>
      <c r="E1431" s="734" t="s">
        <v>7028</v>
      </c>
      <c r="F1431" s="735">
        <v>1199</v>
      </c>
      <c r="G1431" s="736">
        <v>135918.64000000001</v>
      </c>
      <c r="H1431" s="786"/>
      <c r="I1431" s="715" t="s">
        <v>11723</v>
      </c>
      <c r="K1431" s="197"/>
      <c r="L1431" s="197"/>
      <c r="M1431" s="197"/>
    </row>
    <row r="1432" spans="1:13" s="195" customFormat="1" ht="48" customHeight="1" x14ac:dyDescent="0.2">
      <c r="A1432" s="694" t="s">
        <v>14674</v>
      </c>
      <c r="B1432" s="733" t="s">
        <v>14662</v>
      </c>
      <c r="C1432" s="795" t="s">
        <v>14675</v>
      </c>
      <c r="D1432" s="715" t="s">
        <v>14676</v>
      </c>
      <c r="E1432" s="734" t="s">
        <v>7028</v>
      </c>
      <c r="F1432" s="738">
        <v>1200</v>
      </c>
      <c r="G1432" s="743">
        <v>136032</v>
      </c>
      <c r="H1432" s="786"/>
      <c r="I1432" s="715" t="s">
        <v>11723</v>
      </c>
      <c r="K1432" s="197"/>
      <c r="L1432" s="197"/>
      <c r="M1432" s="197"/>
    </row>
    <row r="1433" spans="1:13" s="195" customFormat="1" ht="48" customHeight="1" x14ac:dyDescent="0.2">
      <c r="A1433" s="694" t="s">
        <v>14677</v>
      </c>
      <c r="B1433" s="694" t="s">
        <v>13597</v>
      </c>
      <c r="C1433" s="795" t="s">
        <v>14678</v>
      </c>
      <c r="D1433" s="715" t="s">
        <v>14679</v>
      </c>
      <c r="E1433" s="734" t="s">
        <v>7028</v>
      </c>
      <c r="F1433" s="735">
        <v>1201</v>
      </c>
      <c r="G1433" s="736">
        <v>136145.35999999999</v>
      </c>
      <c r="H1433" s="786"/>
      <c r="I1433" s="715" t="s">
        <v>11723</v>
      </c>
      <c r="K1433" s="197"/>
      <c r="L1433" s="197"/>
      <c r="M1433" s="197"/>
    </row>
    <row r="1434" spans="1:13" s="195" customFormat="1" ht="48" customHeight="1" x14ac:dyDescent="0.2">
      <c r="A1434" s="694" t="s">
        <v>14680</v>
      </c>
      <c r="B1434" s="733" t="s">
        <v>14662</v>
      </c>
      <c r="C1434" s="795" t="s">
        <v>14681</v>
      </c>
      <c r="D1434" s="715" t="s">
        <v>14682</v>
      </c>
      <c r="E1434" s="734" t="s">
        <v>7028</v>
      </c>
      <c r="F1434" s="735">
        <v>1150</v>
      </c>
      <c r="G1434" s="736">
        <v>130364</v>
      </c>
      <c r="H1434" s="786"/>
      <c r="I1434" s="715" t="s">
        <v>11723</v>
      </c>
      <c r="K1434" s="197"/>
      <c r="L1434" s="197"/>
      <c r="M1434" s="197"/>
    </row>
    <row r="1435" spans="1:13" s="195" customFormat="1" ht="48" customHeight="1" x14ac:dyDescent="0.2">
      <c r="A1435" s="715" t="s">
        <v>14719</v>
      </c>
      <c r="B1435" s="715" t="s">
        <v>13597</v>
      </c>
      <c r="C1435" s="815" t="s">
        <v>14720</v>
      </c>
      <c r="D1435" s="715" t="s">
        <v>14721</v>
      </c>
      <c r="E1435" s="801" t="s">
        <v>7028</v>
      </c>
      <c r="F1435" s="816">
        <v>1200</v>
      </c>
      <c r="G1435" s="817">
        <v>136032</v>
      </c>
      <c r="H1435" s="786"/>
      <c r="I1435" s="715" t="s">
        <v>11723</v>
      </c>
      <c r="K1435" s="197"/>
      <c r="L1435" s="197"/>
      <c r="M1435" s="197"/>
    </row>
    <row r="1436" spans="1:13" s="195" customFormat="1" ht="48" customHeight="1" x14ac:dyDescent="0.2">
      <c r="A1436" s="715" t="s">
        <v>14722</v>
      </c>
      <c r="B1436" s="715" t="s">
        <v>13597</v>
      </c>
      <c r="C1436" s="815" t="s">
        <v>14723</v>
      </c>
      <c r="D1436" s="715" t="s">
        <v>14724</v>
      </c>
      <c r="E1436" s="801" t="s">
        <v>7028</v>
      </c>
      <c r="F1436" s="802">
        <v>1201</v>
      </c>
      <c r="G1436" s="799">
        <v>136145.35999999999</v>
      </c>
      <c r="H1436" s="786"/>
      <c r="I1436" s="715" t="s">
        <v>11723</v>
      </c>
      <c r="K1436" s="197"/>
      <c r="L1436" s="197"/>
      <c r="M1436" s="197"/>
    </row>
    <row r="1437" spans="1:13" s="195" customFormat="1" ht="48" customHeight="1" x14ac:dyDescent="0.2">
      <c r="A1437" s="715" t="s">
        <v>14725</v>
      </c>
      <c r="B1437" s="715" t="s">
        <v>13597</v>
      </c>
      <c r="C1437" s="815" t="s">
        <v>14726</v>
      </c>
      <c r="D1437" s="715" t="s">
        <v>14727</v>
      </c>
      <c r="E1437" s="801" t="s">
        <v>7028</v>
      </c>
      <c r="F1437" s="802">
        <v>1199</v>
      </c>
      <c r="G1437" s="799">
        <v>135918.64000000001</v>
      </c>
      <c r="H1437" s="786"/>
      <c r="I1437" s="715" t="s">
        <v>11723</v>
      </c>
      <c r="K1437" s="197"/>
      <c r="L1437" s="197"/>
      <c r="M1437" s="197"/>
    </row>
    <row r="1438" spans="1:13" s="195" customFormat="1" ht="48" customHeight="1" x14ac:dyDescent="0.2">
      <c r="A1438" s="715" t="s">
        <v>14728</v>
      </c>
      <c r="B1438" s="715" t="s">
        <v>13597</v>
      </c>
      <c r="C1438" s="815" t="s">
        <v>14729</v>
      </c>
      <c r="D1438" s="715" t="s">
        <v>14730</v>
      </c>
      <c r="E1438" s="801" t="s">
        <v>7028</v>
      </c>
      <c r="F1438" s="816">
        <v>1200</v>
      </c>
      <c r="G1438" s="817">
        <v>136032</v>
      </c>
      <c r="H1438" s="786"/>
      <c r="I1438" s="715" t="s">
        <v>11723</v>
      </c>
      <c r="K1438" s="197"/>
      <c r="L1438" s="197"/>
      <c r="M1438" s="197"/>
    </row>
    <row r="1439" spans="1:13" s="195" customFormat="1" ht="48" customHeight="1" x14ac:dyDescent="0.2">
      <c r="A1439" s="715" t="s">
        <v>14731</v>
      </c>
      <c r="B1439" s="715" t="s">
        <v>13597</v>
      </c>
      <c r="C1439" s="815" t="s">
        <v>14732</v>
      </c>
      <c r="D1439" s="715" t="s">
        <v>14733</v>
      </c>
      <c r="E1439" s="801" t="s">
        <v>7028</v>
      </c>
      <c r="F1439" s="802">
        <v>1201</v>
      </c>
      <c r="G1439" s="799">
        <v>136145.35999999999</v>
      </c>
      <c r="H1439" s="786"/>
      <c r="I1439" s="715" t="s">
        <v>11723</v>
      </c>
      <c r="K1439" s="197"/>
      <c r="L1439" s="197"/>
      <c r="M1439" s="197"/>
    </row>
    <row r="1440" spans="1:13" s="195" customFormat="1" ht="48" customHeight="1" x14ac:dyDescent="0.2">
      <c r="A1440" s="715" t="s">
        <v>14734</v>
      </c>
      <c r="B1440" s="715" t="s">
        <v>13597</v>
      </c>
      <c r="C1440" s="815" t="s">
        <v>14735</v>
      </c>
      <c r="D1440" s="715" t="s">
        <v>14736</v>
      </c>
      <c r="E1440" s="801" t="s">
        <v>7028</v>
      </c>
      <c r="F1440" s="802">
        <v>1198</v>
      </c>
      <c r="G1440" s="799">
        <v>135805.28</v>
      </c>
      <c r="H1440" s="786"/>
      <c r="I1440" s="715" t="s">
        <v>11723</v>
      </c>
      <c r="K1440" s="197"/>
      <c r="L1440" s="197"/>
      <c r="M1440" s="197"/>
    </row>
    <row r="1441" spans="1:13" s="195" customFormat="1" ht="48" customHeight="1" x14ac:dyDescent="0.2">
      <c r="A1441" s="715" t="s">
        <v>14737</v>
      </c>
      <c r="B1441" s="715" t="s">
        <v>13597</v>
      </c>
      <c r="C1441" s="815" t="s">
        <v>14738</v>
      </c>
      <c r="D1441" s="715" t="s">
        <v>14739</v>
      </c>
      <c r="E1441" s="801" t="s">
        <v>7028</v>
      </c>
      <c r="F1441" s="802">
        <v>1201</v>
      </c>
      <c r="G1441" s="799">
        <v>136145.35999999999</v>
      </c>
      <c r="H1441" s="786"/>
      <c r="I1441" s="715" t="s">
        <v>11723</v>
      </c>
      <c r="K1441" s="197"/>
      <c r="L1441" s="197"/>
      <c r="M1441" s="197"/>
    </row>
    <row r="1442" spans="1:13" s="195" customFormat="1" ht="48" customHeight="1" x14ac:dyDescent="0.2">
      <c r="A1442" s="715" t="s">
        <v>14746</v>
      </c>
      <c r="B1442" s="800" t="s">
        <v>14662</v>
      </c>
      <c r="C1442" s="815" t="s">
        <v>14747</v>
      </c>
      <c r="D1442" s="715" t="s">
        <v>14748</v>
      </c>
      <c r="E1442" s="801" t="s">
        <v>7028</v>
      </c>
      <c r="F1442" s="816">
        <v>1200</v>
      </c>
      <c r="G1442" s="817">
        <v>136032</v>
      </c>
      <c r="H1442" s="786"/>
      <c r="I1442" s="715" t="s">
        <v>11723</v>
      </c>
      <c r="K1442" s="197"/>
      <c r="L1442" s="197"/>
      <c r="M1442" s="197"/>
    </row>
    <row r="1443" spans="1:13" s="195" customFormat="1" ht="48" customHeight="1" x14ac:dyDescent="0.2">
      <c r="A1443" s="715" t="s">
        <v>14749</v>
      </c>
      <c r="B1443" s="800" t="s">
        <v>14662</v>
      </c>
      <c r="C1443" s="815" t="s">
        <v>14750</v>
      </c>
      <c r="D1443" s="715" t="s">
        <v>14751</v>
      </c>
      <c r="E1443" s="801" t="s">
        <v>7028</v>
      </c>
      <c r="F1443" s="816">
        <v>1200</v>
      </c>
      <c r="G1443" s="817">
        <v>136032</v>
      </c>
      <c r="H1443" s="786"/>
      <c r="I1443" s="715" t="s">
        <v>11723</v>
      </c>
      <c r="K1443" s="197"/>
      <c r="L1443" s="197"/>
      <c r="M1443" s="197"/>
    </row>
    <row r="1444" spans="1:13" s="195" customFormat="1" ht="48" customHeight="1" x14ac:dyDescent="0.2">
      <c r="A1444" s="715" t="s">
        <v>14752</v>
      </c>
      <c r="B1444" s="800" t="s">
        <v>13597</v>
      </c>
      <c r="C1444" s="815" t="s">
        <v>14753</v>
      </c>
      <c r="D1444" s="715" t="s">
        <v>14754</v>
      </c>
      <c r="E1444" s="801" t="s">
        <v>7028</v>
      </c>
      <c r="F1444" s="816">
        <v>1200</v>
      </c>
      <c r="G1444" s="817">
        <v>136032</v>
      </c>
      <c r="H1444" s="786"/>
      <c r="I1444" s="715" t="s">
        <v>11723</v>
      </c>
      <c r="K1444" s="197"/>
      <c r="L1444" s="197"/>
      <c r="M1444" s="197"/>
    </row>
    <row r="1445" spans="1:13" s="195" customFormat="1" ht="48" customHeight="1" x14ac:dyDescent="0.2">
      <c r="A1445" s="715" t="s">
        <v>14755</v>
      </c>
      <c r="B1445" s="800" t="s">
        <v>13597</v>
      </c>
      <c r="C1445" s="815" t="s">
        <v>14756</v>
      </c>
      <c r="D1445" s="715" t="s">
        <v>14757</v>
      </c>
      <c r="E1445" s="801" t="s">
        <v>7028</v>
      </c>
      <c r="F1445" s="802">
        <v>1201</v>
      </c>
      <c r="G1445" s="799">
        <v>136145.35999999999</v>
      </c>
      <c r="H1445" s="786"/>
      <c r="I1445" s="715" t="s">
        <v>11723</v>
      </c>
      <c r="K1445" s="197"/>
      <c r="L1445" s="197"/>
      <c r="M1445" s="197"/>
    </row>
    <row r="1446" spans="1:13" s="195" customFormat="1" ht="48" customHeight="1" x14ac:dyDescent="0.2">
      <c r="A1446" s="715" t="s">
        <v>14758</v>
      </c>
      <c r="B1446" s="800" t="s">
        <v>13597</v>
      </c>
      <c r="C1446" s="815" t="s">
        <v>14759</v>
      </c>
      <c r="D1446" s="715" t="s">
        <v>14760</v>
      </c>
      <c r="E1446" s="801" t="s">
        <v>7028</v>
      </c>
      <c r="F1446" s="802">
        <v>1201</v>
      </c>
      <c r="G1446" s="799">
        <v>136145.35999999999</v>
      </c>
      <c r="H1446" s="786"/>
      <c r="I1446" s="715" t="s">
        <v>11723</v>
      </c>
      <c r="K1446" s="197"/>
      <c r="L1446" s="197"/>
      <c r="M1446" s="197"/>
    </row>
    <row r="1447" spans="1:13" s="195" customFormat="1" ht="48" customHeight="1" x14ac:dyDescent="0.2">
      <c r="A1447" s="715" t="s">
        <v>14761</v>
      </c>
      <c r="B1447" s="800" t="s">
        <v>13597</v>
      </c>
      <c r="C1447" s="815" t="s">
        <v>14762</v>
      </c>
      <c r="D1447" s="715" t="s">
        <v>14763</v>
      </c>
      <c r="E1447" s="801" t="s">
        <v>7028</v>
      </c>
      <c r="F1447" s="802">
        <v>1199</v>
      </c>
      <c r="G1447" s="799">
        <v>135918.64000000001</v>
      </c>
      <c r="H1447" s="786"/>
      <c r="I1447" s="715" t="s">
        <v>11723</v>
      </c>
      <c r="K1447" s="197"/>
      <c r="L1447" s="197"/>
      <c r="M1447" s="197"/>
    </row>
    <row r="1448" spans="1:13" s="195" customFormat="1" ht="48" customHeight="1" x14ac:dyDescent="0.2">
      <c r="A1448" s="715" t="s">
        <v>14764</v>
      </c>
      <c r="B1448" s="800" t="s">
        <v>13597</v>
      </c>
      <c r="C1448" s="815" t="s">
        <v>14765</v>
      </c>
      <c r="D1448" s="715" t="s">
        <v>14766</v>
      </c>
      <c r="E1448" s="801" t="s">
        <v>7028</v>
      </c>
      <c r="F1448" s="816">
        <v>1200</v>
      </c>
      <c r="G1448" s="817">
        <v>136032</v>
      </c>
      <c r="H1448" s="786"/>
      <c r="I1448" s="715" t="s">
        <v>11723</v>
      </c>
      <c r="K1448" s="197"/>
      <c r="L1448" s="197"/>
      <c r="M1448" s="197"/>
    </row>
    <row r="1449" spans="1:13" s="195" customFormat="1" ht="48" customHeight="1" x14ac:dyDescent="0.2">
      <c r="A1449" s="715" t="s">
        <v>14767</v>
      </c>
      <c r="B1449" s="800" t="s">
        <v>13597</v>
      </c>
      <c r="C1449" s="815" t="s">
        <v>14768</v>
      </c>
      <c r="D1449" s="715" t="s">
        <v>14769</v>
      </c>
      <c r="E1449" s="801" t="s">
        <v>7028</v>
      </c>
      <c r="F1449" s="816">
        <v>1200</v>
      </c>
      <c r="G1449" s="817">
        <v>136032</v>
      </c>
      <c r="H1449" s="786"/>
      <c r="I1449" s="715" t="s">
        <v>11723</v>
      </c>
      <c r="K1449" s="197"/>
      <c r="L1449" s="197"/>
      <c r="M1449" s="197"/>
    </row>
    <row r="1450" spans="1:13" s="195" customFormat="1" ht="48" customHeight="1" x14ac:dyDescent="0.2">
      <c r="A1450" s="715" t="s">
        <v>14770</v>
      </c>
      <c r="B1450" s="800" t="s">
        <v>13597</v>
      </c>
      <c r="C1450" s="815" t="s">
        <v>14771</v>
      </c>
      <c r="D1450" s="797" t="s">
        <v>14772</v>
      </c>
      <c r="E1450" s="801" t="s">
        <v>7028</v>
      </c>
      <c r="F1450" s="816">
        <v>1200</v>
      </c>
      <c r="G1450" s="817">
        <v>136032</v>
      </c>
      <c r="H1450" s="786"/>
      <c r="I1450" s="715"/>
      <c r="K1450" s="197"/>
      <c r="L1450" s="197"/>
      <c r="M1450" s="197"/>
    </row>
    <row r="1451" spans="1:13" s="195" customFormat="1" ht="48" customHeight="1" x14ac:dyDescent="0.2">
      <c r="A1451" s="715" t="s">
        <v>14773</v>
      </c>
      <c r="B1451" s="800" t="s">
        <v>13597</v>
      </c>
      <c r="C1451" s="815" t="s">
        <v>14774</v>
      </c>
      <c r="D1451" s="797" t="s">
        <v>14775</v>
      </c>
      <c r="E1451" s="822" t="s">
        <v>7028</v>
      </c>
      <c r="F1451" s="823">
        <v>1200</v>
      </c>
      <c r="G1451" s="810">
        <v>136032</v>
      </c>
      <c r="H1451" s="786"/>
      <c r="I1451" s="715"/>
      <c r="K1451" s="197"/>
      <c r="L1451" s="197"/>
      <c r="M1451" s="197"/>
    </row>
    <row r="1452" spans="1:13" s="195" customFormat="1" ht="58.5" customHeight="1" x14ac:dyDescent="0.2">
      <c r="A1452" s="12" t="s">
        <v>14195</v>
      </c>
      <c r="B1452" s="12" t="s">
        <v>4248</v>
      </c>
      <c r="C1452" s="752" t="s">
        <v>2818</v>
      </c>
      <c r="D1452" s="12" t="s">
        <v>14196</v>
      </c>
      <c r="E1452" s="12" t="s">
        <v>7027</v>
      </c>
      <c r="F1452" s="785">
        <v>2267289</v>
      </c>
      <c r="G1452" s="810">
        <v>220312472.13</v>
      </c>
      <c r="H1452" s="785"/>
      <c r="I1452" s="57"/>
      <c r="K1452" s="197"/>
      <c r="L1452" s="197"/>
      <c r="M1452" s="197"/>
    </row>
    <row r="1453" spans="1:13" s="195" customFormat="1" ht="48.75" customHeight="1" x14ac:dyDescent="0.2">
      <c r="A1453" s="12" t="s">
        <v>9151</v>
      </c>
      <c r="B1453" s="12" t="s">
        <v>8376</v>
      </c>
      <c r="C1453" s="669" t="s">
        <v>9235</v>
      </c>
      <c r="D1453" s="8" t="s">
        <v>9236</v>
      </c>
      <c r="E1453" s="8" t="s">
        <v>7027</v>
      </c>
      <c r="F1453" s="22">
        <v>1500</v>
      </c>
      <c r="G1453" s="58">
        <v>145755</v>
      </c>
      <c r="H1453" s="8"/>
      <c r="I1453" s="8" t="s">
        <v>11723</v>
      </c>
      <c r="K1453" s="197"/>
      <c r="L1453" s="197"/>
      <c r="M1453" s="197"/>
    </row>
    <row r="1454" spans="1:13" s="195" customFormat="1" ht="48.75" customHeight="1" x14ac:dyDescent="0.2">
      <c r="A1454" s="12" t="s">
        <v>9152</v>
      </c>
      <c r="B1454" s="12" t="s">
        <v>8376</v>
      </c>
      <c r="C1454" s="669" t="s">
        <v>9237</v>
      </c>
      <c r="D1454" s="8" t="s">
        <v>9240</v>
      </c>
      <c r="E1454" s="8" t="s">
        <v>7027</v>
      </c>
      <c r="F1454" s="22">
        <v>1500</v>
      </c>
      <c r="G1454" s="58">
        <v>145755</v>
      </c>
      <c r="H1454" s="8"/>
      <c r="I1454" s="8" t="s">
        <v>11723</v>
      </c>
    </row>
    <row r="1455" spans="1:13" s="195" customFormat="1" ht="48.75" customHeight="1" x14ac:dyDescent="0.2">
      <c r="A1455" s="12" t="s">
        <v>9153</v>
      </c>
      <c r="B1455" s="12" t="s">
        <v>8376</v>
      </c>
      <c r="C1455" s="669" t="s">
        <v>9238</v>
      </c>
      <c r="D1455" s="8" t="s">
        <v>9241</v>
      </c>
      <c r="E1455" s="8" t="s">
        <v>7027</v>
      </c>
      <c r="F1455" s="22">
        <v>1500</v>
      </c>
      <c r="G1455" s="58">
        <v>145755</v>
      </c>
      <c r="H1455" s="8"/>
      <c r="I1455" s="8" t="s">
        <v>11723</v>
      </c>
    </row>
    <row r="1456" spans="1:13" s="195" customFormat="1" ht="47.25" customHeight="1" x14ac:dyDescent="0.2">
      <c r="A1456" s="12" t="s">
        <v>9154</v>
      </c>
      <c r="B1456" s="12" t="s">
        <v>8376</v>
      </c>
      <c r="C1456" s="669" t="s">
        <v>9242</v>
      </c>
      <c r="D1456" s="8" t="s">
        <v>9239</v>
      </c>
      <c r="E1456" s="8" t="s">
        <v>7027</v>
      </c>
      <c r="F1456" s="22">
        <v>1500</v>
      </c>
      <c r="G1456" s="58">
        <v>145755</v>
      </c>
      <c r="H1456" s="8"/>
      <c r="I1456" s="8" t="s">
        <v>11723</v>
      </c>
    </row>
    <row r="1457" spans="1:15" s="195" customFormat="1" ht="48.75" customHeight="1" x14ac:dyDescent="0.2">
      <c r="A1457" s="12" t="s">
        <v>9155</v>
      </c>
      <c r="B1457" s="12" t="s">
        <v>8376</v>
      </c>
      <c r="C1457" s="669" t="s">
        <v>9243</v>
      </c>
      <c r="D1457" s="8" t="s">
        <v>9244</v>
      </c>
      <c r="E1457" s="8" t="s">
        <v>7027</v>
      </c>
      <c r="F1457" s="22">
        <v>1500</v>
      </c>
      <c r="G1457" s="58">
        <v>145755</v>
      </c>
      <c r="H1457" s="8"/>
      <c r="I1457" s="8" t="s">
        <v>11723</v>
      </c>
    </row>
    <row r="1458" spans="1:15" s="195" customFormat="1" ht="48.75" customHeight="1" x14ac:dyDescent="0.2">
      <c r="A1458" s="12" t="s">
        <v>12180</v>
      </c>
      <c r="B1458" s="12" t="s">
        <v>9443</v>
      </c>
      <c r="C1458" s="418" t="s">
        <v>12181</v>
      </c>
      <c r="D1458" s="8" t="s">
        <v>12182</v>
      </c>
      <c r="E1458" s="8" t="s">
        <v>7028</v>
      </c>
      <c r="F1458" s="22">
        <v>6</v>
      </c>
      <c r="G1458" s="58"/>
      <c r="H1458" s="8"/>
      <c r="I1458" s="8" t="s">
        <v>11724</v>
      </c>
    </row>
    <row r="1459" spans="1:15" s="195" customFormat="1" ht="48.75" customHeight="1" x14ac:dyDescent="0.2">
      <c r="A1459" s="12" t="s">
        <v>12183</v>
      </c>
      <c r="B1459" s="12" t="s">
        <v>9443</v>
      </c>
      <c r="C1459" s="418" t="s">
        <v>12184</v>
      </c>
      <c r="D1459" s="8" t="s">
        <v>12185</v>
      </c>
      <c r="E1459" s="8" t="s">
        <v>7028</v>
      </c>
      <c r="F1459" s="22">
        <v>2</v>
      </c>
      <c r="G1459" s="58"/>
      <c r="H1459" s="8"/>
      <c r="I1459" s="8" t="s">
        <v>11724</v>
      </c>
    </row>
    <row r="1460" spans="1:15" ht="38.25" customHeight="1" x14ac:dyDescent="0.2">
      <c r="A1460" s="12" t="s">
        <v>2814</v>
      </c>
      <c r="B1460" s="12" t="s">
        <v>4250</v>
      </c>
      <c r="C1460" s="669" t="s">
        <v>2818</v>
      </c>
      <c r="D1460" s="8" t="s">
        <v>2820</v>
      </c>
      <c r="E1460" s="8" t="s">
        <v>7027</v>
      </c>
      <c r="F1460" s="22">
        <v>2177755</v>
      </c>
      <c r="G1460" s="58">
        <v>331280090.60000002</v>
      </c>
      <c r="H1460" s="8"/>
      <c r="I1460" s="8" t="s">
        <v>11724</v>
      </c>
    </row>
    <row r="1461" spans="1:15" s="272" customFormat="1" ht="36" customHeight="1" x14ac:dyDescent="0.2">
      <c r="A1461" s="12" t="s">
        <v>2815</v>
      </c>
      <c r="B1461" s="12" t="s">
        <v>4248</v>
      </c>
      <c r="C1461" s="669" t="s">
        <v>2818</v>
      </c>
      <c r="D1461" s="8" t="s">
        <v>2821</v>
      </c>
      <c r="E1461" s="8" t="s">
        <v>7027</v>
      </c>
      <c r="F1461" s="22">
        <f>7320888-1000</f>
        <v>7319888</v>
      </c>
      <c r="G1461" s="58">
        <f>856251060.48-116960</f>
        <v>856134100.48000002</v>
      </c>
      <c r="H1461" s="8"/>
      <c r="I1461" s="8" t="s">
        <v>11724</v>
      </c>
    </row>
    <row r="1462" spans="1:15" s="272" customFormat="1" ht="33" customHeight="1" x14ac:dyDescent="0.2">
      <c r="A1462" s="12" t="s">
        <v>11413</v>
      </c>
      <c r="B1462" s="12" t="s">
        <v>11415</v>
      </c>
      <c r="C1462" s="669" t="s">
        <v>11416</v>
      </c>
      <c r="D1462" s="8" t="s">
        <v>11414</v>
      </c>
      <c r="E1462" s="8" t="s">
        <v>7027</v>
      </c>
      <c r="F1462" s="22">
        <v>1000</v>
      </c>
      <c r="G1462" s="58">
        <v>116960</v>
      </c>
      <c r="H1462" s="8"/>
      <c r="I1462" s="8" t="s">
        <v>11724</v>
      </c>
    </row>
    <row r="1463" spans="1:15" ht="35.25" customHeight="1" x14ac:dyDescent="0.2">
      <c r="A1463" s="12" t="s">
        <v>2816</v>
      </c>
      <c r="B1463" s="12" t="s">
        <v>4248</v>
      </c>
      <c r="C1463" s="669" t="s">
        <v>2818</v>
      </c>
      <c r="D1463" s="8" t="s">
        <v>2822</v>
      </c>
      <c r="E1463" s="8" t="s">
        <v>7027</v>
      </c>
      <c r="F1463" s="22">
        <f>11320209-135085</f>
        <v>11185124</v>
      </c>
      <c r="G1463" s="58">
        <v>657930547.08000004</v>
      </c>
      <c r="H1463" s="8"/>
      <c r="I1463" s="8" t="s">
        <v>11724</v>
      </c>
    </row>
    <row r="1464" spans="1:15" ht="35.25" customHeight="1" x14ac:dyDescent="0.2">
      <c r="A1464" s="12" t="s">
        <v>2817</v>
      </c>
      <c r="B1464" s="12" t="s">
        <v>4248</v>
      </c>
      <c r="C1464" s="669" t="s">
        <v>2818</v>
      </c>
      <c r="D1464" s="8" t="s">
        <v>2823</v>
      </c>
      <c r="E1464" s="8" t="s">
        <v>7027</v>
      </c>
      <c r="F1464" s="22">
        <v>7024031</v>
      </c>
      <c r="G1464" s="58">
        <v>821530665.75999999</v>
      </c>
      <c r="H1464" s="8"/>
      <c r="I1464" s="8" t="s">
        <v>11724</v>
      </c>
    </row>
    <row r="1465" spans="1:15" ht="69.75" customHeight="1" x14ac:dyDescent="0.2">
      <c r="A1465" s="12" t="s">
        <v>2824</v>
      </c>
      <c r="B1465" s="12" t="s">
        <v>6983</v>
      </c>
      <c r="C1465" s="658" t="s">
        <v>25</v>
      </c>
      <c r="D1465" s="8" t="s">
        <v>6705</v>
      </c>
      <c r="E1465" s="8" t="s">
        <v>7026</v>
      </c>
      <c r="F1465" s="58">
        <v>72937.600000000006</v>
      </c>
      <c r="G1465" s="65">
        <v>113433284.90000001</v>
      </c>
      <c r="H1465" s="161" t="s">
        <v>11406</v>
      </c>
      <c r="I1465" s="161" t="s">
        <v>13538</v>
      </c>
    </row>
    <row r="1466" spans="1:15" ht="94.5" customHeight="1" x14ac:dyDescent="0.2">
      <c r="A1466" s="12" t="s">
        <v>2826</v>
      </c>
      <c r="B1466" s="12" t="s">
        <v>5425</v>
      </c>
      <c r="C1466" s="658" t="s">
        <v>25</v>
      </c>
      <c r="D1466" s="25" t="s">
        <v>6726</v>
      </c>
      <c r="E1466" s="8" t="s">
        <v>7024</v>
      </c>
      <c r="F1466" s="119">
        <v>229207</v>
      </c>
      <c r="G1466" s="65">
        <v>356465018.47000003</v>
      </c>
      <c r="H1466" s="161" t="s">
        <v>11406</v>
      </c>
      <c r="I1466" s="161" t="s">
        <v>13538</v>
      </c>
    </row>
    <row r="1467" spans="1:15" ht="60" customHeight="1" x14ac:dyDescent="0.2">
      <c r="A1467" s="12" t="s">
        <v>2892</v>
      </c>
      <c r="B1467" s="653" t="s">
        <v>10726</v>
      </c>
      <c r="C1467" s="658" t="s">
        <v>4199</v>
      </c>
      <c r="D1467" s="658" t="s">
        <v>4730</v>
      </c>
      <c r="E1467" s="12" t="s">
        <v>7027</v>
      </c>
      <c r="F1467" s="58">
        <v>17844</v>
      </c>
      <c r="G1467" s="58">
        <v>12336449.4</v>
      </c>
      <c r="H1467" s="8" t="s">
        <v>13540</v>
      </c>
      <c r="I1467" s="8" t="s">
        <v>13539</v>
      </c>
    </row>
    <row r="1468" spans="1:15" ht="33.75" x14ac:dyDescent="0.2">
      <c r="A1468" s="12" t="s">
        <v>3087</v>
      </c>
      <c r="B1468" s="653" t="s">
        <v>10727</v>
      </c>
      <c r="C1468" s="658" t="s">
        <v>4199</v>
      </c>
      <c r="D1468" s="658" t="s">
        <v>4731</v>
      </c>
      <c r="E1468" s="658" t="s">
        <v>7026</v>
      </c>
      <c r="F1468" s="58">
        <v>38561</v>
      </c>
      <c r="G1468" s="58">
        <v>26659147.350000001</v>
      </c>
      <c r="H1468" s="161" t="s">
        <v>11406</v>
      </c>
      <c r="I1468" s="161" t="s">
        <v>13538</v>
      </c>
    </row>
    <row r="1469" spans="1:15" s="5" customFormat="1" ht="48" customHeight="1" x14ac:dyDescent="0.2">
      <c r="A1469" s="653" t="s">
        <v>3243</v>
      </c>
      <c r="B1469" s="653" t="s">
        <v>6650</v>
      </c>
      <c r="C1469" s="207" t="s">
        <v>11389</v>
      </c>
      <c r="D1469" s="12" t="s">
        <v>6649</v>
      </c>
      <c r="E1469" s="12" t="s">
        <v>7027</v>
      </c>
      <c r="F1469" s="132">
        <v>2959</v>
      </c>
      <c r="G1469" s="65">
        <v>1985489</v>
      </c>
      <c r="H1469" s="161" t="s">
        <v>11406</v>
      </c>
      <c r="I1469" s="161" t="s">
        <v>13538</v>
      </c>
      <c r="K1469" s="4"/>
      <c r="L1469" s="4"/>
      <c r="M1469" s="4"/>
      <c r="N1469" s="4"/>
      <c r="O1469" s="4"/>
    </row>
    <row r="1470" spans="1:15" s="5" customFormat="1" ht="47.25" customHeight="1" x14ac:dyDescent="0.2">
      <c r="A1470" s="653" t="s">
        <v>3950</v>
      </c>
      <c r="B1470" s="653" t="s">
        <v>6810</v>
      </c>
      <c r="C1470" s="207" t="s">
        <v>11388</v>
      </c>
      <c r="D1470" s="12" t="s">
        <v>6807</v>
      </c>
      <c r="E1470" s="12" t="s">
        <v>7027</v>
      </c>
      <c r="F1470" s="133">
        <v>1023</v>
      </c>
      <c r="G1470" s="129">
        <v>2420816.9700000002</v>
      </c>
      <c r="H1470" s="416" t="s">
        <v>11530</v>
      </c>
      <c r="I1470" s="101" t="s">
        <v>6837</v>
      </c>
      <c r="K1470" s="4"/>
      <c r="L1470" s="4"/>
      <c r="M1470" s="4"/>
      <c r="N1470" s="4"/>
      <c r="O1470" s="4"/>
    </row>
    <row r="1471" spans="1:15" s="5" customFormat="1" ht="36" customHeight="1" x14ac:dyDescent="0.2">
      <c r="A1471" s="653" t="s">
        <v>6808</v>
      </c>
      <c r="B1471" s="653" t="s">
        <v>6811</v>
      </c>
      <c r="C1471" s="207" t="s">
        <v>11531</v>
      </c>
      <c r="D1471" s="12" t="s">
        <v>6809</v>
      </c>
      <c r="E1471" s="12" t="s">
        <v>7027</v>
      </c>
      <c r="F1471" s="133">
        <v>3909</v>
      </c>
      <c r="G1471" s="129">
        <v>9395555.1300000008</v>
      </c>
      <c r="H1471" s="416" t="s">
        <v>11532</v>
      </c>
      <c r="I1471" s="101" t="s">
        <v>6836</v>
      </c>
    </row>
    <row r="1472" spans="1:15" s="5" customFormat="1" ht="36" customHeight="1" x14ac:dyDescent="0.2">
      <c r="A1472" s="653" t="s">
        <v>6848</v>
      </c>
      <c r="B1472" s="653" t="s">
        <v>6850</v>
      </c>
      <c r="C1472" s="207" t="s">
        <v>8643</v>
      </c>
      <c r="D1472" s="12" t="s">
        <v>6849</v>
      </c>
      <c r="E1472" s="12" t="s">
        <v>7027</v>
      </c>
      <c r="F1472" s="133">
        <v>2415</v>
      </c>
      <c r="G1472" s="221">
        <v>429193.8</v>
      </c>
      <c r="H1472" s="416" t="s">
        <v>13969</v>
      </c>
      <c r="I1472" s="101" t="s">
        <v>13970</v>
      </c>
    </row>
    <row r="1473" spans="1:9" s="5" customFormat="1" ht="186.75" customHeight="1" x14ac:dyDescent="0.2">
      <c r="A1473" s="653" t="s">
        <v>6855</v>
      </c>
      <c r="B1473" s="587" t="s">
        <v>12448</v>
      </c>
      <c r="C1473" s="207" t="s">
        <v>6859</v>
      </c>
      <c r="D1473" s="12" t="s">
        <v>6858</v>
      </c>
      <c r="E1473" s="12" t="s">
        <v>7027</v>
      </c>
      <c r="F1473" s="133">
        <v>1614</v>
      </c>
      <c r="G1473" s="129">
        <v>3752243.34</v>
      </c>
      <c r="H1473" s="8" t="s">
        <v>11779</v>
      </c>
      <c r="I1473" s="101" t="s">
        <v>11754</v>
      </c>
    </row>
    <row r="1474" spans="1:9" s="5" customFormat="1" ht="186.75" customHeight="1" x14ac:dyDescent="0.2">
      <c r="A1474" s="653" t="s">
        <v>6856</v>
      </c>
      <c r="B1474" s="587" t="s">
        <v>12448</v>
      </c>
      <c r="C1474" s="207" t="s">
        <v>6908</v>
      </c>
      <c r="D1474" s="12" t="s">
        <v>6907</v>
      </c>
      <c r="E1474" s="12" t="s">
        <v>7027</v>
      </c>
      <c r="F1474" s="133">
        <v>3850</v>
      </c>
      <c r="G1474" s="129">
        <v>9585037</v>
      </c>
      <c r="H1474" s="8" t="s">
        <v>11779</v>
      </c>
      <c r="I1474" s="101" t="s">
        <v>11755</v>
      </c>
    </row>
    <row r="1475" spans="1:9" s="5" customFormat="1" ht="26.25" customHeight="1" x14ac:dyDescent="0.2">
      <c r="A1475" s="653" t="s">
        <v>6857</v>
      </c>
      <c r="B1475" s="653" t="s">
        <v>11756</v>
      </c>
      <c r="C1475" s="207" t="s">
        <v>6982</v>
      </c>
      <c r="D1475" s="12" t="s">
        <v>7053</v>
      </c>
      <c r="E1475" s="12" t="s">
        <v>7027</v>
      </c>
      <c r="F1475" s="133">
        <v>4424</v>
      </c>
      <c r="G1475" s="129">
        <v>10810707.6</v>
      </c>
      <c r="H1475" s="276" t="s">
        <v>11757</v>
      </c>
      <c r="I1475" s="101" t="s">
        <v>13979</v>
      </c>
    </row>
    <row r="1476" spans="1:9" s="5" customFormat="1" ht="80.25" customHeight="1" x14ac:dyDescent="0.2">
      <c r="A1476" s="653" t="s">
        <v>7022</v>
      </c>
      <c r="B1476" s="653" t="s">
        <v>7029</v>
      </c>
      <c r="C1476" s="207" t="s">
        <v>7030</v>
      </c>
      <c r="D1476" s="12" t="s">
        <v>7023</v>
      </c>
      <c r="E1476" s="12" t="s">
        <v>7024</v>
      </c>
      <c r="F1476" s="133">
        <v>131982.39999999999</v>
      </c>
      <c r="G1476" s="129">
        <v>50011830.859999999</v>
      </c>
      <c r="H1476" s="134"/>
      <c r="I1476" s="161" t="s">
        <v>13538</v>
      </c>
    </row>
    <row r="1477" spans="1:9" s="5" customFormat="1" ht="33.75" x14ac:dyDescent="0.2">
      <c r="A1477" s="653" t="s">
        <v>7052</v>
      </c>
      <c r="B1477" s="653" t="s">
        <v>7646</v>
      </c>
      <c r="C1477" s="207" t="s">
        <v>8357</v>
      </c>
      <c r="D1477" s="12" t="s">
        <v>7051</v>
      </c>
      <c r="E1477" s="12" t="s">
        <v>7036</v>
      </c>
      <c r="F1477" s="133">
        <v>8284</v>
      </c>
      <c r="G1477" s="129">
        <v>15788061.4</v>
      </c>
      <c r="H1477" s="161" t="s">
        <v>11406</v>
      </c>
      <c r="I1477" s="161" t="s">
        <v>13538</v>
      </c>
    </row>
    <row r="1478" spans="1:9" s="5" customFormat="1" ht="85.5" customHeight="1" x14ac:dyDescent="0.2">
      <c r="A1478" s="653" t="s">
        <v>7380</v>
      </c>
      <c r="B1478" s="653" t="s">
        <v>7384</v>
      </c>
      <c r="C1478" s="207" t="s">
        <v>7664</v>
      </c>
      <c r="D1478" s="12" t="s">
        <v>7383</v>
      </c>
      <c r="E1478" s="12" t="s">
        <v>7024</v>
      </c>
      <c r="F1478" s="133">
        <v>222545.5</v>
      </c>
      <c r="G1478" s="129">
        <v>84077140.930000007</v>
      </c>
      <c r="H1478" s="134"/>
      <c r="I1478" s="161" t="s">
        <v>13538</v>
      </c>
    </row>
    <row r="1479" spans="1:9" s="5" customFormat="1" ht="41.25" customHeight="1" x14ac:dyDescent="0.2">
      <c r="A1479" s="653" t="s">
        <v>7381</v>
      </c>
      <c r="B1479" s="653" t="s">
        <v>7386</v>
      </c>
      <c r="C1479" s="207" t="s">
        <v>7663</v>
      </c>
      <c r="D1479" s="12" t="s">
        <v>7385</v>
      </c>
      <c r="E1479" s="12" t="s">
        <v>7036</v>
      </c>
      <c r="F1479" s="133">
        <v>89673.3</v>
      </c>
      <c r="G1479" s="129">
        <v>63516495.119999997</v>
      </c>
      <c r="H1479" s="134"/>
      <c r="I1479" s="161" t="s">
        <v>13538</v>
      </c>
    </row>
    <row r="1480" spans="1:9" s="5" customFormat="1" ht="48" customHeight="1" x14ac:dyDescent="0.2">
      <c r="A1480" s="653" t="s">
        <v>7382</v>
      </c>
      <c r="B1480" s="653" t="s">
        <v>7388</v>
      </c>
      <c r="C1480" s="207" t="s">
        <v>7663</v>
      </c>
      <c r="D1480" s="12" t="s">
        <v>7387</v>
      </c>
      <c r="E1480" s="12" t="s">
        <v>7036</v>
      </c>
      <c r="F1480" s="133">
        <v>13742.8</v>
      </c>
      <c r="G1480" s="129">
        <v>9734304.3300000001</v>
      </c>
      <c r="H1480" s="134"/>
      <c r="I1480" s="161" t="s">
        <v>13538</v>
      </c>
    </row>
    <row r="1481" spans="1:9" s="5" customFormat="1" ht="93" customHeight="1" x14ac:dyDescent="0.2">
      <c r="A1481" s="653" t="s">
        <v>7391</v>
      </c>
      <c r="B1481" s="653" t="s">
        <v>7392</v>
      </c>
      <c r="C1481" s="207" t="s">
        <v>7664</v>
      </c>
      <c r="D1481" s="12" t="s">
        <v>7390</v>
      </c>
      <c r="E1481" s="12" t="s">
        <v>7024</v>
      </c>
      <c r="F1481" s="133">
        <v>47177.4</v>
      </c>
      <c r="G1481" s="129">
        <v>18112430.109999999</v>
      </c>
      <c r="H1481" s="134"/>
      <c r="I1481" s="161" t="s">
        <v>13538</v>
      </c>
    </row>
    <row r="1482" spans="1:9" s="5" customFormat="1" ht="80.25" customHeight="1" x14ac:dyDescent="0.2">
      <c r="A1482" s="653" t="s">
        <v>7648</v>
      </c>
      <c r="B1482" s="653" t="s">
        <v>11061</v>
      </c>
      <c r="C1482" s="207" t="s">
        <v>7656</v>
      </c>
      <c r="D1482" s="12" t="s">
        <v>7658</v>
      </c>
      <c r="E1482" s="12" t="s">
        <v>11168</v>
      </c>
      <c r="F1482" s="133">
        <v>6911</v>
      </c>
      <c r="G1482" s="129">
        <v>17156350.170000002</v>
      </c>
      <c r="H1482" s="101" t="s">
        <v>11535</v>
      </c>
      <c r="I1482" s="101" t="s">
        <v>11534</v>
      </c>
    </row>
    <row r="1483" spans="1:9" s="5" customFormat="1" ht="33.75" x14ac:dyDescent="0.2">
      <c r="A1483" s="653" t="s">
        <v>7649</v>
      </c>
      <c r="B1483" s="653" t="s">
        <v>11758</v>
      </c>
      <c r="C1483" s="207" t="s">
        <v>7659</v>
      </c>
      <c r="D1483" s="12" t="s">
        <v>7657</v>
      </c>
      <c r="E1483" s="12" t="s">
        <v>11168</v>
      </c>
      <c r="F1483" s="133">
        <v>14710</v>
      </c>
      <c r="G1483" s="129">
        <v>36516839.5</v>
      </c>
      <c r="H1483" s="276" t="s">
        <v>13971</v>
      </c>
      <c r="I1483" s="101" t="s">
        <v>13972</v>
      </c>
    </row>
    <row r="1484" spans="1:9" s="5" customFormat="1" ht="81.75" customHeight="1" x14ac:dyDescent="0.2">
      <c r="A1484" s="653" t="s">
        <v>7650</v>
      </c>
      <c r="B1484" s="653" t="s">
        <v>11203</v>
      </c>
      <c r="C1484" s="207" t="s">
        <v>7661</v>
      </c>
      <c r="D1484" s="12" t="s">
        <v>7660</v>
      </c>
      <c r="E1484" s="12" t="s">
        <v>11168</v>
      </c>
      <c r="F1484" s="133">
        <v>9327</v>
      </c>
      <c r="G1484" s="129">
        <v>16524739.17</v>
      </c>
      <c r="H1484" s="101" t="s">
        <v>11536</v>
      </c>
      <c r="I1484" s="101" t="s">
        <v>11533</v>
      </c>
    </row>
    <row r="1485" spans="1:9" s="5" customFormat="1" ht="81.75" customHeight="1" x14ac:dyDescent="0.2">
      <c r="A1485" s="653" t="s">
        <v>7651</v>
      </c>
      <c r="B1485" s="653" t="s">
        <v>11061</v>
      </c>
      <c r="C1485" s="207" t="s">
        <v>7662</v>
      </c>
      <c r="D1485" s="12" t="s">
        <v>7647</v>
      </c>
      <c r="E1485" s="12" t="s">
        <v>11168</v>
      </c>
      <c r="F1485" s="133">
        <v>8140</v>
      </c>
      <c r="G1485" s="129">
        <v>17280568.800000001</v>
      </c>
      <c r="H1485" s="101" t="s">
        <v>11538</v>
      </c>
      <c r="I1485" s="101" t="s">
        <v>11537</v>
      </c>
    </row>
    <row r="1486" spans="1:9" s="5" customFormat="1" ht="82.5" customHeight="1" x14ac:dyDescent="0.2">
      <c r="A1486" s="653" t="s">
        <v>7652</v>
      </c>
      <c r="B1486" s="653" t="s">
        <v>11204</v>
      </c>
      <c r="C1486" s="207" t="s">
        <v>7761</v>
      </c>
      <c r="D1486" s="12" t="s">
        <v>7665</v>
      </c>
      <c r="E1486" s="12" t="s">
        <v>11168</v>
      </c>
      <c r="F1486" s="133">
        <v>23840</v>
      </c>
      <c r="G1486" s="129">
        <v>54797193.600000001</v>
      </c>
      <c r="H1486" s="101" t="s">
        <v>11539</v>
      </c>
      <c r="I1486" s="101" t="s">
        <v>11373</v>
      </c>
    </row>
    <row r="1487" spans="1:9" s="5" customFormat="1" ht="84.75" customHeight="1" x14ac:dyDescent="0.2">
      <c r="A1487" s="653" t="s">
        <v>7653</v>
      </c>
      <c r="B1487" s="653" t="s">
        <v>11204</v>
      </c>
      <c r="C1487" s="207" t="s">
        <v>7764</v>
      </c>
      <c r="D1487" s="12" t="s">
        <v>7762</v>
      </c>
      <c r="E1487" s="12" t="s">
        <v>11168</v>
      </c>
      <c r="F1487" s="133">
        <v>17868</v>
      </c>
      <c r="G1487" s="129">
        <v>40702410.600000001</v>
      </c>
      <c r="H1487" s="101" t="s">
        <v>11540</v>
      </c>
      <c r="I1487" s="101" t="s">
        <v>11374</v>
      </c>
    </row>
    <row r="1488" spans="1:9" s="5" customFormat="1" ht="105" customHeight="1" x14ac:dyDescent="0.2">
      <c r="A1488" s="653" t="s">
        <v>7654</v>
      </c>
      <c r="B1488" s="653" t="s">
        <v>11167</v>
      </c>
      <c r="C1488" s="207" t="s">
        <v>10962</v>
      </c>
      <c r="D1488" s="12" t="s">
        <v>7763</v>
      </c>
      <c r="E1488" s="12" t="s">
        <v>11168</v>
      </c>
      <c r="F1488" s="133">
        <v>10089</v>
      </c>
      <c r="G1488" s="129">
        <v>24249617.73</v>
      </c>
      <c r="H1488" s="101" t="s">
        <v>11759</v>
      </c>
      <c r="I1488" s="101" t="s">
        <v>13973</v>
      </c>
    </row>
    <row r="1489" spans="1:9" s="5" customFormat="1" ht="33.75" x14ac:dyDescent="0.2">
      <c r="A1489" s="653" t="s">
        <v>7655</v>
      </c>
      <c r="B1489" s="653" t="s">
        <v>11761</v>
      </c>
      <c r="C1489" s="207" t="s">
        <v>7766</v>
      </c>
      <c r="D1489" s="12" t="s">
        <v>7765</v>
      </c>
      <c r="E1489" s="12" t="s">
        <v>7036</v>
      </c>
      <c r="F1489" s="133">
        <v>10700</v>
      </c>
      <c r="G1489" s="129">
        <v>25817495</v>
      </c>
      <c r="H1489" s="101" t="s">
        <v>11760</v>
      </c>
      <c r="I1489" s="101" t="s">
        <v>13974</v>
      </c>
    </row>
    <row r="1490" spans="1:9" s="5" customFormat="1" ht="38.25" customHeight="1" x14ac:dyDescent="0.2">
      <c r="A1490" s="653" t="s">
        <v>8358</v>
      </c>
      <c r="B1490" s="653" t="s">
        <v>8361</v>
      </c>
      <c r="C1490" s="207" t="s">
        <v>8360</v>
      </c>
      <c r="D1490" s="12" t="s">
        <v>8359</v>
      </c>
      <c r="E1490" s="12" t="s">
        <v>7036</v>
      </c>
      <c r="F1490" s="133">
        <v>1856</v>
      </c>
      <c r="G1490" s="129">
        <v>3537257.6</v>
      </c>
      <c r="H1490" s="134"/>
      <c r="I1490" s="101" t="s">
        <v>11725</v>
      </c>
    </row>
    <row r="1491" spans="1:9" s="5" customFormat="1" ht="80.25" customHeight="1" x14ac:dyDescent="0.2">
      <c r="A1491" s="653" t="s">
        <v>8369</v>
      </c>
      <c r="B1491" s="12" t="s">
        <v>11086</v>
      </c>
      <c r="C1491" s="209" t="s">
        <v>8553</v>
      </c>
      <c r="D1491" s="12" t="s">
        <v>8552</v>
      </c>
      <c r="E1491" s="222" t="s">
        <v>7036</v>
      </c>
      <c r="F1491" s="135">
        <v>2787</v>
      </c>
      <c r="G1491" s="129">
        <v>4899796.83</v>
      </c>
      <c r="H1491" s="101" t="s">
        <v>11763</v>
      </c>
      <c r="I1491" s="101" t="s">
        <v>11762</v>
      </c>
    </row>
    <row r="1492" spans="1:9" s="5" customFormat="1" ht="81" customHeight="1" x14ac:dyDescent="0.2">
      <c r="A1492" s="653" t="s">
        <v>8370</v>
      </c>
      <c r="B1492" s="12" t="s">
        <v>11085</v>
      </c>
      <c r="C1492" s="207" t="s">
        <v>8654</v>
      </c>
      <c r="D1492" s="12" t="s">
        <v>8642</v>
      </c>
      <c r="E1492" s="222" t="s">
        <v>7036</v>
      </c>
      <c r="F1492" s="133">
        <v>5246</v>
      </c>
      <c r="G1492" s="129">
        <v>12741956.939999999</v>
      </c>
      <c r="H1492" s="101" t="s">
        <v>11765</v>
      </c>
      <c r="I1492" s="101" t="s">
        <v>11764</v>
      </c>
    </row>
    <row r="1493" spans="1:9" s="5" customFormat="1" ht="33.75" x14ac:dyDescent="0.2">
      <c r="A1493" s="653" t="s">
        <v>8371</v>
      </c>
      <c r="B1493" s="653" t="s">
        <v>11768</v>
      </c>
      <c r="C1493" s="207" t="s">
        <v>8669</v>
      </c>
      <c r="D1493" s="12" t="s">
        <v>8653</v>
      </c>
      <c r="E1493" s="222" t="s">
        <v>7036</v>
      </c>
      <c r="F1493" s="133">
        <v>20091</v>
      </c>
      <c r="G1493" s="129">
        <v>48235477.350000001</v>
      </c>
      <c r="H1493" s="101" t="s">
        <v>11766</v>
      </c>
      <c r="I1493" s="101" t="s">
        <v>13979</v>
      </c>
    </row>
    <row r="1494" spans="1:9" s="5" customFormat="1" ht="82.5" customHeight="1" x14ac:dyDescent="0.2">
      <c r="A1494" s="653" t="s">
        <v>8668</v>
      </c>
      <c r="B1494" s="653" t="s">
        <v>11061</v>
      </c>
      <c r="C1494" s="207" t="s">
        <v>8670</v>
      </c>
      <c r="D1494" s="12" t="s">
        <v>8667</v>
      </c>
      <c r="E1494" s="222" t="s">
        <v>7036</v>
      </c>
      <c r="F1494" s="133">
        <v>9887</v>
      </c>
      <c r="G1494" s="129">
        <v>22522091.649999999</v>
      </c>
      <c r="H1494" s="101" t="s">
        <v>11767</v>
      </c>
      <c r="I1494" s="101" t="s">
        <v>13979</v>
      </c>
    </row>
    <row r="1495" spans="1:9" s="5" customFormat="1" ht="34.5" customHeight="1" x14ac:dyDescent="0.2">
      <c r="A1495" s="653" t="s">
        <v>8831</v>
      </c>
      <c r="B1495" s="653" t="s">
        <v>11769</v>
      </c>
      <c r="C1495" s="207" t="s">
        <v>8836</v>
      </c>
      <c r="D1495" s="12" t="s">
        <v>8837</v>
      </c>
      <c r="E1495" s="222" t="s">
        <v>7036</v>
      </c>
      <c r="F1495" s="133">
        <v>1500</v>
      </c>
      <c r="G1495" s="129">
        <v>3465450</v>
      </c>
      <c r="H1495" s="101" t="s">
        <v>11770</v>
      </c>
      <c r="I1495" s="101" t="s">
        <v>13979</v>
      </c>
    </row>
    <row r="1496" spans="1:9" s="5" customFormat="1" ht="46.5" customHeight="1" x14ac:dyDescent="0.2">
      <c r="A1496" s="653" t="s">
        <v>8907</v>
      </c>
      <c r="B1496" s="653" t="s">
        <v>8964</v>
      </c>
      <c r="C1496" s="207" t="s">
        <v>5743</v>
      </c>
      <c r="D1496" s="12" t="s">
        <v>8962</v>
      </c>
      <c r="E1496" s="222" t="s">
        <v>7036</v>
      </c>
      <c r="F1496" s="133">
        <v>30572</v>
      </c>
      <c r="G1496" s="129">
        <v>21828102.280000001</v>
      </c>
      <c r="H1496" s="134"/>
      <c r="I1496" s="101" t="s">
        <v>11725</v>
      </c>
    </row>
    <row r="1497" spans="1:9" s="5" customFormat="1" ht="33.75" x14ac:dyDescent="0.2">
      <c r="A1497" s="653" t="s">
        <v>8954</v>
      </c>
      <c r="B1497" s="653" t="s">
        <v>8965</v>
      </c>
      <c r="C1497" s="207" t="s">
        <v>8963</v>
      </c>
      <c r="D1497" s="12" t="s">
        <v>8966</v>
      </c>
      <c r="E1497" s="222" t="s">
        <v>7036</v>
      </c>
      <c r="F1497" s="133">
        <v>50944.4</v>
      </c>
      <c r="G1497" s="129">
        <v>36084427.960000001</v>
      </c>
      <c r="H1497" s="134"/>
      <c r="I1497" s="101" t="s">
        <v>11725</v>
      </c>
    </row>
    <row r="1498" spans="1:9" s="5" customFormat="1" ht="45" x14ac:dyDescent="0.2">
      <c r="A1498" s="653" t="s">
        <v>8955</v>
      </c>
      <c r="B1498" s="653" t="s">
        <v>8967</v>
      </c>
      <c r="C1498" s="207" t="s">
        <v>8963</v>
      </c>
      <c r="D1498" s="12" t="s">
        <v>8968</v>
      </c>
      <c r="E1498" s="222" t="s">
        <v>7036</v>
      </c>
      <c r="F1498" s="133">
        <v>21662.5</v>
      </c>
      <c r="G1498" s="129">
        <v>15343765.380000001</v>
      </c>
      <c r="H1498" s="134"/>
      <c r="I1498" s="101" t="s">
        <v>11725</v>
      </c>
    </row>
    <row r="1499" spans="1:9" s="5" customFormat="1" ht="45" x14ac:dyDescent="0.2">
      <c r="A1499" s="653" t="s">
        <v>8956</v>
      </c>
      <c r="B1499" s="653" t="s">
        <v>8969</v>
      </c>
      <c r="C1499" s="207" t="s">
        <v>23</v>
      </c>
      <c r="D1499" s="12" t="s">
        <v>8970</v>
      </c>
      <c r="E1499" s="222" t="s">
        <v>7036</v>
      </c>
      <c r="F1499" s="133">
        <v>428516.5</v>
      </c>
      <c r="G1499" s="129">
        <v>296254882.27999997</v>
      </c>
      <c r="H1499" s="134"/>
      <c r="I1499" s="101" t="s">
        <v>11725</v>
      </c>
    </row>
    <row r="1500" spans="1:9" s="5" customFormat="1" ht="83.25" customHeight="1" x14ac:dyDescent="0.2">
      <c r="A1500" s="653" t="s">
        <v>8957</v>
      </c>
      <c r="B1500" s="653" t="s">
        <v>8971</v>
      </c>
      <c r="C1500" s="207" t="s">
        <v>23</v>
      </c>
      <c r="D1500" s="12" t="s">
        <v>8972</v>
      </c>
      <c r="E1500" s="222" t="s">
        <v>8973</v>
      </c>
      <c r="F1500" s="133">
        <v>128751.2</v>
      </c>
      <c r="G1500" s="129">
        <v>48796414.979999997</v>
      </c>
      <c r="H1500" s="134"/>
      <c r="I1500" s="101" t="s">
        <v>11725</v>
      </c>
    </row>
    <row r="1501" spans="1:9" s="5" customFormat="1" ht="33.75" x14ac:dyDescent="0.2">
      <c r="A1501" s="653" t="s">
        <v>8958</v>
      </c>
      <c r="B1501" s="653" t="s">
        <v>8977</v>
      </c>
      <c r="C1501" s="207" t="s">
        <v>5963</v>
      </c>
      <c r="D1501" s="12" t="s">
        <v>8978</v>
      </c>
      <c r="E1501" s="12" t="s">
        <v>11168</v>
      </c>
      <c r="F1501" s="133">
        <v>12517</v>
      </c>
      <c r="G1501" s="129">
        <v>29937659.920000002</v>
      </c>
      <c r="H1501" s="134"/>
      <c r="I1501" s="101" t="s">
        <v>11725</v>
      </c>
    </row>
    <row r="1502" spans="1:9" s="5" customFormat="1" ht="33.75" x14ac:dyDescent="0.2">
      <c r="A1502" s="653" t="s">
        <v>8959</v>
      </c>
      <c r="B1502" s="653" t="s">
        <v>8982</v>
      </c>
      <c r="C1502" s="207" t="s">
        <v>23</v>
      </c>
      <c r="D1502" s="12" t="s">
        <v>8983</v>
      </c>
      <c r="E1502" s="12" t="s">
        <v>11168</v>
      </c>
      <c r="F1502" s="133">
        <v>346</v>
      </c>
      <c r="G1502" s="129">
        <v>239207.1</v>
      </c>
      <c r="H1502" s="134"/>
      <c r="I1502" s="101" t="s">
        <v>11725</v>
      </c>
    </row>
    <row r="1503" spans="1:9" s="5" customFormat="1" ht="48.75" customHeight="1" x14ac:dyDescent="0.2">
      <c r="A1503" s="653" t="s">
        <v>8960</v>
      </c>
      <c r="B1503" s="653" t="s">
        <v>8992</v>
      </c>
      <c r="C1503" s="207" t="s">
        <v>8993</v>
      </c>
      <c r="D1503" s="12" t="s">
        <v>8994</v>
      </c>
      <c r="E1503" s="12" t="s">
        <v>11168</v>
      </c>
      <c r="F1503" s="133">
        <v>7194.1</v>
      </c>
      <c r="G1503" s="129">
        <v>5095652.97</v>
      </c>
      <c r="H1503" s="134"/>
      <c r="I1503" s="101" t="s">
        <v>11725</v>
      </c>
    </row>
    <row r="1504" spans="1:9" s="5" customFormat="1" ht="93" customHeight="1" x14ac:dyDescent="0.2">
      <c r="A1504" s="653" t="s">
        <v>8961</v>
      </c>
      <c r="B1504" s="653" t="s">
        <v>9422</v>
      </c>
      <c r="C1504" s="207" t="s">
        <v>9025</v>
      </c>
      <c r="D1504" s="12" t="s">
        <v>9026</v>
      </c>
      <c r="E1504" s="12" t="s">
        <v>11168</v>
      </c>
      <c r="F1504" s="133">
        <v>17</v>
      </c>
      <c r="G1504" s="239">
        <v>12196.48</v>
      </c>
      <c r="H1504" s="134"/>
      <c r="I1504" s="101" t="s">
        <v>11725</v>
      </c>
    </row>
    <row r="1505" spans="1:9" s="5" customFormat="1" ht="60" customHeight="1" x14ac:dyDescent="0.2">
      <c r="A1505" s="653" t="s">
        <v>9023</v>
      </c>
      <c r="B1505" s="653" t="s">
        <v>9343</v>
      </c>
      <c r="C1505" s="207" t="s">
        <v>9346</v>
      </c>
      <c r="D1505" s="12" t="s">
        <v>9036</v>
      </c>
      <c r="E1505" s="12" t="s">
        <v>11168</v>
      </c>
      <c r="F1505" s="133">
        <v>2920.4</v>
      </c>
      <c r="G1505" s="129">
        <v>6910805.3600000003</v>
      </c>
      <c r="H1505" s="101" t="s">
        <v>9344</v>
      </c>
      <c r="I1505" s="101" t="s">
        <v>9345</v>
      </c>
    </row>
    <row r="1506" spans="1:9" s="5" customFormat="1" ht="105" customHeight="1" x14ac:dyDescent="0.2">
      <c r="A1506" s="653" t="s">
        <v>9024</v>
      </c>
      <c r="B1506" s="653" t="s">
        <v>9228</v>
      </c>
      <c r="C1506" s="207" t="s">
        <v>9225</v>
      </c>
      <c r="D1506" s="12" t="s">
        <v>9227</v>
      </c>
      <c r="E1506" s="12" t="s">
        <v>11168</v>
      </c>
      <c r="F1506" s="133">
        <v>98003</v>
      </c>
      <c r="G1506" s="129">
        <v>214323740.72999999</v>
      </c>
      <c r="H1506" s="101" t="s">
        <v>9347</v>
      </c>
      <c r="I1506" s="101" t="s">
        <v>9345</v>
      </c>
    </row>
    <row r="1507" spans="1:9" s="5" customFormat="1" ht="91.5" customHeight="1" x14ac:dyDescent="0.2">
      <c r="A1507" s="653" t="s">
        <v>9292</v>
      </c>
      <c r="B1507" s="653" t="s">
        <v>10668</v>
      </c>
      <c r="C1507" s="207" t="s">
        <v>7664</v>
      </c>
      <c r="D1507" s="12" t="s">
        <v>9230</v>
      </c>
      <c r="E1507" s="25" t="s">
        <v>7025</v>
      </c>
      <c r="F1507" s="133">
        <v>655</v>
      </c>
      <c r="G1507" s="129">
        <v>248192.6</v>
      </c>
      <c r="H1507" s="8" t="s">
        <v>13540</v>
      </c>
      <c r="I1507" s="8" t="s">
        <v>13539</v>
      </c>
    </row>
    <row r="1508" spans="1:9" ht="92.25" customHeight="1" x14ac:dyDescent="0.2">
      <c r="A1508" s="653" t="s">
        <v>9293</v>
      </c>
      <c r="B1508" s="653" t="s">
        <v>10872</v>
      </c>
      <c r="C1508" s="207" t="s">
        <v>7664</v>
      </c>
      <c r="D1508" s="12" t="s">
        <v>9229</v>
      </c>
      <c r="E1508" s="8" t="s">
        <v>7025</v>
      </c>
      <c r="F1508" s="133">
        <v>155</v>
      </c>
      <c r="G1508" s="65">
        <v>58732.6</v>
      </c>
      <c r="H1508" s="8" t="s">
        <v>13540</v>
      </c>
      <c r="I1508" s="8" t="s">
        <v>13539</v>
      </c>
    </row>
    <row r="1509" spans="1:9" ht="50.25" customHeight="1" x14ac:dyDescent="0.2">
      <c r="A1509" s="653" t="s">
        <v>9348</v>
      </c>
      <c r="B1509" s="653" t="s">
        <v>9387</v>
      </c>
      <c r="C1509" s="207" t="s">
        <v>4406</v>
      </c>
      <c r="D1509" s="12" t="s">
        <v>9388</v>
      </c>
      <c r="E1509" s="12" t="s">
        <v>11168</v>
      </c>
      <c r="F1509" s="133">
        <v>2022</v>
      </c>
      <c r="G1509" s="65">
        <v>1643259.18</v>
      </c>
      <c r="H1509" s="161" t="s">
        <v>11406</v>
      </c>
      <c r="I1509" s="161" t="s">
        <v>13538</v>
      </c>
    </row>
    <row r="1510" spans="1:9" ht="46.5" customHeight="1" x14ac:dyDescent="0.2">
      <c r="A1510" s="653" t="s">
        <v>9374</v>
      </c>
      <c r="B1510" s="653" t="s">
        <v>9389</v>
      </c>
      <c r="C1510" s="207" t="s">
        <v>4406</v>
      </c>
      <c r="D1510" s="12" t="s">
        <v>9390</v>
      </c>
      <c r="E1510" s="12" t="s">
        <v>11168</v>
      </c>
      <c r="F1510" s="133">
        <v>14126</v>
      </c>
      <c r="G1510" s="135">
        <v>11436127.08</v>
      </c>
      <c r="H1510" s="161" t="s">
        <v>11406</v>
      </c>
      <c r="I1510" s="161" t="s">
        <v>13538</v>
      </c>
    </row>
    <row r="1511" spans="1:9" ht="51" customHeight="1" x14ac:dyDescent="0.2">
      <c r="A1511" s="653" t="s">
        <v>9386</v>
      </c>
      <c r="B1511" s="653" t="s">
        <v>9391</v>
      </c>
      <c r="C1511" s="207" t="s">
        <v>4406</v>
      </c>
      <c r="D1511" s="12" t="s">
        <v>9392</v>
      </c>
      <c r="E1511" s="12" t="s">
        <v>11168</v>
      </c>
      <c r="F1511" s="133">
        <v>7719</v>
      </c>
      <c r="G1511" s="135">
        <v>6265821.0599999996</v>
      </c>
      <c r="H1511" s="161" t="s">
        <v>11406</v>
      </c>
      <c r="I1511" s="161" t="s">
        <v>13538</v>
      </c>
    </row>
    <row r="1512" spans="1:9" ht="118.5" customHeight="1" x14ac:dyDescent="0.2">
      <c r="A1512" s="653" t="s">
        <v>9394</v>
      </c>
      <c r="B1512" s="653" t="s">
        <v>13536</v>
      </c>
      <c r="C1512" s="419" t="s">
        <v>13537</v>
      </c>
      <c r="D1512" s="12" t="s">
        <v>9393</v>
      </c>
      <c r="E1512" s="12" t="s">
        <v>11168</v>
      </c>
      <c r="F1512" s="133">
        <v>3327</v>
      </c>
      <c r="G1512" s="135">
        <v>2693472.66</v>
      </c>
      <c r="H1512" s="161" t="s">
        <v>11406</v>
      </c>
      <c r="I1512" s="161" t="s">
        <v>13538</v>
      </c>
    </row>
    <row r="1513" spans="1:9" ht="48" customHeight="1" x14ac:dyDescent="0.2">
      <c r="A1513" s="653" t="s">
        <v>9395</v>
      </c>
      <c r="B1513" s="653" t="s">
        <v>9416</v>
      </c>
      <c r="C1513" s="207" t="s">
        <v>4406</v>
      </c>
      <c r="D1513" s="12" t="s">
        <v>9417</v>
      </c>
      <c r="E1513" s="12" t="s">
        <v>11168</v>
      </c>
      <c r="F1513" s="133">
        <v>9086</v>
      </c>
      <c r="G1513" s="135">
        <v>6281606.0999999996</v>
      </c>
      <c r="H1513" s="161" t="s">
        <v>11406</v>
      </c>
      <c r="I1513" s="161" t="s">
        <v>13538</v>
      </c>
    </row>
    <row r="1514" spans="1:9" ht="95.25" customHeight="1" x14ac:dyDescent="0.2">
      <c r="A1514" s="653" t="s">
        <v>12186</v>
      </c>
      <c r="B1514" s="653" t="s">
        <v>12187</v>
      </c>
      <c r="C1514" s="419" t="s">
        <v>4406</v>
      </c>
      <c r="D1514" s="12" t="s">
        <v>12188</v>
      </c>
      <c r="E1514" s="12" t="s">
        <v>11168</v>
      </c>
      <c r="F1514" s="132">
        <v>315</v>
      </c>
      <c r="G1514" s="420">
        <v>217775.25</v>
      </c>
      <c r="H1514" s="161" t="s">
        <v>12191</v>
      </c>
      <c r="I1514" s="101" t="s">
        <v>12192</v>
      </c>
    </row>
    <row r="1515" spans="1:9" ht="96" customHeight="1" x14ac:dyDescent="0.2">
      <c r="A1515" s="653" t="s">
        <v>12189</v>
      </c>
      <c r="B1515" s="653" t="s">
        <v>12187</v>
      </c>
      <c r="C1515" s="419" t="s">
        <v>4406</v>
      </c>
      <c r="D1515" s="12" t="s">
        <v>12190</v>
      </c>
      <c r="E1515" s="12" t="s">
        <v>11168</v>
      </c>
      <c r="F1515" s="132">
        <v>382</v>
      </c>
      <c r="G1515" s="420">
        <v>187191.46</v>
      </c>
      <c r="H1515" s="161" t="s">
        <v>12191</v>
      </c>
      <c r="I1515" s="101" t="s">
        <v>12193</v>
      </c>
    </row>
    <row r="1516" spans="1:9" ht="51.75" customHeight="1" x14ac:dyDescent="0.2">
      <c r="A1516" s="653" t="s">
        <v>9396</v>
      </c>
      <c r="B1516" s="653" t="s">
        <v>9419</v>
      </c>
      <c r="C1516" s="207" t="s">
        <v>10798</v>
      </c>
      <c r="D1516" s="12" t="s">
        <v>9420</v>
      </c>
      <c r="E1516" s="12" t="s">
        <v>11168</v>
      </c>
      <c r="F1516" s="133">
        <v>26791.64</v>
      </c>
      <c r="G1516" s="135">
        <v>64079172.890000001</v>
      </c>
      <c r="H1516" s="161" t="s">
        <v>11773</v>
      </c>
      <c r="I1516" s="101" t="s">
        <v>13975</v>
      </c>
    </row>
    <row r="1517" spans="1:9" s="5" customFormat="1" ht="82.5" customHeight="1" x14ac:dyDescent="0.2">
      <c r="A1517" s="653" t="s">
        <v>9397</v>
      </c>
      <c r="B1517" s="653" t="s">
        <v>11041</v>
      </c>
      <c r="C1517" s="207" t="s">
        <v>11042</v>
      </c>
      <c r="D1517" s="120" t="s">
        <v>11040</v>
      </c>
      <c r="E1517" s="12" t="s">
        <v>11168</v>
      </c>
      <c r="F1517" s="262">
        <v>486</v>
      </c>
      <c r="G1517" s="129">
        <v>253084.5</v>
      </c>
      <c r="H1517" s="161" t="s">
        <v>11771</v>
      </c>
      <c r="I1517" s="101" t="s">
        <v>11772</v>
      </c>
    </row>
    <row r="1518" spans="1:9" ht="60" customHeight="1" x14ac:dyDescent="0.2">
      <c r="A1518" s="653" t="s">
        <v>9418</v>
      </c>
      <c r="B1518" s="639" t="s">
        <v>10789</v>
      </c>
      <c r="C1518" s="209" t="s">
        <v>10790</v>
      </c>
      <c r="D1518" s="263" t="s">
        <v>10793</v>
      </c>
      <c r="E1518" s="12" t="s">
        <v>11168</v>
      </c>
      <c r="F1518" s="262">
        <v>5455</v>
      </c>
      <c r="G1518" s="129">
        <v>13111474.35</v>
      </c>
      <c r="H1518" s="161" t="s">
        <v>11774</v>
      </c>
      <c r="I1518" s="101" t="s">
        <v>11775</v>
      </c>
    </row>
    <row r="1519" spans="1:9" ht="81" customHeight="1" x14ac:dyDescent="0.2">
      <c r="A1519" s="653" t="s">
        <v>10422</v>
      </c>
      <c r="B1519" s="653" t="s">
        <v>8356</v>
      </c>
      <c r="C1519" s="207" t="s">
        <v>10797</v>
      </c>
      <c r="D1519" s="120" t="s">
        <v>9375</v>
      </c>
      <c r="E1519" s="12" t="s">
        <v>11168</v>
      </c>
      <c r="F1519" s="264">
        <v>5148</v>
      </c>
      <c r="G1519" s="129">
        <v>12373578.359999999</v>
      </c>
      <c r="H1519" s="134"/>
      <c r="I1519" s="134"/>
    </row>
    <row r="1520" spans="1:9" ht="45" customHeight="1" x14ac:dyDescent="0.2">
      <c r="A1520" s="653" t="s">
        <v>10423</v>
      </c>
      <c r="B1520" s="653" t="s">
        <v>10472</v>
      </c>
      <c r="C1520" s="207" t="s">
        <v>10795</v>
      </c>
      <c r="D1520" s="120" t="s">
        <v>10471</v>
      </c>
      <c r="E1520" s="12" t="s">
        <v>11168</v>
      </c>
      <c r="F1520" s="264">
        <v>1453</v>
      </c>
      <c r="G1520" s="135">
        <v>447596.65</v>
      </c>
      <c r="H1520" s="134"/>
      <c r="I1520" s="101" t="s">
        <v>11723</v>
      </c>
    </row>
    <row r="1521" spans="1:9" ht="48.75" customHeight="1" x14ac:dyDescent="0.2">
      <c r="A1521" s="653" t="s">
        <v>10473</v>
      </c>
      <c r="B1521" s="653" t="s">
        <v>10587</v>
      </c>
      <c r="C1521" s="207" t="s">
        <v>10586</v>
      </c>
      <c r="D1521" s="120" t="s">
        <v>10585</v>
      </c>
      <c r="E1521" s="12" t="s">
        <v>11168</v>
      </c>
      <c r="F1521" s="264">
        <v>443</v>
      </c>
      <c r="G1521" s="135">
        <v>688958.03</v>
      </c>
      <c r="H1521" s="161" t="s">
        <v>11406</v>
      </c>
      <c r="I1521" s="161" t="s">
        <v>13538</v>
      </c>
    </row>
    <row r="1522" spans="1:9" ht="45" customHeight="1" x14ac:dyDescent="0.2">
      <c r="A1522" s="653" t="s">
        <v>10511</v>
      </c>
      <c r="B1522" s="653" t="s">
        <v>10672</v>
      </c>
      <c r="C1522" s="207" t="s">
        <v>7664</v>
      </c>
      <c r="D1522" s="120" t="s">
        <v>10671</v>
      </c>
      <c r="E1522" s="12" t="s">
        <v>11168</v>
      </c>
      <c r="F1522" s="264">
        <v>41317</v>
      </c>
      <c r="G1522" s="135">
        <v>15655765.65</v>
      </c>
      <c r="H1522" s="8" t="s">
        <v>13541</v>
      </c>
      <c r="I1522" s="8" t="s">
        <v>13539</v>
      </c>
    </row>
    <row r="1523" spans="1:9" ht="45" customHeight="1" x14ac:dyDescent="0.2">
      <c r="A1523" s="653" t="s">
        <v>12194</v>
      </c>
      <c r="B1523" s="12" t="s">
        <v>9443</v>
      </c>
      <c r="C1523" s="421" t="s">
        <v>12195</v>
      </c>
      <c r="D1523" s="12" t="s">
        <v>12196</v>
      </c>
      <c r="E1523" s="155" t="s">
        <v>7028</v>
      </c>
      <c r="F1523" s="57">
        <v>4</v>
      </c>
      <c r="G1523" s="57">
        <v>1960.12</v>
      </c>
      <c r="H1523" s="8"/>
      <c r="I1523" s="8" t="s">
        <v>13539</v>
      </c>
    </row>
    <row r="1524" spans="1:9" ht="50.25" customHeight="1" x14ac:dyDescent="0.2">
      <c r="A1524" s="653" t="s">
        <v>10673</v>
      </c>
      <c r="B1524" s="653" t="s">
        <v>10669</v>
      </c>
      <c r="C1524" s="207" t="s">
        <v>4406</v>
      </c>
      <c r="D1524" s="120" t="s">
        <v>10670</v>
      </c>
      <c r="E1524" s="12" t="s">
        <v>11168</v>
      </c>
      <c r="F1524" s="264">
        <v>13572</v>
      </c>
      <c r="G1524" s="135">
        <v>10987619.76</v>
      </c>
      <c r="H1524" s="8" t="s">
        <v>13540</v>
      </c>
      <c r="I1524" s="8" t="s">
        <v>13539</v>
      </c>
    </row>
    <row r="1525" spans="1:9" ht="37.5" customHeight="1" x14ac:dyDescent="0.2">
      <c r="A1525" s="653" t="s">
        <v>10674</v>
      </c>
      <c r="B1525" s="653" t="s">
        <v>10472</v>
      </c>
      <c r="C1525" s="207" t="s">
        <v>10796</v>
      </c>
      <c r="D1525" s="120" t="s">
        <v>10677</v>
      </c>
      <c r="E1525" s="12" t="s">
        <v>11168</v>
      </c>
      <c r="F1525" s="264">
        <v>1200</v>
      </c>
      <c r="G1525" s="135">
        <v>361788</v>
      </c>
      <c r="H1525" s="134"/>
      <c r="I1525" s="8" t="s">
        <v>11723</v>
      </c>
    </row>
    <row r="1526" spans="1:9" ht="39" customHeight="1" x14ac:dyDescent="0.2">
      <c r="A1526" s="653" t="s">
        <v>10675</v>
      </c>
      <c r="B1526" s="653" t="s">
        <v>10682</v>
      </c>
      <c r="C1526" s="207" t="s">
        <v>6023</v>
      </c>
      <c r="D1526" s="120" t="s">
        <v>10681</v>
      </c>
      <c r="E1526" s="12" t="s">
        <v>11168</v>
      </c>
      <c r="F1526" s="264">
        <f>3850-1500</f>
        <v>2350</v>
      </c>
      <c r="G1526" s="135">
        <v>3654743.5</v>
      </c>
      <c r="H1526" s="134"/>
      <c r="I1526" s="8" t="s">
        <v>13539</v>
      </c>
    </row>
    <row r="1527" spans="1:9" ht="49.5" customHeight="1" x14ac:dyDescent="0.2">
      <c r="A1527" s="653" t="s">
        <v>11146</v>
      </c>
      <c r="B1527" s="199" t="s">
        <v>8376</v>
      </c>
      <c r="C1527" s="207" t="s">
        <v>11147</v>
      </c>
      <c r="D1527" s="120" t="s">
        <v>11148</v>
      </c>
      <c r="E1527" s="12" t="s">
        <v>11168</v>
      </c>
      <c r="F1527" s="264">
        <v>1500</v>
      </c>
      <c r="G1527" s="135">
        <v>345090</v>
      </c>
      <c r="H1527" s="134"/>
      <c r="I1527" s="8" t="s">
        <v>11723</v>
      </c>
    </row>
    <row r="1528" spans="1:9" ht="51" customHeight="1" x14ac:dyDescent="0.2">
      <c r="A1528" s="653" t="s">
        <v>10676</v>
      </c>
      <c r="B1528" s="653" t="s">
        <v>10724</v>
      </c>
      <c r="C1528" s="207" t="s">
        <v>4406</v>
      </c>
      <c r="D1528" s="120" t="s">
        <v>10725</v>
      </c>
      <c r="E1528" s="12" t="s">
        <v>11168</v>
      </c>
      <c r="F1528" s="264">
        <v>134</v>
      </c>
      <c r="G1528" s="135">
        <v>65664.02</v>
      </c>
      <c r="H1528" s="8" t="s">
        <v>13541</v>
      </c>
      <c r="I1528" s="8" t="s">
        <v>13539</v>
      </c>
    </row>
    <row r="1529" spans="1:9" ht="46.5" customHeight="1" x14ac:dyDescent="0.2">
      <c r="A1529" s="653" t="s">
        <v>10748</v>
      </c>
      <c r="B1529" s="639" t="s">
        <v>10761</v>
      </c>
      <c r="C1529" s="209" t="s">
        <v>10760</v>
      </c>
      <c r="D1529" s="263" t="s">
        <v>10759</v>
      </c>
      <c r="E1529" s="12" t="s">
        <v>11168</v>
      </c>
      <c r="F1529" s="135">
        <v>20160</v>
      </c>
      <c r="G1529" s="129">
        <v>14463590.4</v>
      </c>
      <c r="H1529" s="8" t="s">
        <v>13541</v>
      </c>
      <c r="I1529" s="8" t="s">
        <v>13539</v>
      </c>
    </row>
    <row r="1530" spans="1:9" ht="95.25" customHeight="1" x14ac:dyDescent="0.2">
      <c r="A1530" s="653" t="s">
        <v>10749</v>
      </c>
      <c r="B1530" s="639" t="s">
        <v>10792</v>
      </c>
      <c r="C1530" s="209" t="s">
        <v>10791</v>
      </c>
      <c r="D1530" s="263" t="s">
        <v>10794</v>
      </c>
      <c r="E1530" s="12" t="s">
        <v>11168</v>
      </c>
      <c r="F1530" s="262">
        <v>4959</v>
      </c>
      <c r="G1530" s="129">
        <v>11919303.630000001</v>
      </c>
      <c r="H1530" s="19" t="s">
        <v>11774</v>
      </c>
      <c r="I1530" s="19" t="s">
        <v>11776</v>
      </c>
    </row>
    <row r="1531" spans="1:9" ht="33.75" x14ac:dyDescent="0.2">
      <c r="A1531" s="653" t="s">
        <v>10750</v>
      </c>
      <c r="B1531" s="639" t="s">
        <v>10757</v>
      </c>
      <c r="C1531" s="209" t="s">
        <v>10760</v>
      </c>
      <c r="D1531" s="263" t="s">
        <v>10758</v>
      </c>
      <c r="E1531" s="12" t="s">
        <v>11168</v>
      </c>
      <c r="F1531" s="262">
        <v>2742</v>
      </c>
      <c r="G1531" s="129">
        <v>1967220.48</v>
      </c>
      <c r="H1531" s="8" t="s">
        <v>13540</v>
      </c>
      <c r="I1531" s="8" t="s">
        <v>13539</v>
      </c>
    </row>
    <row r="1532" spans="1:9" ht="175.5" customHeight="1" x14ac:dyDescent="0.2">
      <c r="A1532" s="653" t="s">
        <v>10751</v>
      </c>
      <c r="B1532" s="588" t="s">
        <v>12307</v>
      </c>
      <c r="C1532" s="209" t="s">
        <v>11006</v>
      </c>
      <c r="D1532" s="120" t="s">
        <v>11007</v>
      </c>
      <c r="E1532" s="12" t="s">
        <v>11168</v>
      </c>
      <c r="F1532" s="262">
        <v>6424</v>
      </c>
      <c r="G1532" s="135">
        <v>11381465.039999999</v>
      </c>
      <c r="H1532" s="8" t="s">
        <v>11779</v>
      </c>
      <c r="I1532" s="8" t="s">
        <v>11777</v>
      </c>
    </row>
    <row r="1533" spans="1:9" s="5" customFormat="1" ht="38.25" customHeight="1" x14ac:dyDescent="0.2">
      <c r="A1533" s="653" t="s">
        <v>10752</v>
      </c>
      <c r="B1533" s="653" t="s">
        <v>10947</v>
      </c>
      <c r="C1533" s="207" t="s">
        <v>11005</v>
      </c>
      <c r="D1533" s="12" t="s">
        <v>10946</v>
      </c>
      <c r="E1533" s="12" t="s">
        <v>11168</v>
      </c>
      <c r="F1533" s="262">
        <v>3517</v>
      </c>
      <c r="G1533" s="129">
        <v>1159484.56</v>
      </c>
      <c r="H1533" s="8" t="s">
        <v>11779</v>
      </c>
      <c r="I1533" s="101" t="s">
        <v>13979</v>
      </c>
    </row>
    <row r="1534" spans="1:9" ht="84" customHeight="1" x14ac:dyDescent="0.2">
      <c r="A1534" s="653" t="s">
        <v>10753</v>
      </c>
      <c r="B1534" s="639" t="s">
        <v>11087</v>
      </c>
      <c r="C1534" s="209" t="s">
        <v>10960</v>
      </c>
      <c r="D1534" s="263" t="s">
        <v>10961</v>
      </c>
      <c r="E1534" s="12" t="s">
        <v>11168</v>
      </c>
      <c r="F1534" s="262">
        <v>5747</v>
      </c>
      <c r="G1534" s="129">
        <v>13209709.380000001</v>
      </c>
      <c r="H1534" s="8" t="s">
        <v>11778</v>
      </c>
      <c r="I1534" s="101" t="s">
        <v>13979</v>
      </c>
    </row>
    <row r="1535" spans="1:9" ht="69" customHeight="1" x14ac:dyDescent="0.2">
      <c r="A1535" s="653" t="s">
        <v>10754</v>
      </c>
      <c r="B1535" s="639" t="s">
        <v>11122</v>
      </c>
      <c r="C1535" s="209" t="s">
        <v>11120</v>
      </c>
      <c r="D1535" s="263" t="s">
        <v>11121</v>
      </c>
      <c r="E1535" s="12" t="s">
        <v>11168</v>
      </c>
      <c r="F1535" s="262">
        <v>3048</v>
      </c>
      <c r="G1535" s="129">
        <v>7005949.9199999999</v>
      </c>
      <c r="H1535" s="8" t="s">
        <v>11781</v>
      </c>
      <c r="I1535" s="8" t="s">
        <v>11782</v>
      </c>
    </row>
    <row r="1536" spans="1:9" ht="81" customHeight="1" x14ac:dyDescent="0.2">
      <c r="A1536" s="653" t="s">
        <v>10963</v>
      </c>
      <c r="B1536" s="653" t="s">
        <v>11041</v>
      </c>
      <c r="C1536" s="207" t="s">
        <v>6897</v>
      </c>
      <c r="D1536" s="120" t="s">
        <v>11039</v>
      </c>
      <c r="E1536" s="12" t="s">
        <v>11168</v>
      </c>
      <c r="F1536" s="262">
        <v>3606</v>
      </c>
      <c r="G1536" s="129">
        <v>1877824.5</v>
      </c>
      <c r="H1536" s="8" t="s">
        <v>11771</v>
      </c>
      <c r="I1536" s="8" t="s">
        <v>11780</v>
      </c>
    </row>
    <row r="1537" spans="1:9" ht="84" customHeight="1" x14ac:dyDescent="0.2">
      <c r="A1537" s="653" t="s">
        <v>10964</v>
      </c>
      <c r="B1537" s="653" t="s">
        <v>10877</v>
      </c>
      <c r="C1537" s="207" t="s">
        <v>10879</v>
      </c>
      <c r="D1537" s="12" t="s">
        <v>9421</v>
      </c>
      <c r="E1537" s="222" t="s">
        <v>11168</v>
      </c>
      <c r="F1537" s="133">
        <v>11469</v>
      </c>
      <c r="G1537" s="135">
        <v>26361265.699999999</v>
      </c>
      <c r="H1537" s="8" t="s">
        <v>11773</v>
      </c>
      <c r="I1537" s="101" t="s">
        <v>13976</v>
      </c>
    </row>
    <row r="1538" spans="1:9" s="5" customFormat="1" ht="82.5" customHeight="1" x14ac:dyDescent="0.2">
      <c r="A1538" s="653" t="s">
        <v>10965</v>
      </c>
      <c r="B1538" s="653" t="s">
        <v>11202</v>
      </c>
      <c r="C1538" s="207" t="s">
        <v>11134</v>
      </c>
      <c r="D1538" s="263" t="s">
        <v>11133</v>
      </c>
      <c r="E1538" s="12" t="s">
        <v>11168</v>
      </c>
      <c r="F1538" s="262">
        <v>5880</v>
      </c>
      <c r="G1538" s="129">
        <v>13515415.199999999</v>
      </c>
      <c r="H1538" s="8" t="s">
        <v>11387</v>
      </c>
      <c r="I1538" s="101" t="s">
        <v>13977</v>
      </c>
    </row>
    <row r="1539" spans="1:9" ht="81.75" customHeight="1" x14ac:dyDescent="0.2">
      <c r="A1539" s="653" t="s">
        <v>11029</v>
      </c>
      <c r="B1539" s="653" t="s">
        <v>11041</v>
      </c>
      <c r="C1539" s="419" t="s">
        <v>11048</v>
      </c>
      <c r="D1539" s="120" t="s">
        <v>11356</v>
      </c>
      <c r="E1539" s="12" t="s">
        <v>11168</v>
      </c>
      <c r="F1539" s="262">
        <v>2260</v>
      </c>
      <c r="G1539" s="129">
        <v>5644711.5999999996</v>
      </c>
      <c r="H1539" s="101" t="s">
        <v>11542</v>
      </c>
      <c r="I1539" s="8" t="s">
        <v>13978</v>
      </c>
    </row>
    <row r="1540" spans="1:9" ht="105.75" customHeight="1" x14ac:dyDescent="0.2">
      <c r="A1540" s="653" t="s">
        <v>11030</v>
      </c>
      <c r="B1540" s="653" t="s">
        <v>11357</v>
      </c>
      <c r="C1540" s="207" t="s">
        <v>11358</v>
      </c>
      <c r="D1540" s="120" t="s">
        <v>11032</v>
      </c>
      <c r="E1540" s="12" t="s">
        <v>11168</v>
      </c>
      <c r="F1540" s="262">
        <v>3531</v>
      </c>
      <c r="G1540" s="129">
        <v>7897717.0800000001</v>
      </c>
      <c r="H1540" s="101" t="s">
        <v>11543</v>
      </c>
      <c r="I1540" s="101" t="s">
        <v>11544</v>
      </c>
    </row>
    <row r="1541" spans="1:9" ht="42" customHeight="1" x14ac:dyDescent="0.2">
      <c r="A1541" s="653" t="s">
        <v>11031</v>
      </c>
      <c r="B1541" s="653" t="s">
        <v>10755</v>
      </c>
      <c r="C1541" s="207" t="s">
        <v>4406</v>
      </c>
      <c r="D1541" s="120" t="s">
        <v>10756</v>
      </c>
      <c r="E1541" s="12" t="s">
        <v>11168</v>
      </c>
      <c r="F1541" s="264">
        <v>13631</v>
      </c>
      <c r="G1541" s="135">
        <v>6679598.9299999997</v>
      </c>
      <c r="H1541" s="19" t="s">
        <v>13540</v>
      </c>
      <c r="I1541" s="101" t="s">
        <v>11725</v>
      </c>
    </row>
    <row r="1542" spans="1:9" ht="187.5" customHeight="1" x14ac:dyDescent="0.2">
      <c r="A1542" s="653" t="s">
        <v>11035</v>
      </c>
      <c r="B1542" s="422" t="s">
        <v>11752</v>
      </c>
      <c r="C1542" s="10" t="s">
        <v>5873</v>
      </c>
      <c r="D1542" s="423" t="s">
        <v>11164</v>
      </c>
      <c r="E1542" s="12" t="s">
        <v>11168</v>
      </c>
      <c r="F1542" s="415">
        <v>4325</v>
      </c>
      <c r="G1542" s="129">
        <v>10234636.75</v>
      </c>
      <c r="H1542" s="424" t="s">
        <v>12263</v>
      </c>
      <c r="I1542" s="101" t="s">
        <v>13980</v>
      </c>
    </row>
    <row r="1543" spans="1:9" ht="45" x14ac:dyDescent="0.2">
      <c r="A1543" s="653" t="s">
        <v>11036</v>
      </c>
      <c r="B1543" s="199" t="s">
        <v>11171</v>
      </c>
      <c r="C1543" s="207" t="s">
        <v>11169</v>
      </c>
      <c r="D1543" s="120" t="s">
        <v>11170</v>
      </c>
      <c r="E1543" s="12" t="s">
        <v>11168</v>
      </c>
      <c r="F1543" s="262">
        <v>1163</v>
      </c>
      <c r="G1543" s="129">
        <v>120149.53</v>
      </c>
      <c r="H1543" s="134"/>
      <c r="I1543" s="101" t="s">
        <v>11723</v>
      </c>
    </row>
    <row r="1544" spans="1:9" ht="45" x14ac:dyDescent="0.2">
      <c r="A1544" s="653" t="s">
        <v>11037</v>
      </c>
      <c r="B1544" s="199" t="s">
        <v>11171</v>
      </c>
      <c r="C1544" s="207" t="s">
        <v>11173</v>
      </c>
      <c r="D1544" s="120" t="s">
        <v>11172</v>
      </c>
      <c r="E1544" s="12" t="s">
        <v>11168</v>
      </c>
      <c r="F1544" s="262">
        <v>896</v>
      </c>
      <c r="G1544" s="129">
        <v>94626.559999999998</v>
      </c>
      <c r="H1544" s="134"/>
      <c r="I1544" s="101" t="s">
        <v>11723</v>
      </c>
    </row>
    <row r="1545" spans="1:9" ht="104.25" customHeight="1" x14ac:dyDescent="0.2">
      <c r="A1545" s="653" t="s">
        <v>11038</v>
      </c>
      <c r="B1545" s="653" t="s">
        <v>11167</v>
      </c>
      <c r="C1545" s="207" t="s">
        <v>11370</v>
      </c>
      <c r="D1545" s="120" t="s">
        <v>11371</v>
      </c>
      <c r="E1545" s="12" t="s">
        <v>7036</v>
      </c>
      <c r="F1545" s="264">
        <v>8387</v>
      </c>
      <c r="G1545" s="129">
        <v>19661057.010000002</v>
      </c>
      <c r="H1545" s="101" t="s">
        <v>11546</v>
      </c>
      <c r="I1545" s="101" t="s">
        <v>11545</v>
      </c>
    </row>
    <row r="1546" spans="1:9" ht="48" customHeight="1" x14ac:dyDescent="0.2">
      <c r="A1546" s="653" t="s">
        <v>11123</v>
      </c>
      <c r="B1546" s="10" t="s">
        <v>11350</v>
      </c>
      <c r="C1546" s="10" t="s">
        <v>11352</v>
      </c>
      <c r="D1546" s="713" t="s">
        <v>11348</v>
      </c>
      <c r="E1546" s="12" t="s">
        <v>7036</v>
      </c>
      <c r="F1546" s="415">
        <v>10989</v>
      </c>
      <c r="G1546" s="129">
        <v>1868.13</v>
      </c>
      <c r="H1546" s="101" t="s">
        <v>11783</v>
      </c>
      <c r="I1546" s="199" t="s">
        <v>13979</v>
      </c>
    </row>
    <row r="1547" spans="1:9" ht="81.75" customHeight="1" x14ac:dyDescent="0.2">
      <c r="A1547" s="653" t="s">
        <v>11124</v>
      </c>
      <c r="B1547" s="653" t="s">
        <v>11041</v>
      </c>
      <c r="C1547" s="419" t="s">
        <v>11354</v>
      </c>
      <c r="D1547" s="120" t="s">
        <v>11355</v>
      </c>
      <c r="E1547" s="12" t="s">
        <v>11168</v>
      </c>
      <c r="F1547" s="415">
        <v>3222</v>
      </c>
      <c r="G1547" s="129">
        <v>8047460.5199999996</v>
      </c>
      <c r="H1547" s="101" t="s">
        <v>11784</v>
      </c>
      <c r="I1547" s="199" t="s">
        <v>13979</v>
      </c>
    </row>
    <row r="1548" spans="1:9" ht="51.75" customHeight="1" x14ac:dyDescent="0.2">
      <c r="A1548" s="653" t="s">
        <v>11125</v>
      </c>
      <c r="B1548" s="10" t="s">
        <v>11351</v>
      </c>
      <c r="C1548" s="419" t="s">
        <v>12549</v>
      </c>
      <c r="D1548" s="120" t="s">
        <v>11347</v>
      </c>
      <c r="E1548" s="12" t="s">
        <v>7036</v>
      </c>
      <c r="F1548" s="415">
        <v>304</v>
      </c>
      <c r="G1548" s="129">
        <v>679950.72</v>
      </c>
      <c r="H1548" s="101" t="s">
        <v>11785</v>
      </c>
      <c r="I1548" s="199" t="s">
        <v>13979</v>
      </c>
    </row>
    <row r="1549" spans="1:9" ht="37.5" customHeight="1" x14ac:dyDescent="0.2">
      <c r="A1549" s="653" t="s">
        <v>11126</v>
      </c>
      <c r="B1549" s="10" t="s">
        <v>11470</v>
      </c>
      <c r="C1549" s="417" t="s">
        <v>11378</v>
      </c>
      <c r="D1549" s="657" t="s">
        <v>11377</v>
      </c>
      <c r="E1549" s="12" t="s">
        <v>7036</v>
      </c>
      <c r="F1549" s="264">
        <v>1491</v>
      </c>
      <c r="G1549" s="129">
        <v>3384152.52</v>
      </c>
      <c r="H1549" s="364"/>
      <c r="I1549" s="416" t="s">
        <v>11725</v>
      </c>
    </row>
    <row r="1550" spans="1:9" ht="82.5" customHeight="1" x14ac:dyDescent="0.2">
      <c r="A1550" s="653" t="s">
        <v>11349</v>
      </c>
      <c r="B1550" s="10" t="s">
        <v>11404</v>
      </c>
      <c r="C1550" s="716" t="s">
        <v>13981</v>
      </c>
      <c r="D1550" s="120" t="s">
        <v>11402</v>
      </c>
      <c r="E1550" s="12" t="s">
        <v>7036</v>
      </c>
      <c r="F1550" s="264">
        <v>3056</v>
      </c>
      <c r="G1550" s="129" t="s">
        <v>11502</v>
      </c>
      <c r="H1550" s="416" t="s">
        <v>11753</v>
      </c>
      <c r="I1550" s="199" t="s">
        <v>13979</v>
      </c>
    </row>
    <row r="1551" spans="1:9" ht="81.75" customHeight="1" x14ac:dyDescent="0.2">
      <c r="A1551" s="653" t="s">
        <v>11463</v>
      </c>
      <c r="B1551" s="234" t="s">
        <v>11404</v>
      </c>
      <c r="C1551" s="8" t="s">
        <v>11501</v>
      </c>
      <c r="D1551" s="8" t="s">
        <v>11500</v>
      </c>
      <c r="E1551" s="222" t="s">
        <v>7036</v>
      </c>
      <c r="F1551" s="425">
        <v>6312</v>
      </c>
      <c r="G1551" s="22">
        <v>15402911.949999999</v>
      </c>
      <c r="H1551" s="416" t="s">
        <v>11541</v>
      </c>
      <c r="I1551" s="199" t="s">
        <v>11529</v>
      </c>
    </row>
    <row r="1552" spans="1:9" ht="81.75" customHeight="1" x14ac:dyDescent="0.2">
      <c r="A1552" s="653" t="s">
        <v>11464</v>
      </c>
      <c r="B1552" s="234" t="s">
        <v>11404</v>
      </c>
      <c r="C1552" s="8" t="s">
        <v>11527</v>
      </c>
      <c r="D1552" s="8" t="s">
        <v>11528</v>
      </c>
      <c r="E1552" s="222" t="s">
        <v>11168</v>
      </c>
      <c r="F1552" s="425">
        <v>4836</v>
      </c>
      <c r="G1552" s="119">
        <v>11746112.039999999</v>
      </c>
      <c r="H1552" s="416" t="s">
        <v>11541</v>
      </c>
      <c r="I1552" s="416" t="s">
        <v>13982</v>
      </c>
    </row>
    <row r="1553" spans="1:9" ht="84" customHeight="1" x14ac:dyDescent="0.2">
      <c r="A1553" s="653" t="s">
        <v>11465</v>
      </c>
      <c r="B1553" s="10" t="s">
        <v>11849</v>
      </c>
      <c r="C1553" s="10" t="s">
        <v>11746</v>
      </c>
      <c r="D1553" s="423" t="s">
        <v>11747</v>
      </c>
      <c r="E1553" s="12" t="s">
        <v>11168</v>
      </c>
      <c r="F1553" s="415">
        <v>6785</v>
      </c>
      <c r="G1553" s="129">
        <v>16055956.15</v>
      </c>
      <c r="H1553" s="424" t="s">
        <v>12263</v>
      </c>
      <c r="I1553" s="416" t="s">
        <v>13983</v>
      </c>
    </row>
    <row r="1554" spans="1:9" ht="49.5" customHeight="1" x14ac:dyDescent="0.2">
      <c r="A1554" s="653" t="s">
        <v>11525</v>
      </c>
      <c r="B1554" s="199" t="s">
        <v>8376</v>
      </c>
      <c r="C1554" s="10" t="s">
        <v>11748</v>
      </c>
      <c r="D1554" s="8" t="s">
        <v>11749</v>
      </c>
      <c r="E1554" s="12" t="s">
        <v>11168</v>
      </c>
      <c r="F1554" s="415">
        <v>1500</v>
      </c>
      <c r="G1554" s="129">
        <v>175440</v>
      </c>
      <c r="H1554" s="424"/>
      <c r="I1554" s="129" t="s">
        <v>11723</v>
      </c>
    </row>
    <row r="1555" spans="1:9" ht="49.5" customHeight="1" x14ac:dyDescent="0.2">
      <c r="A1555" s="653" t="s">
        <v>11526</v>
      </c>
      <c r="B1555" s="199" t="s">
        <v>8376</v>
      </c>
      <c r="C1555" s="10" t="s">
        <v>11750</v>
      </c>
      <c r="D1555" s="8" t="s">
        <v>11751</v>
      </c>
      <c r="E1555" s="12" t="s">
        <v>11168</v>
      </c>
      <c r="F1555" s="415">
        <v>1455</v>
      </c>
      <c r="G1555" s="129">
        <v>170176.8</v>
      </c>
      <c r="H1555" s="424"/>
      <c r="I1555" s="129" t="s">
        <v>11723</v>
      </c>
    </row>
    <row r="1556" spans="1:9" ht="38.25" customHeight="1" x14ac:dyDescent="0.2">
      <c r="A1556" s="653" t="s">
        <v>11850</v>
      </c>
      <c r="B1556" s="199" t="s">
        <v>11851</v>
      </c>
      <c r="C1556" s="426" t="s">
        <v>6143</v>
      </c>
      <c r="D1556" s="8" t="s">
        <v>11852</v>
      </c>
      <c r="E1556" s="12" t="s">
        <v>11168</v>
      </c>
      <c r="F1556" s="427">
        <v>754</v>
      </c>
      <c r="G1556" s="427">
        <v>1600161.42</v>
      </c>
      <c r="H1556" s="364"/>
      <c r="I1556" s="416" t="s">
        <v>11725</v>
      </c>
    </row>
    <row r="1557" spans="1:9" ht="36" customHeight="1" x14ac:dyDescent="0.2">
      <c r="A1557" s="653" t="s">
        <v>11853</v>
      </c>
      <c r="B1557" s="199" t="s">
        <v>11396</v>
      </c>
      <c r="C1557" s="260" t="s">
        <v>9444</v>
      </c>
      <c r="D1557" s="12" t="s">
        <v>11477</v>
      </c>
      <c r="E1557" s="155" t="s">
        <v>7028</v>
      </c>
      <c r="F1557" s="57">
        <v>6367</v>
      </c>
      <c r="G1557" s="258">
        <v>4338155.45</v>
      </c>
      <c r="H1557" s="364"/>
      <c r="I1557" s="416" t="s">
        <v>11725</v>
      </c>
    </row>
    <row r="1558" spans="1:9" ht="36.75" customHeight="1" x14ac:dyDescent="0.2">
      <c r="A1558" s="653" t="s">
        <v>11854</v>
      </c>
      <c r="B1558" s="199" t="s">
        <v>11855</v>
      </c>
      <c r="C1558" s="647" t="s">
        <v>11856</v>
      </c>
      <c r="D1558" s="270" t="s">
        <v>11857</v>
      </c>
      <c r="E1558" s="155" t="s">
        <v>7028</v>
      </c>
      <c r="F1558" s="415">
        <v>40267</v>
      </c>
      <c r="G1558" s="221">
        <v>78179991.180000007</v>
      </c>
      <c r="H1558" s="416" t="s">
        <v>13984</v>
      </c>
      <c r="I1558" s="416" t="s">
        <v>11725</v>
      </c>
    </row>
    <row r="1559" spans="1:9" ht="33.75" x14ac:dyDescent="0.2">
      <c r="A1559" s="653" t="s">
        <v>11858</v>
      </c>
      <c r="B1559" s="199" t="s">
        <v>11855</v>
      </c>
      <c r="C1559" s="647" t="s">
        <v>5964</v>
      </c>
      <c r="D1559" s="270" t="s">
        <v>11859</v>
      </c>
      <c r="E1559" s="155" t="s">
        <v>7028</v>
      </c>
      <c r="F1559" s="415">
        <v>6469</v>
      </c>
      <c r="G1559" s="221">
        <v>10060653.49</v>
      </c>
      <c r="H1559" s="416" t="s">
        <v>13984</v>
      </c>
      <c r="I1559" s="416" t="s">
        <v>11725</v>
      </c>
    </row>
    <row r="1560" spans="1:9" ht="91.5" customHeight="1" x14ac:dyDescent="0.2">
      <c r="A1560" s="653" t="s">
        <v>11860</v>
      </c>
      <c r="B1560" s="203" t="s">
        <v>11861</v>
      </c>
      <c r="C1560" s="635" t="s">
        <v>11862</v>
      </c>
      <c r="D1560" s="428" t="s">
        <v>11863</v>
      </c>
      <c r="E1560" s="429" t="s">
        <v>7028</v>
      </c>
      <c r="F1560" s="262">
        <v>5140</v>
      </c>
      <c r="G1560" s="221">
        <v>8246718.7999999998</v>
      </c>
      <c r="H1560" s="430" t="s">
        <v>11406</v>
      </c>
      <c r="I1560" s="430" t="s">
        <v>11865</v>
      </c>
    </row>
    <row r="1561" spans="1:9" ht="95.25" customHeight="1" x14ac:dyDescent="0.2">
      <c r="A1561" s="653" t="s">
        <v>11866</v>
      </c>
      <c r="B1561" s="199" t="s">
        <v>11867</v>
      </c>
      <c r="C1561" s="635" t="s">
        <v>11868</v>
      </c>
      <c r="D1561" s="428" t="s">
        <v>11869</v>
      </c>
      <c r="E1561" s="429" t="s">
        <v>11870</v>
      </c>
      <c r="F1561" s="262">
        <v>420943</v>
      </c>
      <c r="G1561" s="221">
        <v>158704322.94</v>
      </c>
      <c r="H1561" s="430" t="s">
        <v>13540</v>
      </c>
      <c r="I1561" s="203" t="s">
        <v>11725</v>
      </c>
    </row>
    <row r="1562" spans="1:9" ht="33.75" x14ac:dyDescent="0.2">
      <c r="A1562" s="653" t="s">
        <v>11871</v>
      </c>
      <c r="B1562" s="203" t="s">
        <v>11872</v>
      </c>
      <c r="C1562" s="635" t="s">
        <v>11873</v>
      </c>
      <c r="D1562" s="428" t="s">
        <v>11874</v>
      </c>
      <c r="E1562" s="429" t="s">
        <v>7028</v>
      </c>
      <c r="F1562" s="262">
        <v>10282</v>
      </c>
      <c r="G1562" s="129">
        <v>7376718.0800000001</v>
      </c>
      <c r="H1562" s="430" t="s">
        <v>11864</v>
      </c>
      <c r="I1562" s="203" t="s">
        <v>11725</v>
      </c>
    </row>
    <row r="1563" spans="1:9" ht="33.75" x14ac:dyDescent="0.2">
      <c r="A1563" s="653" t="s">
        <v>11875</v>
      </c>
      <c r="B1563" s="203" t="s">
        <v>11876</v>
      </c>
      <c r="C1563" s="635" t="s">
        <v>11877</v>
      </c>
      <c r="D1563" s="428" t="s">
        <v>11878</v>
      </c>
      <c r="E1563" s="429" t="s">
        <v>7028</v>
      </c>
      <c r="F1563" s="262">
        <v>40</v>
      </c>
      <c r="G1563" s="129">
        <v>28697.599999999999</v>
      </c>
      <c r="H1563" s="430"/>
      <c r="I1563" s="203" t="s">
        <v>11725</v>
      </c>
    </row>
    <row r="1564" spans="1:9" ht="45" x14ac:dyDescent="0.2">
      <c r="A1564" s="653" t="s">
        <v>11879</v>
      </c>
      <c r="B1564" s="203" t="s">
        <v>11880</v>
      </c>
      <c r="C1564" s="635" t="s">
        <v>11881</v>
      </c>
      <c r="D1564" s="428" t="s">
        <v>11882</v>
      </c>
      <c r="E1564" s="429" t="s">
        <v>7028</v>
      </c>
      <c r="F1564" s="262">
        <v>11651</v>
      </c>
      <c r="G1564" s="262">
        <v>4676245.3600000003</v>
      </c>
      <c r="H1564" s="416" t="s">
        <v>13969</v>
      </c>
      <c r="I1564" s="203" t="s">
        <v>13985</v>
      </c>
    </row>
    <row r="1565" spans="1:9" ht="34.5" customHeight="1" x14ac:dyDescent="0.2">
      <c r="A1565" s="653" t="s">
        <v>11883</v>
      </c>
      <c r="B1565" s="203" t="s">
        <v>11884</v>
      </c>
      <c r="C1565" s="635" t="s">
        <v>11885</v>
      </c>
      <c r="D1565" s="428" t="s">
        <v>11886</v>
      </c>
      <c r="E1565" s="429" t="s">
        <v>7028</v>
      </c>
      <c r="F1565" s="262">
        <v>9993</v>
      </c>
      <c r="G1565" s="262">
        <v>4896869.79</v>
      </c>
      <c r="H1565" s="416"/>
      <c r="I1565" s="203" t="s">
        <v>11887</v>
      </c>
    </row>
    <row r="1566" spans="1:9" ht="69" customHeight="1" x14ac:dyDescent="0.2">
      <c r="A1566" s="653" t="s">
        <v>11888</v>
      </c>
      <c r="B1566" s="10" t="s">
        <v>11889</v>
      </c>
      <c r="C1566" s="10" t="s">
        <v>12550</v>
      </c>
      <c r="D1566" s="263" t="s">
        <v>11890</v>
      </c>
      <c r="E1566" s="10" t="s">
        <v>7028</v>
      </c>
      <c r="F1566" s="262">
        <v>1600</v>
      </c>
      <c r="G1566" s="262">
        <v>5077568</v>
      </c>
      <c r="H1566" s="717" t="s">
        <v>13986</v>
      </c>
      <c r="I1566" s="203" t="s">
        <v>13979</v>
      </c>
    </row>
    <row r="1567" spans="1:9" ht="90" x14ac:dyDescent="0.2">
      <c r="A1567" s="653" t="s">
        <v>11891</v>
      </c>
      <c r="B1567" s="10" t="s">
        <v>12551</v>
      </c>
      <c r="C1567" s="234" t="s">
        <v>12552</v>
      </c>
      <c r="D1567" s="263" t="s">
        <v>12553</v>
      </c>
      <c r="E1567" s="234" t="s">
        <v>7028</v>
      </c>
      <c r="F1567" s="262">
        <v>2719</v>
      </c>
      <c r="G1567" s="262">
        <v>1068888</v>
      </c>
      <c r="H1567" s="199" t="s">
        <v>11892</v>
      </c>
      <c r="I1567" s="199" t="s">
        <v>13987</v>
      </c>
    </row>
    <row r="1568" spans="1:9" ht="81" customHeight="1" x14ac:dyDescent="0.2">
      <c r="A1568" s="653" t="s">
        <v>11893</v>
      </c>
      <c r="B1568" s="10" t="s">
        <v>11894</v>
      </c>
      <c r="C1568" s="234" t="s">
        <v>11895</v>
      </c>
      <c r="D1568" s="263" t="s">
        <v>11896</v>
      </c>
      <c r="E1568" s="234" t="s">
        <v>7028</v>
      </c>
      <c r="F1568" s="262">
        <v>4801</v>
      </c>
      <c r="G1568" s="262">
        <v>11035290.539999999</v>
      </c>
      <c r="H1568" s="199" t="s">
        <v>11897</v>
      </c>
      <c r="I1568" s="203" t="s">
        <v>13979</v>
      </c>
    </row>
    <row r="1569" spans="1:9" ht="78.75" x14ac:dyDescent="0.2">
      <c r="A1569" s="653" t="s">
        <v>11898</v>
      </c>
      <c r="B1569" s="234" t="s">
        <v>11202</v>
      </c>
      <c r="C1569" s="234" t="s">
        <v>11899</v>
      </c>
      <c r="D1569" s="263" t="s">
        <v>11900</v>
      </c>
      <c r="E1569" s="234" t="s">
        <v>7028</v>
      </c>
      <c r="F1569" s="262">
        <v>5879</v>
      </c>
      <c r="G1569" s="262">
        <v>13392068.050000001</v>
      </c>
      <c r="H1569" s="416" t="s">
        <v>11901</v>
      </c>
      <c r="I1569" s="416" t="s">
        <v>11902</v>
      </c>
    </row>
    <row r="1570" spans="1:9" ht="45" x14ac:dyDescent="0.2">
      <c r="A1570" s="653" t="s">
        <v>11903</v>
      </c>
      <c r="B1570" s="234" t="s">
        <v>12554</v>
      </c>
      <c r="C1570" s="234" t="s">
        <v>12555</v>
      </c>
      <c r="D1570" s="263" t="s">
        <v>11904</v>
      </c>
      <c r="E1570" s="234" t="s">
        <v>7028</v>
      </c>
      <c r="F1570" s="262">
        <v>1377</v>
      </c>
      <c r="G1570" s="132">
        <v>3305970.45</v>
      </c>
      <c r="H1570" s="199" t="s">
        <v>11905</v>
      </c>
      <c r="I1570" s="203" t="s">
        <v>13988</v>
      </c>
    </row>
    <row r="1571" spans="1:9" ht="78.75" x14ac:dyDescent="0.2">
      <c r="A1571" s="653" t="s">
        <v>12280</v>
      </c>
      <c r="B1571" s="234" t="s">
        <v>12281</v>
      </c>
      <c r="C1571" s="234" t="s">
        <v>12282</v>
      </c>
      <c r="D1571" s="263" t="s">
        <v>12283</v>
      </c>
      <c r="E1571" s="234" t="s">
        <v>7028</v>
      </c>
      <c r="F1571" s="262">
        <v>3675</v>
      </c>
      <c r="G1571" s="262">
        <v>15168559.9</v>
      </c>
      <c r="H1571" s="199" t="s">
        <v>12284</v>
      </c>
      <c r="I1571" s="203" t="s">
        <v>13979</v>
      </c>
    </row>
    <row r="1572" spans="1:9" ht="37.5" customHeight="1" x14ac:dyDescent="0.2">
      <c r="A1572" s="653" t="s">
        <v>12285</v>
      </c>
      <c r="B1572" s="234" t="s">
        <v>12286</v>
      </c>
      <c r="C1572" s="646" t="s">
        <v>5867</v>
      </c>
      <c r="D1572" s="263" t="s">
        <v>12287</v>
      </c>
      <c r="E1572" s="234" t="s">
        <v>7028</v>
      </c>
      <c r="F1572" s="262">
        <v>305</v>
      </c>
      <c r="G1572" s="262">
        <v>744154.25</v>
      </c>
      <c r="H1572" s="199" t="s">
        <v>12288</v>
      </c>
      <c r="I1572" s="203" t="s">
        <v>11725</v>
      </c>
    </row>
    <row r="1573" spans="1:9" ht="82.5" customHeight="1" x14ac:dyDescent="0.2">
      <c r="A1573" s="653" t="s">
        <v>12289</v>
      </c>
      <c r="B1573" s="234" t="s">
        <v>12290</v>
      </c>
      <c r="C1573" s="234" t="s">
        <v>12291</v>
      </c>
      <c r="D1573" s="263" t="s">
        <v>12292</v>
      </c>
      <c r="E1573" s="234" t="s">
        <v>7028</v>
      </c>
      <c r="F1573" s="262">
        <v>3775</v>
      </c>
      <c r="G1573" s="262"/>
      <c r="H1573" s="199" t="s">
        <v>6923</v>
      </c>
      <c r="I1573" s="203" t="s">
        <v>13979</v>
      </c>
    </row>
    <row r="1574" spans="1:9" ht="33.75" x14ac:dyDescent="0.2">
      <c r="A1574" s="653" t="s">
        <v>12293</v>
      </c>
      <c r="B1574" s="234" t="s">
        <v>12294</v>
      </c>
      <c r="C1574" s="635" t="s">
        <v>12295</v>
      </c>
      <c r="D1574" s="428" t="s">
        <v>12296</v>
      </c>
      <c r="E1574" s="234" t="s">
        <v>7028</v>
      </c>
      <c r="F1574" s="262">
        <v>1830</v>
      </c>
      <c r="G1574" s="262">
        <v>4220766.9000000004</v>
      </c>
      <c r="H1574" s="416" t="s">
        <v>12297</v>
      </c>
      <c r="I1574" s="416" t="s">
        <v>12298</v>
      </c>
    </row>
    <row r="1575" spans="1:9" ht="82.5" customHeight="1" x14ac:dyDescent="0.2">
      <c r="A1575" s="653" t="s">
        <v>12299</v>
      </c>
      <c r="B1575" s="203" t="s">
        <v>12556</v>
      </c>
      <c r="C1575" s="630" t="s">
        <v>12557</v>
      </c>
      <c r="D1575" s="263" t="s">
        <v>12558</v>
      </c>
      <c r="E1575" s="234" t="s">
        <v>7028</v>
      </c>
      <c r="F1575" s="262">
        <v>1644</v>
      </c>
      <c r="G1575" s="262">
        <v>659835.84</v>
      </c>
      <c r="H1575" s="199" t="s">
        <v>12559</v>
      </c>
      <c r="I1575" s="203" t="s">
        <v>13979</v>
      </c>
    </row>
    <row r="1576" spans="1:9" ht="51" customHeight="1" x14ac:dyDescent="0.2">
      <c r="A1576" s="653" t="s">
        <v>12300</v>
      </c>
      <c r="B1576" s="234" t="s">
        <v>12301</v>
      </c>
      <c r="C1576" s="635" t="s">
        <v>12302</v>
      </c>
      <c r="D1576" s="428" t="s">
        <v>12303</v>
      </c>
      <c r="E1576" s="234" t="s">
        <v>7028</v>
      </c>
      <c r="F1576" s="262">
        <v>22018</v>
      </c>
      <c r="G1576" s="262">
        <v>3743.06</v>
      </c>
      <c r="H1576" s="416" t="s">
        <v>12304</v>
      </c>
      <c r="I1576" s="416" t="s">
        <v>12305</v>
      </c>
    </row>
    <row r="1577" spans="1:9" ht="180" x14ac:dyDescent="0.2">
      <c r="A1577" s="653" t="s">
        <v>12306</v>
      </c>
      <c r="B1577" s="589" t="s">
        <v>12307</v>
      </c>
      <c r="C1577" s="635" t="s">
        <v>12308</v>
      </c>
      <c r="D1577" s="428" t="s">
        <v>12309</v>
      </c>
      <c r="E1577" s="234" t="s">
        <v>7028</v>
      </c>
      <c r="F1577" s="262">
        <v>877</v>
      </c>
      <c r="G1577" s="262">
        <v>1541844.93</v>
      </c>
      <c r="H1577" s="8" t="s">
        <v>11779</v>
      </c>
      <c r="I1577" s="416" t="s">
        <v>12310</v>
      </c>
    </row>
    <row r="1578" spans="1:9" ht="180" x14ac:dyDescent="0.2">
      <c r="A1578" s="653" t="s">
        <v>12311</v>
      </c>
      <c r="B1578" s="589" t="s">
        <v>12307</v>
      </c>
      <c r="C1578" s="635" t="s">
        <v>12312</v>
      </c>
      <c r="D1578" s="428" t="s">
        <v>12313</v>
      </c>
      <c r="E1578" s="234" t="s">
        <v>7028</v>
      </c>
      <c r="F1578" s="262">
        <v>1997</v>
      </c>
      <c r="G1578" s="262">
        <v>4466649.96</v>
      </c>
      <c r="H1578" s="8" t="s">
        <v>11779</v>
      </c>
      <c r="I1578" s="416" t="s">
        <v>12314</v>
      </c>
    </row>
    <row r="1579" spans="1:9" ht="135" x14ac:dyDescent="0.2">
      <c r="A1579" s="653" t="s">
        <v>12315</v>
      </c>
      <c r="B1579" s="589" t="s">
        <v>12316</v>
      </c>
      <c r="C1579" s="635" t="s">
        <v>12317</v>
      </c>
      <c r="D1579" s="428" t="s">
        <v>12318</v>
      </c>
      <c r="E1579" s="234" t="s">
        <v>7028</v>
      </c>
      <c r="F1579" s="262">
        <v>2596</v>
      </c>
      <c r="G1579" s="262">
        <v>6143148.4400000004</v>
      </c>
      <c r="H1579" s="8" t="s">
        <v>11779</v>
      </c>
      <c r="I1579" s="416" t="s">
        <v>12319</v>
      </c>
    </row>
    <row r="1580" spans="1:9" ht="180" x14ac:dyDescent="0.2">
      <c r="A1580" s="653" t="s">
        <v>12320</v>
      </c>
      <c r="B1580" s="589" t="s">
        <v>12307</v>
      </c>
      <c r="C1580" s="635" t="s">
        <v>5881</v>
      </c>
      <c r="D1580" s="428" t="s">
        <v>12321</v>
      </c>
      <c r="E1580" s="234" t="s">
        <v>7028</v>
      </c>
      <c r="F1580" s="262">
        <v>4370</v>
      </c>
      <c r="G1580" s="262">
        <v>10503600.9</v>
      </c>
      <c r="H1580" s="8" t="s">
        <v>11779</v>
      </c>
      <c r="I1580" s="416" t="s">
        <v>12322</v>
      </c>
    </row>
    <row r="1581" spans="1:9" ht="114.75" customHeight="1" x14ac:dyDescent="0.2">
      <c r="A1581" s="653" t="s">
        <v>12323</v>
      </c>
      <c r="B1581" s="589" t="s">
        <v>12324</v>
      </c>
      <c r="C1581" s="635" t="s">
        <v>12325</v>
      </c>
      <c r="D1581" s="671" t="s">
        <v>12326</v>
      </c>
      <c r="E1581" s="234" t="s">
        <v>7028</v>
      </c>
      <c r="F1581" s="262">
        <v>1595</v>
      </c>
      <c r="G1581" s="262">
        <v>3829355.75</v>
      </c>
      <c r="H1581" s="8" t="s">
        <v>11779</v>
      </c>
      <c r="I1581" s="416" t="s">
        <v>12327</v>
      </c>
    </row>
    <row r="1582" spans="1:9" ht="117.75" customHeight="1" x14ac:dyDescent="0.2">
      <c r="A1582" s="653" t="s">
        <v>12328</v>
      </c>
      <c r="B1582" s="589" t="s">
        <v>12329</v>
      </c>
      <c r="C1582" s="635" t="s">
        <v>12330</v>
      </c>
      <c r="D1582" s="428" t="s">
        <v>12331</v>
      </c>
      <c r="E1582" s="234" t="s">
        <v>7028</v>
      </c>
      <c r="F1582" s="262">
        <v>1146</v>
      </c>
      <c r="G1582" s="262">
        <v>2796686.94</v>
      </c>
      <c r="H1582" s="8" t="s">
        <v>11779</v>
      </c>
      <c r="I1582" s="416" t="s">
        <v>12332</v>
      </c>
    </row>
    <row r="1583" spans="1:9" ht="115.5" customHeight="1" x14ac:dyDescent="0.2">
      <c r="A1583" s="653" t="s">
        <v>12333</v>
      </c>
      <c r="B1583" s="589" t="s">
        <v>12329</v>
      </c>
      <c r="C1583" s="646" t="s">
        <v>6032</v>
      </c>
      <c r="D1583" s="428" t="s">
        <v>12334</v>
      </c>
      <c r="E1583" s="234" t="s">
        <v>7028</v>
      </c>
      <c r="F1583" s="262">
        <v>5530</v>
      </c>
      <c r="G1583" s="262"/>
      <c r="H1583" s="8" t="s">
        <v>11779</v>
      </c>
      <c r="I1583" s="416" t="s">
        <v>12335</v>
      </c>
    </row>
    <row r="1584" spans="1:9" ht="62.25" customHeight="1" x14ac:dyDescent="0.2">
      <c r="A1584" s="653" t="s">
        <v>12336</v>
      </c>
      <c r="B1584" s="234" t="s">
        <v>12337</v>
      </c>
      <c r="C1584" s="635" t="s">
        <v>42</v>
      </c>
      <c r="D1584" s="428" t="s">
        <v>12338</v>
      </c>
      <c r="E1584" s="234" t="s">
        <v>7028</v>
      </c>
      <c r="F1584" s="262">
        <v>1252</v>
      </c>
      <c r="G1584" s="262">
        <v>3062254.28</v>
      </c>
      <c r="H1584" s="416" t="s">
        <v>322</v>
      </c>
      <c r="I1584" s="416"/>
    </row>
    <row r="1585" spans="1:9" ht="87" customHeight="1" x14ac:dyDescent="0.2">
      <c r="A1585" s="653" t="s">
        <v>12339</v>
      </c>
      <c r="B1585" s="234" t="s">
        <v>12340</v>
      </c>
      <c r="C1585" s="630" t="s">
        <v>12341</v>
      </c>
      <c r="D1585" s="263" t="s">
        <v>12342</v>
      </c>
      <c r="E1585" s="234" t="s">
        <v>7028</v>
      </c>
      <c r="F1585" s="262">
        <v>2320</v>
      </c>
      <c r="G1585" s="262">
        <v>121707.2</v>
      </c>
      <c r="H1585" s="12" t="s">
        <v>12343</v>
      </c>
      <c r="I1585" s="199" t="s">
        <v>13989</v>
      </c>
    </row>
    <row r="1586" spans="1:9" ht="45" x14ac:dyDescent="0.2">
      <c r="A1586" s="653" t="s">
        <v>12344</v>
      </c>
      <c r="B1586" s="234" t="s">
        <v>12345</v>
      </c>
      <c r="C1586" s="635" t="s">
        <v>12346</v>
      </c>
      <c r="D1586" s="428" t="s">
        <v>12347</v>
      </c>
      <c r="E1586" s="234" t="s">
        <v>7028</v>
      </c>
      <c r="F1586" s="262">
        <v>605</v>
      </c>
      <c r="G1586" s="262">
        <v>1489467.65</v>
      </c>
      <c r="H1586" s="416" t="s">
        <v>12348</v>
      </c>
      <c r="I1586" s="416" t="s">
        <v>12349</v>
      </c>
    </row>
    <row r="1587" spans="1:9" ht="95.25" customHeight="1" x14ac:dyDescent="0.2">
      <c r="A1587" s="653" t="s">
        <v>12350</v>
      </c>
      <c r="B1587" s="10" t="s">
        <v>12352</v>
      </c>
      <c r="C1587" s="647" t="s">
        <v>12353</v>
      </c>
      <c r="D1587" s="8" t="s">
        <v>12354</v>
      </c>
      <c r="E1587" s="10" t="s">
        <v>11870</v>
      </c>
      <c r="F1587" s="132">
        <v>40000</v>
      </c>
      <c r="G1587" s="132">
        <v>3363200</v>
      </c>
      <c r="H1587" s="10"/>
      <c r="I1587" s="712" t="s">
        <v>11725</v>
      </c>
    </row>
    <row r="1588" spans="1:9" ht="48" customHeight="1" x14ac:dyDescent="0.2">
      <c r="A1588" s="653" t="s">
        <v>12351</v>
      </c>
      <c r="B1588" s="234" t="s">
        <v>12384</v>
      </c>
      <c r="C1588" s="630" t="s">
        <v>12560</v>
      </c>
      <c r="D1588" s="263" t="s">
        <v>12561</v>
      </c>
      <c r="E1588" s="234" t="s">
        <v>7028</v>
      </c>
      <c r="F1588" s="262">
        <v>673</v>
      </c>
      <c r="G1588" s="262">
        <v>1565882.56</v>
      </c>
      <c r="H1588" s="8" t="s">
        <v>13990</v>
      </c>
      <c r="I1588" s="712" t="s">
        <v>11725</v>
      </c>
    </row>
    <row r="1589" spans="1:9" ht="56.25" x14ac:dyDescent="0.2">
      <c r="A1589" s="653" t="s">
        <v>12355</v>
      </c>
      <c r="B1589" s="234" t="s">
        <v>12449</v>
      </c>
      <c r="C1589" s="630" t="s">
        <v>12450</v>
      </c>
      <c r="D1589" s="263" t="s">
        <v>12451</v>
      </c>
      <c r="E1589" s="234" t="s">
        <v>7028</v>
      </c>
      <c r="F1589" s="262">
        <v>230830</v>
      </c>
      <c r="G1589" s="590">
        <v>358989124.30000001</v>
      </c>
      <c r="H1589" s="234" t="s">
        <v>13992</v>
      </c>
      <c r="I1589" s="711" t="s">
        <v>12562</v>
      </c>
    </row>
    <row r="1590" spans="1:9" ht="69" customHeight="1" x14ac:dyDescent="0.2">
      <c r="A1590" s="653" t="s">
        <v>12356</v>
      </c>
      <c r="B1590" s="12" t="s">
        <v>12563</v>
      </c>
      <c r="C1590" s="12" t="s">
        <v>12564</v>
      </c>
      <c r="D1590" s="428" t="s">
        <v>12565</v>
      </c>
      <c r="E1590" s="234" t="s">
        <v>7028</v>
      </c>
      <c r="F1590" s="262">
        <v>19650</v>
      </c>
      <c r="G1590" s="590">
        <v>47727688.5</v>
      </c>
      <c r="H1590" s="234" t="s">
        <v>13993</v>
      </c>
      <c r="I1590" s="12" t="s">
        <v>13991</v>
      </c>
    </row>
    <row r="1591" spans="1:9" ht="91.5" customHeight="1" x14ac:dyDescent="0.2">
      <c r="A1591" s="653" t="s">
        <v>12357</v>
      </c>
      <c r="B1591" s="203" t="s">
        <v>12566</v>
      </c>
      <c r="C1591" s="635" t="s">
        <v>12567</v>
      </c>
      <c r="D1591" s="263" t="s">
        <v>12568</v>
      </c>
      <c r="E1591" s="234" t="s">
        <v>7028</v>
      </c>
      <c r="F1591" s="262">
        <v>54973</v>
      </c>
      <c r="G1591" s="57">
        <v>7944148.2300000004</v>
      </c>
      <c r="H1591" s="416" t="s">
        <v>13994</v>
      </c>
      <c r="I1591" s="416" t="s">
        <v>12569</v>
      </c>
    </row>
    <row r="1592" spans="1:9" ht="33.75" x14ac:dyDescent="0.2">
      <c r="A1592" s="653" t="s">
        <v>12570</v>
      </c>
      <c r="B1592" s="203" t="s">
        <v>12571</v>
      </c>
      <c r="C1592" s="635" t="s">
        <v>12572</v>
      </c>
      <c r="D1592" s="263" t="s">
        <v>12573</v>
      </c>
      <c r="E1592" s="234" t="s">
        <v>7028</v>
      </c>
      <c r="F1592" s="262">
        <v>11355</v>
      </c>
      <c r="G1592" s="57">
        <v>17659409.550000001</v>
      </c>
      <c r="H1592" s="199"/>
      <c r="I1592" s="199"/>
    </row>
    <row r="1593" spans="1:9" ht="33.75" x14ac:dyDescent="0.2">
      <c r="A1593" s="653" t="s">
        <v>12574</v>
      </c>
      <c r="B1593" s="203" t="s">
        <v>12575</v>
      </c>
      <c r="C1593" s="635" t="s">
        <v>12576</v>
      </c>
      <c r="D1593" s="428" t="s">
        <v>12577</v>
      </c>
      <c r="E1593" s="234" t="s">
        <v>7028</v>
      </c>
      <c r="F1593" s="262">
        <v>1161</v>
      </c>
      <c r="G1593" s="57">
        <v>274297.86</v>
      </c>
      <c r="H1593" s="199"/>
      <c r="I1593" s="199"/>
    </row>
    <row r="1594" spans="1:9" ht="69" customHeight="1" x14ac:dyDescent="0.2">
      <c r="A1594" s="653" t="s">
        <v>12578</v>
      </c>
      <c r="B1594" s="203" t="s">
        <v>12727</v>
      </c>
      <c r="C1594" s="630" t="s">
        <v>12728</v>
      </c>
      <c r="D1594" s="428" t="s">
        <v>12580</v>
      </c>
      <c r="E1594" s="234" t="s">
        <v>7027</v>
      </c>
      <c r="F1594" s="262">
        <v>1500</v>
      </c>
      <c r="G1594" s="57">
        <v>3744045</v>
      </c>
      <c r="H1594" s="199" t="s">
        <v>12581</v>
      </c>
      <c r="I1594" s="199" t="s">
        <v>13995</v>
      </c>
    </row>
    <row r="1595" spans="1:9" ht="47.25" customHeight="1" x14ac:dyDescent="0.2">
      <c r="A1595" s="653" t="s">
        <v>12582</v>
      </c>
      <c r="B1595" s="203" t="s">
        <v>12579</v>
      </c>
      <c r="C1595" s="635" t="s">
        <v>12583</v>
      </c>
      <c r="D1595" s="428" t="s">
        <v>12584</v>
      </c>
      <c r="E1595" s="234" t="s">
        <v>7027</v>
      </c>
      <c r="F1595" s="262">
        <v>1090</v>
      </c>
      <c r="G1595" s="57"/>
      <c r="H1595" s="199"/>
      <c r="I1595" s="199" t="s">
        <v>11725</v>
      </c>
    </row>
    <row r="1596" spans="1:9" ht="35.25" customHeight="1" x14ac:dyDescent="0.2">
      <c r="A1596" s="653" t="s">
        <v>12585</v>
      </c>
      <c r="B1596" s="203" t="s">
        <v>12579</v>
      </c>
      <c r="C1596" s="635" t="s">
        <v>12586</v>
      </c>
      <c r="D1596" s="428" t="s">
        <v>12587</v>
      </c>
      <c r="E1596" s="234" t="s">
        <v>7027</v>
      </c>
      <c r="F1596" s="262">
        <v>1000</v>
      </c>
      <c r="G1596" s="57"/>
      <c r="H1596" s="199"/>
      <c r="I1596" s="199" t="s">
        <v>11725</v>
      </c>
    </row>
    <row r="1597" spans="1:9" ht="45" x14ac:dyDescent="0.2">
      <c r="A1597" s="653" t="s">
        <v>12729</v>
      </c>
      <c r="B1597" s="203" t="s">
        <v>12730</v>
      </c>
      <c r="C1597" s="630" t="s">
        <v>12731</v>
      </c>
      <c r="D1597" s="428" t="s">
        <v>12732</v>
      </c>
      <c r="E1597" s="234" t="s">
        <v>7028</v>
      </c>
      <c r="F1597" s="262">
        <v>600</v>
      </c>
      <c r="G1597" s="57">
        <v>72114</v>
      </c>
      <c r="H1597" s="424"/>
      <c r="I1597" s="129" t="s">
        <v>11723</v>
      </c>
    </row>
    <row r="1598" spans="1:9" ht="45" x14ac:dyDescent="0.2">
      <c r="A1598" s="653" t="s">
        <v>12733</v>
      </c>
      <c r="B1598" s="199" t="s">
        <v>12734</v>
      </c>
      <c r="C1598" s="646" t="s">
        <v>12735</v>
      </c>
      <c r="D1598" s="8" t="s">
        <v>12736</v>
      </c>
      <c r="E1598" s="10" t="s">
        <v>7028</v>
      </c>
      <c r="F1598" s="132">
        <v>523</v>
      </c>
      <c r="G1598" s="57">
        <v>162124.76999999999</v>
      </c>
      <c r="H1598" s="473"/>
      <c r="I1598" s="129" t="s">
        <v>11723</v>
      </c>
    </row>
    <row r="1599" spans="1:9" ht="33.75" x14ac:dyDescent="0.2">
      <c r="A1599" s="653" t="s">
        <v>13502</v>
      </c>
      <c r="B1599" s="203" t="s">
        <v>13503</v>
      </c>
      <c r="C1599" s="630" t="s">
        <v>13504</v>
      </c>
      <c r="D1599" s="428" t="s">
        <v>13505</v>
      </c>
      <c r="E1599" s="234" t="s">
        <v>7028</v>
      </c>
      <c r="F1599" s="262">
        <v>1152</v>
      </c>
      <c r="G1599" s="57">
        <v>271491.84000000003</v>
      </c>
      <c r="H1599" s="8"/>
      <c r="I1599" s="199" t="s">
        <v>11725</v>
      </c>
    </row>
    <row r="1600" spans="1:9" ht="33.75" x14ac:dyDescent="0.2">
      <c r="A1600" s="653" t="s">
        <v>13506</v>
      </c>
      <c r="B1600" s="203" t="s">
        <v>13507</v>
      </c>
      <c r="C1600" s="630" t="s">
        <v>13508</v>
      </c>
      <c r="D1600" s="428" t="s">
        <v>13509</v>
      </c>
      <c r="E1600" s="234" t="s">
        <v>7028</v>
      </c>
      <c r="F1600" s="262">
        <v>660</v>
      </c>
      <c r="G1600" s="57">
        <v>154855.79999999999</v>
      </c>
      <c r="H1600" s="8"/>
      <c r="I1600" s="199" t="s">
        <v>11725</v>
      </c>
    </row>
    <row r="1601" spans="1:9" ht="33.75" x14ac:dyDescent="0.2">
      <c r="A1601" s="653" t="s">
        <v>13510</v>
      </c>
      <c r="B1601" s="203" t="s">
        <v>13511</v>
      </c>
      <c r="C1601" s="630" t="s">
        <v>13512</v>
      </c>
      <c r="D1601" s="428" t="s">
        <v>13513</v>
      </c>
      <c r="E1601" s="234" t="s">
        <v>7028</v>
      </c>
      <c r="F1601" s="262">
        <v>1081</v>
      </c>
      <c r="G1601" s="57">
        <v>251916.24</v>
      </c>
      <c r="H1601" s="8"/>
      <c r="I1601" s="199" t="s">
        <v>11725</v>
      </c>
    </row>
    <row r="1602" spans="1:9" ht="45" x14ac:dyDescent="0.2">
      <c r="A1602" s="653" t="s">
        <v>13514</v>
      </c>
      <c r="B1602" s="203" t="s">
        <v>13515</v>
      </c>
      <c r="C1602" s="630" t="s">
        <v>13516</v>
      </c>
      <c r="D1602" s="428" t="s">
        <v>13517</v>
      </c>
      <c r="E1602" s="234" t="s">
        <v>7028</v>
      </c>
      <c r="F1602" s="262">
        <v>6433</v>
      </c>
      <c r="G1602" s="57">
        <v>10004665.93</v>
      </c>
      <c r="H1602" s="8"/>
      <c r="I1602" s="199" t="s">
        <v>11725</v>
      </c>
    </row>
    <row r="1603" spans="1:9" ht="50.25" customHeight="1" x14ac:dyDescent="0.2">
      <c r="A1603" s="653" t="s">
        <v>13518</v>
      </c>
      <c r="B1603" s="203" t="s">
        <v>13670</v>
      </c>
      <c r="C1603" s="630" t="s">
        <v>13519</v>
      </c>
      <c r="D1603" s="428" t="s">
        <v>13520</v>
      </c>
      <c r="E1603" s="234" t="s">
        <v>7028</v>
      </c>
      <c r="F1603" s="262">
        <v>1017</v>
      </c>
      <c r="G1603" s="57">
        <v>237001.68</v>
      </c>
      <c r="H1603" s="8"/>
      <c r="I1603" s="199" t="s">
        <v>11725</v>
      </c>
    </row>
    <row r="1604" spans="1:9" ht="33.75" x14ac:dyDescent="0.2">
      <c r="A1604" s="653" t="s">
        <v>13532</v>
      </c>
      <c r="B1604" s="203" t="s">
        <v>13515</v>
      </c>
      <c r="C1604" s="711" t="s">
        <v>13996</v>
      </c>
      <c r="D1604" s="428" t="s">
        <v>13997</v>
      </c>
      <c r="E1604" s="234" t="s">
        <v>7028</v>
      </c>
      <c r="F1604" s="262">
        <v>600</v>
      </c>
      <c r="G1604" s="57">
        <v>1379616</v>
      </c>
      <c r="H1604" s="424"/>
      <c r="I1604" s="129"/>
    </row>
    <row r="1605" spans="1:9" ht="33.75" x14ac:dyDescent="0.2">
      <c r="A1605" s="653" t="s">
        <v>13637</v>
      </c>
      <c r="B1605" s="203" t="s">
        <v>13511</v>
      </c>
      <c r="C1605" s="630" t="s">
        <v>13638</v>
      </c>
      <c r="D1605" s="428" t="s">
        <v>13639</v>
      </c>
      <c r="E1605" s="234" t="s">
        <v>7028</v>
      </c>
      <c r="F1605" s="262">
        <v>428</v>
      </c>
      <c r="G1605" s="57">
        <v>133972.56</v>
      </c>
      <c r="H1605" s="8"/>
      <c r="I1605" s="8"/>
    </row>
    <row r="1606" spans="1:9" ht="33.75" x14ac:dyDescent="0.2">
      <c r="A1606" s="653" t="s">
        <v>13640</v>
      </c>
      <c r="B1606" s="203" t="s">
        <v>13511</v>
      </c>
      <c r="C1606" s="630" t="s">
        <v>13641</v>
      </c>
      <c r="D1606" s="428" t="s">
        <v>13642</v>
      </c>
      <c r="E1606" s="234" t="s">
        <v>7028</v>
      </c>
      <c r="F1606" s="262">
        <v>420</v>
      </c>
      <c r="G1606" s="57">
        <v>131779.20000000001</v>
      </c>
      <c r="H1606" s="8"/>
      <c r="I1606" s="8"/>
    </row>
    <row r="1607" spans="1:9" ht="33.75" x14ac:dyDescent="0.2">
      <c r="A1607" s="653" t="s">
        <v>13643</v>
      </c>
      <c r="B1607" s="203" t="s">
        <v>13646</v>
      </c>
      <c r="C1607" s="630" t="s">
        <v>13644</v>
      </c>
      <c r="D1607" s="428" t="s">
        <v>13645</v>
      </c>
      <c r="E1607" s="234" t="s">
        <v>7028</v>
      </c>
      <c r="F1607" s="262">
        <v>1860</v>
      </c>
      <c r="G1607" s="57">
        <v>4160224.8</v>
      </c>
      <c r="H1607" s="416" t="s">
        <v>13647</v>
      </c>
      <c r="I1607" s="416" t="s">
        <v>13648</v>
      </c>
    </row>
    <row r="1608" spans="1:9" ht="48" customHeight="1" x14ac:dyDescent="0.2">
      <c r="A1608" s="653" t="s">
        <v>13654</v>
      </c>
      <c r="B1608" s="203" t="s">
        <v>13655</v>
      </c>
      <c r="C1608" s="693" t="s">
        <v>13810</v>
      </c>
      <c r="D1608" s="428" t="s">
        <v>13656</v>
      </c>
      <c r="E1608" s="234" t="s">
        <v>7028</v>
      </c>
      <c r="F1608" s="262">
        <v>5615</v>
      </c>
      <c r="G1608" s="57">
        <v>8732504.1500000004</v>
      </c>
      <c r="H1608" s="424" t="s">
        <v>13540</v>
      </c>
      <c r="I1608" s="199" t="s">
        <v>11725</v>
      </c>
    </row>
    <row r="1609" spans="1:9" ht="48" customHeight="1" x14ac:dyDescent="0.2">
      <c r="A1609" s="653" t="s">
        <v>13696</v>
      </c>
      <c r="B1609" s="203" t="s">
        <v>13511</v>
      </c>
      <c r="C1609" s="630" t="s">
        <v>13697</v>
      </c>
      <c r="D1609" s="428" t="s">
        <v>13698</v>
      </c>
      <c r="E1609" s="234" t="s">
        <v>7028</v>
      </c>
      <c r="F1609" s="262">
        <v>2400</v>
      </c>
      <c r="G1609" s="57">
        <v>751248</v>
      </c>
      <c r="H1609" s="8"/>
      <c r="I1609" s="199" t="s">
        <v>11725</v>
      </c>
    </row>
    <row r="1610" spans="1:9" ht="22.5" x14ac:dyDescent="0.2">
      <c r="A1610" s="730" t="s">
        <v>14049</v>
      </c>
      <c r="B1610" s="203" t="s">
        <v>12579</v>
      </c>
      <c r="C1610" s="728" t="s">
        <v>6926</v>
      </c>
      <c r="D1610" s="263" t="s">
        <v>14050</v>
      </c>
      <c r="E1610" s="234" t="s">
        <v>7028</v>
      </c>
      <c r="F1610" s="262">
        <v>600</v>
      </c>
      <c r="G1610" s="57">
        <v>167658</v>
      </c>
      <c r="H1610" s="8"/>
      <c r="I1610" s="8"/>
    </row>
    <row r="1611" spans="1:9" ht="33.75" x14ac:dyDescent="0.2">
      <c r="A1611" s="727" t="s">
        <v>14051</v>
      </c>
      <c r="B1611" s="203" t="s">
        <v>14052</v>
      </c>
      <c r="C1611" s="725" t="s">
        <v>14053</v>
      </c>
      <c r="D1611" s="263" t="s">
        <v>14054</v>
      </c>
      <c r="E1611" s="234" t="s">
        <v>7028</v>
      </c>
      <c r="F1611" s="262">
        <v>600</v>
      </c>
      <c r="G1611" s="590">
        <v>64176</v>
      </c>
      <c r="H1611" s="8"/>
      <c r="I1611" s="8"/>
    </row>
    <row r="1612" spans="1:9" ht="56.25" x14ac:dyDescent="0.2">
      <c r="A1612" s="727" t="s">
        <v>14055</v>
      </c>
      <c r="B1612" s="203" t="s">
        <v>14056</v>
      </c>
      <c r="C1612" s="793" t="s">
        <v>14661</v>
      </c>
      <c r="D1612" s="263" t="s">
        <v>14057</v>
      </c>
      <c r="E1612" s="234" t="s">
        <v>7028</v>
      </c>
      <c r="F1612" s="262">
        <v>10080</v>
      </c>
      <c r="G1612" s="590">
        <v>6763680</v>
      </c>
      <c r="H1612" s="8"/>
      <c r="I1612" s="8"/>
    </row>
    <row r="1613" spans="1:9" ht="48" customHeight="1" x14ac:dyDescent="0.2">
      <c r="A1613" s="732" t="s">
        <v>14126</v>
      </c>
      <c r="B1613" s="715" t="s">
        <v>14645</v>
      </c>
      <c r="C1613" s="694" t="s">
        <v>14646</v>
      </c>
      <c r="D1613" s="715" t="s">
        <v>14647</v>
      </c>
      <c r="E1613" s="734" t="s">
        <v>11168</v>
      </c>
      <c r="F1613" s="735">
        <v>12405.1</v>
      </c>
      <c r="G1613" s="743">
        <v>8786656.3800000008</v>
      </c>
      <c r="H1613" s="8"/>
      <c r="I1613" s="8"/>
    </row>
    <row r="1614" spans="1:9" ht="56.25" x14ac:dyDescent="0.2">
      <c r="A1614" s="732" t="s">
        <v>14127</v>
      </c>
      <c r="B1614" s="733" t="s">
        <v>14128</v>
      </c>
      <c r="C1614" s="733" t="s">
        <v>14129</v>
      </c>
      <c r="D1614" s="737" t="s">
        <v>14130</v>
      </c>
      <c r="E1614" s="734" t="s">
        <v>7028</v>
      </c>
      <c r="F1614" s="735">
        <v>895</v>
      </c>
      <c r="G1614" s="736">
        <v>266575.75</v>
      </c>
      <c r="H1614" s="8"/>
      <c r="I1614" s="8"/>
    </row>
    <row r="1615" spans="1:9" ht="45" x14ac:dyDescent="0.2">
      <c r="A1615" s="732" t="s">
        <v>14092</v>
      </c>
      <c r="B1615" s="733" t="s">
        <v>14093</v>
      </c>
      <c r="C1615" s="733" t="s">
        <v>14094</v>
      </c>
      <c r="D1615" s="715" t="s">
        <v>14095</v>
      </c>
      <c r="E1615" s="734" t="s">
        <v>7028</v>
      </c>
      <c r="F1615" s="735">
        <v>278</v>
      </c>
      <c r="G1615" s="736">
        <v>65063.12</v>
      </c>
      <c r="H1615" s="8"/>
      <c r="I1615" s="8"/>
    </row>
    <row r="1616" spans="1:9" ht="59.25" customHeight="1" x14ac:dyDescent="0.2">
      <c r="A1616" s="732" t="s">
        <v>14131</v>
      </c>
      <c r="B1616" s="733" t="s">
        <v>14132</v>
      </c>
      <c r="C1616" s="733" t="s">
        <v>14133</v>
      </c>
      <c r="D1616" s="737" t="s">
        <v>14134</v>
      </c>
      <c r="E1616" s="734" t="s">
        <v>7028</v>
      </c>
      <c r="F1616" s="735">
        <v>3818</v>
      </c>
      <c r="G1616" s="736">
        <v>2704327.58</v>
      </c>
      <c r="H1616" s="8"/>
      <c r="I1616" s="8"/>
    </row>
    <row r="1617" spans="1:9" ht="57.75" customHeight="1" x14ac:dyDescent="0.2">
      <c r="A1617" s="739" t="s">
        <v>14135</v>
      </c>
      <c r="B1617" s="740" t="s">
        <v>14136</v>
      </c>
      <c r="C1617" s="740" t="s">
        <v>14137</v>
      </c>
      <c r="D1617" s="741" t="s">
        <v>14138</v>
      </c>
      <c r="E1617" s="718" t="s">
        <v>7028</v>
      </c>
      <c r="F1617" s="742">
        <v>2</v>
      </c>
      <c r="G1617" s="736">
        <v>1434.88</v>
      </c>
      <c r="H1617" s="8"/>
      <c r="I1617" s="8"/>
    </row>
    <row r="1618" spans="1:9" ht="58.5" customHeight="1" x14ac:dyDescent="0.2">
      <c r="A1618" s="739" t="s">
        <v>14139</v>
      </c>
      <c r="B1618" s="740" t="s">
        <v>13655</v>
      </c>
      <c r="C1618" s="740" t="s">
        <v>14140</v>
      </c>
      <c r="D1618" s="741" t="s">
        <v>14141</v>
      </c>
      <c r="E1618" s="718" t="s">
        <v>7028</v>
      </c>
      <c r="F1618" s="742">
        <v>1</v>
      </c>
      <c r="G1618" s="736">
        <v>717.44</v>
      </c>
      <c r="H1618" s="8"/>
      <c r="I1618" s="8"/>
    </row>
    <row r="1619" spans="1:9" ht="45" x14ac:dyDescent="0.2">
      <c r="A1619" s="732" t="s">
        <v>14205</v>
      </c>
      <c r="B1619" s="733" t="s">
        <v>14208</v>
      </c>
      <c r="C1619" s="755" t="s">
        <v>14206</v>
      </c>
      <c r="D1619" s="737" t="s">
        <v>14207</v>
      </c>
      <c r="E1619" s="734" t="s">
        <v>7028</v>
      </c>
      <c r="F1619" s="735">
        <v>8281</v>
      </c>
      <c r="G1619" s="738"/>
      <c r="H1619" s="756" t="s">
        <v>13540</v>
      </c>
      <c r="I1619" s="757" t="s">
        <v>11725</v>
      </c>
    </row>
    <row r="1620" spans="1:9" ht="59.25" customHeight="1" x14ac:dyDescent="0.2">
      <c r="A1620" s="732" t="s">
        <v>14648</v>
      </c>
      <c r="B1620" s="733" t="s">
        <v>14649</v>
      </c>
      <c r="C1620" s="740" t="s">
        <v>14650</v>
      </c>
      <c r="D1620" s="737" t="s">
        <v>14651</v>
      </c>
      <c r="E1620" s="734" t="s">
        <v>11168</v>
      </c>
      <c r="F1620" s="735">
        <v>1110384</v>
      </c>
      <c r="G1620" s="736">
        <v>2428309873.4400001</v>
      </c>
      <c r="H1620" s="8"/>
      <c r="I1620" s="8"/>
    </row>
    <row r="1621" spans="1:9" ht="49.5" customHeight="1" x14ac:dyDescent="0.2">
      <c r="A1621" s="739" t="s">
        <v>14652</v>
      </c>
      <c r="B1621" s="740" t="s">
        <v>14653</v>
      </c>
      <c r="C1621" s="694" t="s">
        <v>14654</v>
      </c>
      <c r="D1621" s="715" t="s">
        <v>14655</v>
      </c>
      <c r="E1621" s="718" t="s">
        <v>11168</v>
      </c>
      <c r="F1621" s="742">
        <v>7743</v>
      </c>
      <c r="G1621" s="736">
        <v>5484444.3300000001</v>
      </c>
      <c r="H1621" s="803" t="s">
        <v>14690</v>
      </c>
      <c r="I1621" s="803" t="s">
        <v>11725</v>
      </c>
    </row>
    <row r="1622" spans="1:9" ht="45" x14ac:dyDescent="0.2">
      <c r="A1622" s="739" t="s">
        <v>14656</v>
      </c>
      <c r="B1622" s="800" t="s">
        <v>14687</v>
      </c>
      <c r="C1622" s="715" t="s">
        <v>14688</v>
      </c>
      <c r="D1622" s="715" t="s">
        <v>14689</v>
      </c>
      <c r="E1622" s="801" t="s">
        <v>11168</v>
      </c>
      <c r="F1622" s="802">
        <v>1735</v>
      </c>
      <c r="G1622" s="799">
        <v>4170193.95</v>
      </c>
      <c r="H1622" s="794"/>
      <c r="I1622" s="694"/>
    </row>
    <row r="1623" spans="1:9" ht="33.75" x14ac:dyDescent="0.2">
      <c r="A1623" s="803" t="s">
        <v>14657</v>
      </c>
      <c r="B1623" s="800" t="s">
        <v>14776</v>
      </c>
      <c r="C1623" s="815" t="s">
        <v>14777</v>
      </c>
      <c r="D1623" s="715" t="s">
        <v>14778</v>
      </c>
      <c r="E1623" s="801" t="s">
        <v>7028</v>
      </c>
      <c r="F1623" s="802">
        <v>79249</v>
      </c>
      <c r="G1623" s="799">
        <v>64158405.420000002</v>
      </c>
      <c r="H1623" s="794"/>
      <c r="I1623" s="694"/>
    </row>
    <row r="1624" spans="1:9" ht="33.75" x14ac:dyDescent="0.2">
      <c r="A1624" s="803" t="s">
        <v>14658</v>
      </c>
      <c r="B1624" s="800" t="s">
        <v>14779</v>
      </c>
      <c r="C1624" s="715" t="s">
        <v>14780</v>
      </c>
      <c r="D1624" s="715" t="s">
        <v>14781</v>
      </c>
      <c r="E1624" s="801" t="s">
        <v>7028</v>
      </c>
      <c r="F1624" s="802">
        <v>12991.01</v>
      </c>
      <c r="G1624" s="799">
        <v>16888.310000000001</v>
      </c>
      <c r="H1624" s="794"/>
      <c r="I1624" s="694"/>
    </row>
    <row r="1625" spans="1:9" x14ac:dyDescent="0.2">
      <c r="A1625" s="739" t="s">
        <v>14659</v>
      </c>
      <c r="B1625" s="739"/>
      <c r="C1625" s="740"/>
      <c r="D1625" s="745"/>
      <c r="E1625" s="741"/>
      <c r="F1625" s="718"/>
      <c r="G1625" s="742"/>
      <c r="H1625" s="794"/>
      <c r="I1625" s="694"/>
    </row>
    <row r="1626" spans="1:9" x14ac:dyDescent="0.2">
      <c r="A1626" s="739" t="s">
        <v>14660</v>
      </c>
      <c r="B1626" s="739"/>
      <c r="C1626" s="740"/>
      <c r="D1626" s="745"/>
      <c r="E1626" s="741"/>
      <c r="F1626" s="718"/>
      <c r="G1626" s="742"/>
      <c r="H1626" s="794"/>
      <c r="I1626" s="694"/>
    </row>
    <row r="1627" spans="1:9" x14ac:dyDescent="0.2">
      <c r="G1627" s="4"/>
    </row>
    <row r="1628" spans="1:9" x14ac:dyDescent="0.2">
      <c r="G1628" s="4"/>
    </row>
    <row r="1629" spans="1:9" x14ac:dyDescent="0.2">
      <c r="G1629" s="4"/>
    </row>
    <row r="1630" spans="1:9" x14ac:dyDescent="0.2">
      <c r="G1630" s="4"/>
    </row>
    <row r="1631" spans="1:9" x14ac:dyDescent="0.2">
      <c r="G1631" s="4"/>
    </row>
    <row r="1632" spans="1:9" x14ac:dyDescent="0.2">
      <c r="G1632" s="4"/>
    </row>
    <row r="1633" spans="7:7" x14ac:dyDescent="0.2">
      <c r="G1633" s="4"/>
    </row>
    <row r="1634" spans="7:7" x14ac:dyDescent="0.2">
      <c r="G1634" s="4"/>
    </row>
    <row r="1635" spans="7:7" x14ac:dyDescent="0.2">
      <c r="G1635" s="4"/>
    </row>
    <row r="1636" spans="7:7" x14ac:dyDescent="0.2">
      <c r="G1636" s="4"/>
    </row>
    <row r="1637" spans="7:7" x14ac:dyDescent="0.2">
      <c r="G1637" s="4"/>
    </row>
    <row r="1638" spans="7:7" x14ac:dyDescent="0.2">
      <c r="G1638" s="4"/>
    </row>
    <row r="1639" spans="7:7" x14ac:dyDescent="0.2">
      <c r="G1639" s="4"/>
    </row>
    <row r="1640" spans="7:7" x14ac:dyDescent="0.2">
      <c r="G1640" s="4"/>
    </row>
    <row r="1641" spans="7:7" x14ac:dyDescent="0.2">
      <c r="G1641" s="4"/>
    </row>
    <row r="1642" spans="7:7" x14ac:dyDescent="0.2">
      <c r="G1642" s="4"/>
    </row>
    <row r="1643" spans="7:7" x14ac:dyDescent="0.2">
      <c r="G1643" s="4"/>
    </row>
    <row r="1644" spans="7:7" x14ac:dyDescent="0.2">
      <c r="G1644" s="4"/>
    </row>
    <row r="1645" spans="7:7" x14ac:dyDescent="0.2">
      <c r="G1645" s="4"/>
    </row>
    <row r="1646" spans="7:7" x14ac:dyDescent="0.2">
      <c r="G1646" s="4"/>
    </row>
  </sheetData>
  <mergeCells count="2">
    <mergeCell ref="C6:F6"/>
    <mergeCell ref="B2:E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2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07" sqref="B707"/>
    </sheetView>
  </sheetViews>
  <sheetFormatPr defaultRowHeight="11.25" x14ac:dyDescent="0.2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288" customWidth="1"/>
    <col min="9" max="9" width="11.42578125" style="288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 x14ac:dyDescent="0.2">
      <c r="H1" s="289"/>
      <c r="K1" s="229"/>
    </row>
    <row r="2" spans="1:12" ht="18.75" customHeight="1" x14ac:dyDescent="0.2">
      <c r="A2" s="6"/>
      <c r="B2" s="991" t="s">
        <v>11705</v>
      </c>
      <c r="C2" s="991"/>
      <c r="D2" s="991"/>
      <c r="E2" s="991"/>
      <c r="I2" s="289"/>
      <c r="K2" s="229"/>
      <c r="L2" s="229"/>
    </row>
    <row r="3" spans="1:12" x14ac:dyDescent="0.2">
      <c r="K3" s="5" t="s">
        <v>384</v>
      </c>
    </row>
    <row r="4" spans="1:12" ht="74.25" customHeight="1" x14ac:dyDescent="0.2">
      <c r="A4" s="378" t="s">
        <v>11707</v>
      </c>
      <c r="B4" s="378" t="s">
        <v>11726</v>
      </c>
      <c r="C4" s="1156" t="s">
        <v>11728</v>
      </c>
      <c r="D4" s="1156"/>
      <c r="E4" s="1156"/>
      <c r="F4" s="378" t="s">
        <v>11727</v>
      </c>
      <c r="G4" s="378" t="s">
        <v>14796</v>
      </c>
      <c r="H4" s="378" t="s">
        <v>14795</v>
      </c>
      <c r="I4" s="378" t="s">
        <v>11714</v>
      </c>
      <c r="J4" s="378" t="s">
        <v>11715</v>
      </c>
      <c r="K4" s="378" t="s">
        <v>11718</v>
      </c>
      <c r="L4" s="378" t="s">
        <v>11717</v>
      </c>
    </row>
    <row r="5" spans="1:12" s="335" customFormat="1" ht="12.75" customHeight="1" x14ac:dyDescent="0.2">
      <c r="A5" s="9" t="s">
        <v>544</v>
      </c>
      <c r="B5" s="9">
        <v>2</v>
      </c>
      <c r="C5" s="1165">
        <v>3</v>
      </c>
      <c r="D5" s="1165"/>
      <c r="E5" s="1165"/>
      <c r="F5" s="9">
        <v>4</v>
      </c>
      <c r="G5" s="9">
        <v>5</v>
      </c>
      <c r="H5" s="9" t="s">
        <v>477</v>
      </c>
      <c r="I5" s="9" t="s">
        <v>5476</v>
      </c>
      <c r="J5" s="9" t="s">
        <v>5477</v>
      </c>
      <c r="K5" s="9" t="s">
        <v>11703</v>
      </c>
      <c r="L5" s="9" t="s">
        <v>11704</v>
      </c>
    </row>
    <row r="6" spans="1:12" s="13" customFormat="1" ht="12.75" customHeight="1" x14ac:dyDescent="0.2">
      <c r="A6" s="16" t="s">
        <v>1919</v>
      </c>
      <c r="B6" s="1054" t="s">
        <v>2114</v>
      </c>
      <c r="C6" s="1054"/>
      <c r="D6" s="1054"/>
      <c r="E6" s="1054"/>
      <c r="F6" s="8"/>
      <c r="G6" s="8"/>
      <c r="H6" s="9"/>
      <c r="I6" s="9"/>
      <c r="J6" s="8"/>
      <c r="K6" s="12"/>
      <c r="L6" s="8"/>
    </row>
    <row r="7" spans="1:12" s="103" customFormat="1" ht="49.5" customHeight="1" x14ac:dyDescent="0.2">
      <c r="A7" s="10" t="s">
        <v>1920</v>
      </c>
      <c r="B7" s="10" t="s">
        <v>7157</v>
      </c>
      <c r="C7" s="1113" t="s">
        <v>7078</v>
      </c>
      <c r="D7" s="1113"/>
      <c r="E7" s="162"/>
      <c r="F7" s="8" t="s">
        <v>8838</v>
      </c>
      <c r="G7" s="646"/>
      <c r="H7" s="26" t="s">
        <v>8839</v>
      </c>
      <c r="I7" s="26" t="s">
        <v>534</v>
      </c>
      <c r="J7" s="163"/>
      <c r="K7" s="19"/>
      <c r="L7" s="19" t="s">
        <v>5534</v>
      </c>
    </row>
    <row r="8" spans="1:12" s="60" customFormat="1" ht="24" customHeight="1" x14ac:dyDescent="0.2">
      <c r="A8" s="10" t="s">
        <v>1921</v>
      </c>
      <c r="B8" s="10" t="s">
        <v>2434</v>
      </c>
      <c r="C8" s="1079" t="s">
        <v>11279</v>
      </c>
      <c r="D8" s="1080"/>
      <c r="E8" s="12"/>
      <c r="F8" s="12"/>
      <c r="G8" s="12" t="s">
        <v>2435</v>
      </c>
      <c r="H8" s="336">
        <v>15.4</v>
      </c>
      <c r="I8" s="336">
        <v>1990</v>
      </c>
      <c r="J8" s="65"/>
      <c r="K8" s="10" t="s">
        <v>11009</v>
      </c>
      <c r="L8" s="10" t="s">
        <v>11009</v>
      </c>
    </row>
    <row r="9" spans="1:12" s="60" customFormat="1" ht="24" customHeight="1" x14ac:dyDescent="0.2">
      <c r="A9" s="10" t="s">
        <v>1922</v>
      </c>
      <c r="B9" s="10" t="s">
        <v>2434</v>
      </c>
      <c r="C9" s="1079" t="s">
        <v>11279</v>
      </c>
      <c r="D9" s="1080"/>
      <c r="E9" s="12"/>
      <c r="F9" s="12"/>
      <c r="G9" s="12" t="s">
        <v>2435</v>
      </c>
      <c r="H9" s="336">
        <v>15.4</v>
      </c>
      <c r="I9" s="336">
        <v>1990</v>
      </c>
      <c r="J9" s="65"/>
      <c r="K9" s="10" t="s">
        <v>11009</v>
      </c>
      <c r="L9" s="10" t="s">
        <v>11009</v>
      </c>
    </row>
    <row r="10" spans="1:12" s="60" customFormat="1" ht="24" customHeight="1" x14ac:dyDescent="0.2">
      <c r="A10" s="10" t="s">
        <v>1923</v>
      </c>
      <c r="B10" s="10" t="s">
        <v>2436</v>
      </c>
      <c r="C10" s="1079" t="s">
        <v>11279</v>
      </c>
      <c r="D10" s="1080"/>
      <c r="E10" s="12"/>
      <c r="F10" s="12"/>
      <c r="G10" s="12" t="s">
        <v>2435</v>
      </c>
      <c r="H10" s="336">
        <v>15.4</v>
      </c>
      <c r="I10" s="336">
        <v>1992</v>
      </c>
      <c r="J10" s="65"/>
      <c r="K10" s="10" t="s">
        <v>11009</v>
      </c>
      <c r="L10" s="10" t="s">
        <v>11009</v>
      </c>
    </row>
    <row r="11" spans="1:12" s="60" customFormat="1" ht="24" customHeight="1" x14ac:dyDescent="0.2">
      <c r="A11" s="10" t="s">
        <v>1924</v>
      </c>
      <c r="B11" s="10" t="s">
        <v>2436</v>
      </c>
      <c r="C11" s="1079" t="s">
        <v>11279</v>
      </c>
      <c r="D11" s="1080"/>
      <c r="E11" s="12"/>
      <c r="F11" s="12"/>
      <c r="G11" s="12" t="s">
        <v>2435</v>
      </c>
      <c r="H11" s="336">
        <v>15.4</v>
      </c>
      <c r="I11" s="336">
        <v>1992</v>
      </c>
      <c r="J11" s="65"/>
      <c r="K11" s="10" t="s">
        <v>11009</v>
      </c>
      <c r="L11" s="10" t="s">
        <v>11009</v>
      </c>
    </row>
    <row r="12" spans="1:12" s="60" customFormat="1" ht="60.75" customHeight="1" x14ac:dyDescent="0.2">
      <c r="A12" s="10" t="s">
        <v>1925</v>
      </c>
      <c r="B12" s="10" t="s">
        <v>3868</v>
      </c>
      <c r="C12" s="1079" t="s">
        <v>11280</v>
      </c>
      <c r="D12" s="1080"/>
      <c r="E12" s="12"/>
      <c r="F12" s="12"/>
      <c r="G12" s="12" t="s">
        <v>2402</v>
      </c>
      <c r="H12" s="336">
        <v>15.2</v>
      </c>
      <c r="I12" s="336">
        <v>1988</v>
      </c>
      <c r="J12" s="65"/>
      <c r="K12" s="210" t="s">
        <v>508</v>
      </c>
      <c r="L12" s="210" t="s">
        <v>508</v>
      </c>
    </row>
    <row r="13" spans="1:12" s="60" customFormat="1" ht="60.75" customHeight="1" x14ac:dyDescent="0.2">
      <c r="A13" s="10" t="s">
        <v>1926</v>
      </c>
      <c r="B13" s="10" t="s">
        <v>3868</v>
      </c>
      <c r="C13" s="1079" t="s">
        <v>11281</v>
      </c>
      <c r="D13" s="1080"/>
      <c r="E13" s="12"/>
      <c r="F13" s="12"/>
      <c r="G13" s="12" t="s">
        <v>2402</v>
      </c>
      <c r="H13" s="336">
        <v>14.5</v>
      </c>
      <c r="I13" s="336">
        <v>1988</v>
      </c>
      <c r="J13" s="65"/>
      <c r="K13" s="210" t="s">
        <v>508</v>
      </c>
      <c r="L13" s="210" t="s">
        <v>508</v>
      </c>
    </row>
    <row r="14" spans="1:12" s="60" customFormat="1" ht="59.25" customHeight="1" x14ac:dyDescent="0.2">
      <c r="A14" s="10" t="s">
        <v>1927</v>
      </c>
      <c r="B14" s="10" t="s">
        <v>3868</v>
      </c>
      <c r="C14" s="1079" t="s">
        <v>11281</v>
      </c>
      <c r="D14" s="1080"/>
      <c r="E14" s="12"/>
      <c r="F14" s="12"/>
      <c r="G14" s="12" t="s">
        <v>2402</v>
      </c>
      <c r="H14" s="336">
        <v>15.2</v>
      </c>
      <c r="I14" s="336">
        <v>1988</v>
      </c>
      <c r="J14" s="65"/>
      <c r="K14" s="10" t="s">
        <v>9365</v>
      </c>
      <c r="L14" s="10" t="s">
        <v>9365</v>
      </c>
    </row>
    <row r="15" spans="1:12" s="60" customFormat="1" ht="57.75" customHeight="1" x14ac:dyDescent="0.2">
      <c r="A15" s="10" t="s">
        <v>1928</v>
      </c>
      <c r="B15" s="10" t="s">
        <v>3868</v>
      </c>
      <c r="C15" s="1079" t="s">
        <v>11281</v>
      </c>
      <c r="D15" s="1080"/>
      <c r="E15" s="12"/>
      <c r="F15" s="12"/>
      <c r="G15" s="12" t="s">
        <v>2402</v>
      </c>
      <c r="H15" s="336">
        <v>14</v>
      </c>
      <c r="I15" s="336">
        <v>1988</v>
      </c>
      <c r="J15" s="65"/>
      <c r="K15" s="10" t="s">
        <v>9365</v>
      </c>
      <c r="L15" s="10" t="s">
        <v>9365</v>
      </c>
    </row>
    <row r="16" spans="1:12" s="60" customFormat="1" ht="84" customHeight="1" x14ac:dyDescent="0.2">
      <c r="A16" s="10" t="s">
        <v>2348</v>
      </c>
      <c r="B16" s="10" t="s">
        <v>2597</v>
      </c>
      <c r="C16" s="1079" t="s">
        <v>11234</v>
      </c>
      <c r="D16" s="1080"/>
      <c r="E16" s="12"/>
      <c r="F16" s="12"/>
      <c r="G16" s="12" t="s">
        <v>2402</v>
      </c>
      <c r="H16" s="336">
        <v>17.100000000000001</v>
      </c>
      <c r="I16" s="336">
        <v>1981</v>
      </c>
      <c r="J16" s="65"/>
      <c r="K16" s="10" t="s">
        <v>8383</v>
      </c>
      <c r="L16" s="10" t="s">
        <v>8383</v>
      </c>
    </row>
    <row r="17" spans="1:12" s="60" customFormat="1" ht="84" customHeight="1" x14ac:dyDescent="0.2">
      <c r="A17" s="10" t="s">
        <v>2310</v>
      </c>
      <c r="B17" s="10" t="s">
        <v>2597</v>
      </c>
      <c r="C17" s="1079" t="s">
        <v>11234</v>
      </c>
      <c r="D17" s="1080"/>
      <c r="E17" s="12"/>
      <c r="F17" s="12"/>
      <c r="G17" s="12" t="s">
        <v>2402</v>
      </c>
      <c r="H17" s="336">
        <v>24</v>
      </c>
      <c r="I17" s="336">
        <v>1991</v>
      </c>
      <c r="J17" s="65"/>
      <c r="K17" s="10" t="s">
        <v>8383</v>
      </c>
      <c r="L17" s="10" t="s">
        <v>8383</v>
      </c>
    </row>
    <row r="18" spans="1:12" s="5" customFormat="1" ht="33.75" customHeight="1" x14ac:dyDescent="0.2">
      <c r="A18" s="10" t="s">
        <v>2311</v>
      </c>
      <c r="B18" s="10" t="s">
        <v>3430</v>
      </c>
      <c r="C18" s="1079" t="s">
        <v>11231</v>
      </c>
      <c r="D18" s="1080"/>
      <c r="E18" s="12"/>
      <c r="F18" s="12"/>
      <c r="G18" s="12"/>
      <c r="H18" s="336"/>
      <c r="I18" s="336">
        <v>1996</v>
      </c>
      <c r="J18" s="65"/>
      <c r="K18" s="276" t="s">
        <v>11166</v>
      </c>
      <c r="L18" s="728" t="s">
        <v>14046</v>
      </c>
    </row>
    <row r="19" spans="1:12" s="5" customFormat="1" ht="34.5" customHeight="1" x14ac:dyDescent="0.2">
      <c r="A19" s="10" t="s">
        <v>1929</v>
      </c>
      <c r="B19" s="10" t="s">
        <v>3430</v>
      </c>
      <c r="C19" s="1079" t="s">
        <v>11231</v>
      </c>
      <c r="D19" s="1080"/>
      <c r="E19" s="12"/>
      <c r="F19" s="12"/>
      <c r="G19" s="12"/>
      <c r="H19" s="336"/>
      <c r="I19" s="336">
        <v>1996</v>
      </c>
      <c r="J19" s="65"/>
      <c r="K19" s="276" t="s">
        <v>11166</v>
      </c>
      <c r="L19" s="728" t="s">
        <v>14046</v>
      </c>
    </row>
    <row r="20" spans="1:12" s="5" customFormat="1" ht="35.25" customHeight="1" x14ac:dyDescent="0.2">
      <c r="A20" s="10" t="s">
        <v>1930</v>
      </c>
      <c r="B20" s="10" t="s">
        <v>3313</v>
      </c>
      <c r="C20" s="1079" t="s">
        <v>11231</v>
      </c>
      <c r="D20" s="1080"/>
      <c r="E20" s="12"/>
      <c r="F20" s="12"/>
      <c r="G20" s="12"/>
      <c r="H20" s="336"/>
      <c r="I20" s="336">
        <v>1996</v>
      </c>
      <c r="J20" s="65"/>
      <c r="K20" s="276" t="s">
        <v>11166</v>
      </c>
      <c r="L20" s="728" t="s">
        <v>14046</v>
      </c>
    </row>
    <row r="21" spans="1:12" s="5" customFormat="1" ht="34.5" customHeight="1" x14ac:dyDescent="0.2">
      <c r="A21" s="10" t="s">
        <v>1931</v>
      </c>
      <c r="B21" s="10" t="s">
        <v>3314</v>
      </c>
      <c r="C21" s="1079" t="s">
        <v>11231</v>
      </c>
      <c r="D21" s="1080"/>
      <c r="E21" s="12"/>
      <c r="F21" s="12"/>
      <c r="G21" s="12"/>
      <c r="H21" s="336"/>
      <c r="I21" s="336">
        <v>1996</v>
      </c>
      <c r="J21" s="65"/>
      <c r="K21" s="276" t="s">
        <v>11166</v>
      </c>
      <c r="L21" s="728" t="s">
        <v>14046</v>
      </c>
    </row>
    <row r="22" spans="1:12" s="5" customFormat="1" ht="27" customHeight="1" x14ac:dyDescent="0.2">
      <c r="A22" s="10" t="s">
        <v>1932</v>
      </c>
      <c r="B22" s="1087" t="s">
        <v>3431</v>
      </c>
      <c r="C22" s="1115" t="s">
        <v>11232</v>
      </c>
      <c r="D22" s="1116"/>
      <c r="E22" s="12"/>
      <c r="F22" s="12"/>
      <c r="G22" s="12"/>
      <c r="H22" s="336"/>
      <c r="I22" s="336">
        <v>1962</v>
      </c>
      <c r="J22" s="65"/>
      <c r="K22" s="646" t="s">
        <v>3308</v>
      </c>
      <c r="L22" s="728" t="s">
        <v>3361</v>
      </c>
    </row>
    <row r="23" spans="1:12" s="5" customFormat="1" ht="18.75" customHeight="1" x14ac:dyDescent="0.2">
      <c r="A23" s="10"/>
      <c r="B23" s="1089"/>
      <c r="C23" s="1163"/>
      <c r="D23" s="1164"/>
      <c r="E23" s="1119" t="s">
        <v>6677</v>
      </c>
      <c r="F23" s="1120"/>
      <c r="G23" s="1120"/>
      <c r="H23" s="1121"/>
      <c r="I23" s="26" t="s">
        <v>5783</v>
      </c>
      <c r="J23" s="102"/>
      <c r="K23" s="646"/>
      <c r="L23" s="646"/>
    </row>
    <row r="24" spans="1:12" s="5" customFormat="1" ht="17.25" customHeight="1" x14ac:dyDescent="0.2">
      <c r="A24" s="10"/>
      <c r="B24" s="1089"/>
      <c r="C24" s="1117"/>
      <c r="D24" s="1118"/>
      <c r="E24" s="1077" t="s">
        <v>6678</v>
      </c>
      <c r="F24" s="1166"/>
      <c r="G24" s="1166"/>
      <c r="H24" s="1078"/>
      <c r="I24" s="26" t="s">
        <v>5783</v>
      </c>
      <c r="J24" s="102"/>
      <c r="K24" s="646"/>
      <c r="L24" s="646"/>
    </row>
    <row r="25" spans="1:12" s="5" customFormat="1" ht="22.5" x14ac:dyDescent="0.2">
      <c r="A25" s="10" t="s">
        <v>1933</v>
      </c>
      <c r="B25" s="10" t="s">
        <v>3635</v>
      </c>
      <c r="C25" s="1079" t="s">
        <v>9363</v>
      </c>
      <c r="D25" s="1080"/>
      <c r="E25" s="12"/>
      <c r="F25" s="12"/>
      <c r="G25" s="12"/>
      <c r="H25" s="336"/>
      <c r="I25" s="336">
        <v>1948</v>
      </c>
      <c r="J25" s="65"/>
      <c r="K25" s="646" t="s">
        <v>3308</v>
      </c>
      <c r="L25" s="728" t="s">
        <v>3308</v>
      </c>
    </row>
    <row r="26" spans="1:12" s="5" customFormat="1" ht="22.5" x14ac:dyDescent="0.2">
      <c r="A26" s="10" t="s">
        <v>1934</v>
      </c>
      <c r="B26" s="10" t="s">
        <v>3432</v>
      </c>
      <c r="C26" s="1079" t="s">
        <v>9363</v>
      </c>
      <c r="D26" s="1080"/>
      <c r="E26" s="12"/>
      <c r="F26" s="12"/>
      <c r="G26" s="12"/>
      <c r="H26" s="336"/>
      <c r="I26" s="336">
        <v>1962</v>
      </c>
      <c r="J26" s="65"/>
      <c r="K26" s="646" t="s">
        <v>3308</v>
      </c>
      <c r="L26" s="728" t="s">
        <v>3308</v>
      </c>
    </row>
    <row r="27" spans="1:12" ht="22.5" x14ac:dyDescent="0.2">
      <c r="A27" s="10" t="s">
        <v>1935</v>
      </c>
      <c r="B27" s="11" t="s">
        <v>3433</v>
      </c>
      <c r="C27" s="1079" t="s">
        <v>9363</v>
      </c>
      <c r="D27" s="1080"/>
      <c r="E27" s="12"/>
      <c r="F27" s="8"/>
      <c r="G27" s="8"/>
      <c r="H27" s="316"/>
      <c r="I27" s="316">
        <v>1987</v>
      </c>
      <c r="J27" s="22"/>
      <c r="K27" s="10" t="s">
        <v>397</v>
      </c>
      <c r="L27" s="11" t="s">
        <v>397</v>
      </c>
    </row>
    <row r="28" spans="1:12" ht="34.5" customHeight="1" x14ac:dyDescent="0.2">
      <c r="A28" s="10" t="s">
        <v>3837</v>
      </c>
      <c r="B28" s="11" t="s">
        <v>3911</v>
      </c>
      <c r="C28" s="1136" t="s">
        <v>11233</v>
      </c>
      <c r="D28" s="1137"/>
      <c r="E28" s="12"/>
      <c r="F28" s="8" t="s">
        <v>4299</v>
      </c>
      <c r="G28" s="8" t="s">
        <v>3841</v>
      </c>
      <c r="H28" s="316" t="s">
        <v>2303</v>
      </c>
      <c r="I28" s="316">
        <v>1980</v>
      </c>
      <c r="J28" s="22"/>
      <c r="K28" s="8" t="s">
        <v>11166</v>
      </c>
      <c r="L28" s="728" t="s">
        <v>14046</v>
      </c>
    </row>
    <row r="29" spans="1:12" ht="39" customHeight="1" x14ac:dyDescent="0.2">
      <c r="A29" s="10" t="s">
        <v>3630</v>
      </c>
      <c r="B29" s="11" t="s">
        <v>3694</v>
      </c>
      <c r="C29" s="1111" t="s">
        <v>11282</v>
      </c>
      <c r="D29" s="1112"/>
      <c r="E29" s="12"/>
      <c r="F29" s="48"/>
      <c r="G29" s="48" t="s">
        <v>3585</v>
      </c>
      <c r="H29" s="28" t="s">
        <v>3495</v>
      </c>
      <c r="I29" s="28" t="s">
        <v>490</v>
      </c>
      <c r="J29" s="22"/>
      <c r="K29" s="8" t="s">
        <v>11166</v>
      </c>
      <c r="L29" s="728" t="s">
        <v>14046</v>
      </c>
    </row>
    <row r="30" spans="1:12" ht="35.25" customHeight="1" x14ac:dyDescent="0.2">
      <c r="A30" s="10" t="s">
        <v>1936</v>
      </c>
      <c r="B30" s="11" t="s">
        <v>3599</v>
      </c>
      <c r="C30" s="1136" t="s">
        <v>11236</v>
      </c>
      <c r="D30" s="1137"/>
      <c r="E30" s="12"/>
      <c r="F30" s="8"/>
      <c r="G30" s="8" t="s">
        <v>2402</v>
      </c>
      <c r="H30" s="316"/>
      <c r="I30" s="316">
        <v>1996</v>
      </c>
      <c r="J30" s="22"/>
      <c r="K30" s="8" t="s">
        <v>11180</v>
      </c>
      <c r="L30" s="8" t="s">
        <v>12530</v>
      </c>
    </row>
    <row r="31" spans="1:12" s="5" customFormat="1" ht="36.75" customHeight="1" x14ac:dyDescent="0.2">
      <c r="A31" s="10" t="s">
        <v>1937</v>
      </c>
      <c r="B31" s="10" t="s">
        <v>3600</v>
      </c>
      <c r="C31" s="1079" t="s">
        <v>8882</v>
      </c>
      <c r="D31" s="1080"/>
      <c r="E31" s="12"/>
      <c r="F31" s="12"/>
      <c r="G31" s="12"/>
      <c r="H31" s="336"/>
      <c r="I31" s="336">
        <v>1980</v>
      </c>
      <c r="J31" s="65"/>
      <c r="K31" s="8" t="s">
        <v>11180</v>
      </c>
      <c r="L31" s="8" t="s">
        <v>12530</v>
      </c>
    </row>
    <row r="32" spans="1:12" ht="36.75" customHeight="1" x14ac:dyDescent="0.2">
      <c r="A32" s="10" t="s">
        <v>1938</v>
      </c>
      <c r="B32" s="10" t="s">
        <v>3625</v>
      </c>
      <c r="C32" s="1136" t="s">
        <v>11235</v>
      </c>
      <c r="D32" s="1137"/>
      <c r="E32" s="11"/>
      <c r="F32" s="11" t="s">
        <v>3785</v>
      </c>
      <c r="G32" s="8" t="s">
        <v>2130</v>
      </c>
      <c r="H32" s="316" t="s">
        <v>3626</v>
      </c>
      <c r="I32" s="316" t="s">
        <v>3627</v>
      </c>
      <c r="J32" s="22"/>
      <c r="K32" s="8" t="s">
        <v>11180</v>
      </c>
      <c r="L32" s="8" t="s">
        <v>12530</v>
      </c>
    </row>
    <row r="33" spans="1:12" ht="36.75" customHeight="1" x14ac:dyDescent="0.2">
      <c r="A33" s="10" t="s">
        <v>1939</v>
      </c>
      <c r="B33" s="10" t="s">
        <v>3331</v>
      </c>
      <c r="C33" s="1136" t="s">
        <v>11235</v>
      </c>
      <c r="D33" s="1137"/>
      <c r="E33" s="12"/>
      <c r="F33" s="8" t="s">
        <v>11179</v>
      </c>
      <c r="G33" s="8" t="s">
        <v>187</v>
      </c>
      <c r="H33" s="316" t="s">
        <v>6830</v>
      </c>
      <c r="I33" s="316" t="s">
        <v>3627</v>
      </c>
      <c r="J33" s="22"/>
      <c r="K33" s="8" t="s">
        <v>11180</v>
      </c>
      <c r="L33" s="8" t="s">
        <v>12530</v>
      </c>
    </row>
    <row r="34" spans="1:12" ht="36" customHeight="1" x14ac:dyDescent="0.2">
      <c r="A34" s="10" t="s">
        <v>3501</v>
      </c>
      <c r="B34" s="10" t="s">
        <v>3332</v>
      </c>
      <c r="C34" s="1136" t="s">
        <v>11235</v>
      </c>
      <c r="D34" s="1137"/>
      <c r="E34" s="1094" t="s">
        <v>3333</v>
      </c>
      <c r="F34" s="1096"/>
      <c r="G34" s="12"/>
      <c r="H34" s="336" t="s">
        <v>3775</v>
      </c>
      <c r="I34" s="336">
        <v>2011</v>
      </c>
      <c r="J34" s="22"/>
      <c r="K34" s="8" t="s">
        <v>11180</v>
      </c>
      <c r="L34" s="8" t="s">
        <v>12530</v>
      </c>
    </row>
    <row r="35" spans="1:12" s="5" customFormat="1" ht="37.5" customHeight="1" x14ac:dyDescent="0.2">
      <c r="A35" s="10" t="s">
        <v>3530</v>
      </c>
      <c r="B35" s="661" t="s">
        <v>186</v>
      </c>
      <c r="C35" s="1077" t="s">
        <v>11237</v>
      </c>
      <c r="D35" s="1078"/>
      <c r="E35" s="12"/>
      <c r="F35" s="12"/>
      <c r="G35" s="20" t="s">
        <v>3585</v>
      </c>
      <c r="H35" s="381" t="s">
        <v>3776</v>
      </c>
      <c r="I35" s="381" t="s">
        <v>490</v>
      </c>
      <c r="J35" s="50"/>
      <c r="K35" s="8" t="s">
        <v>11180</v>
      </c>
      <c r="L35" s="8" t="s">
        <v>12530</v>
      </c>
    </row>
    <row r="36" spans="1:12" s="60" customFormat="1" x14ac:dyDescent="0.2">
      <c r="A36" s="10" t="s">
        <v>1940</v>
      </c>
      <c r="B36" s="10" t="s">
        <v>6486</v>
      </c>
      <c r="C36" s="1079" t="s">
        <v>11283</v>
      </c>
      <c r="D36" s="1080"/>
      <c r="E36" s="12"/>
      <c r="F36" s="12"/>
      <c r="G36" s="12"/>
      <c r="H36" s="336" t="s">
        <v>6601</v>
      </c>
      <c r="I36" s="336">
        <v>1974</v>
      </c>
      <c r="J36" s="65"/>
      <c r="K36" s="10"/>
      <c r="L36" s="10"/>
    </row>
    <row r="37" spans="1:12" s="60" customFormat="1" ht="59.25" customHeight="1" x14ac:dyDescent="0.2">
      <c r="A37" s="10" t="s">
        <v>1941</v>
      </c>
      <c r="B37" s="10" t="s">
        <v>3453</v>
      </c>
      <c r="C37" s="1079" t="s">
        <v>5994</v>
      </c>
      <c r="D37" s="1080"/>
      <c r="E37" s="12"/>
      <c r="F37" s="12"/>
      <c r="G37" s="12"/>
      <c r="H37" s="336" t="s">
        <v>7097</v>
      </c>
      <c r="I37" s="336">
        <v>1994</v>
      </c>
      <c r="J37" s="65"/>
      <c r="K37" s="210" t="s">
        <v>9288</v>
      </c>
      <c r="L37" s="210" t="s">
        <v>9288</v>
      </c>
    </row>
    <row r="38" spans="1:12" s="60" customFormat="1" ht="33.75" x14ac:dyDescent="0.2">
      <c r="A38" s="10" t="s">
        <v>1942</v>
      </c>
      <c r="B38" s="10" t="s">
        <v>3454</v>
      </c>
      <c r="C38" s="1079" t="s">
        <v>11284</v>
      </c>
      <c r="D38" s="1080"/>
      <c r="E38" s="12"/>
      <c r="F38" s="12"/>
      <c r="G38" s="12" t="s">
        <v>2305</v>
      </c>
      <c r="H38" s="336">
        <v>2403</v>
      </c>
      <c r="I38" s="336">
        <v>2002</v>
      </c>
      <c r="J38" s="65"/>
      <c r="K38" s="10" t="s">
        <v>515</v>
      </c>
      <c r="L38" s="10" t="s">
        <v>515</v>
      </c>
    </row>
    <row r="39" spans="1:12" ht="36.75" customHeight="1" x14ac:dyDescent="0.2">
      <c r="A39" s="10" t="s">
        <v>1943</v>
      </c>
      <c r="B39" s="11" t="s">
        <v>4411</v>
      </c>
      <c r="C39" s="1136" t="s">
        <v>11285</v>
      </c>
      <c r="D39" s="1137"/>
      <c r="E39" s="12"/>
      <c r="F39" s="380" t="s">
        <v>4291</v>
      </c>
      <c r="G39" s="8" t="s">
        <v>6603</v>
      </c>
      <c r="H39" s="316" t="s">
        <v>6602</v>
      </c>
      <c r="I39" s="316">
        <v>1975</v>
      </c>
      <c r="J39" s="22"/>
      <c r="K39" s="276" t="s">
        <v>9123</v>
      </c>
      <c r="L39" s="646" t="s">
        <v>12531</v>
      </c>
    </row>
    <row r="40" spans="1:12" ht="35.25" customHeight="1" x14ac:dyDescent="0.2">
      <c r="A40" s="10" t="s">
        <v>1944</v>
      </c>
      <c r="B40" s="11" t="s">
        <v>4414</v>
      </c>
      <c r="C40" s="1136" t="s">
        <v>11285</v>
      </c>
      <c r="D40" s="1137"/>
      <c r="E40" s="12"/>
      <c r="F40" s="380" t="s">
        <v>4275</v>
      </c>
      <c r="G40" s="8" t="s">
        <v>187</v>
      </c>
      <c r="H40" s="316"/>
      <c r="I40" s="316">
        <v>1977</v>
      </c>
      <c r="J40" s="22"/>
      <c r="K40" s="276" t="s">
        <v>9123</v>
      </c>
      <c r="L40" s="646" t="s">
        <v>12531</v>
      </c>
    </row>
    <row r="41" spans="1:12" ht="37.5" customHeight="1" x14ac:dyDescent="0.2">
      <c r="A41" s="10" t="s">
        <v>1945</v>
      </c>
      <c r="B41" s="11" t="s">
        <v>4413</v>
      </c>
      <c r="C41" s="1136" t="s">
        <v>11285</v>
      </c>
      <c r="D41" s="1137"/>
      <c r="E41" s="12"/>
      <c r="F41" s="380" t="s">
        <v>4342</v>
      </c>
      <c r="G41" s="8" t="s">
        <v>187</v>
      </c>
      <c r="H41" s="316"/>
      <c r="I41" s="316">
        <v>1977</v>
      </c>
      <c r="J41" s="22"/>
      <c r="K41" s="276" t="s">
        <v>9123</v>
      </c>
      <c r="L41" s="646" t="s">
        <v>12531</v>
      </c>
    </row>
    <row r="42" spans="1:12" ht="37.5" customHeight="1" x14ac:dyDescent="0.2">
      <c r="A42" s="10" t="s">
        <v>1946</v>
      </c>
      <c r="B42" s="11" t="s">
        <v>3352</v>
      </c>
      <c r="C42" s="1136" t="s">
        <v>11285</v>
      </c>
      <c r="D42" s="1137"/>
      <c r="E42" s="12"/>
      <c r="F42" s="380" t="s">
        <v>4287</v>
      </c>
      <c r="G42" s="8" t="s">
        <v>187</v>
      </c>
      <c r="H42" s="316" t="s">
        <v>3391</v>
      </c>
      <c r="I42" s="316">
        <v>1977</v>
      </c>
      <c r="J42" s="22"/>
      <c r="K42" s="276" t="s">
        <v>9123</v>
      </c>
      <c r="L42" s="646" t="s">
        <v>12531</v>
      </c>
    </row>
    <row r="43" spans="1:12" ht="22.5" x14ac:dyDescent="0.2">
      <c r="A43" s="10" t="s">
        <v>1947</v>
      </c>
      <c r="B43" s="11" t="s">
        <v>3351</v>
      </c>
      <c r="C43" s="1136" t="s">
        <v>11285</v>
      </c>
      <c r="D43" s="1137"/>
      <c r="E43" s="12"/>
      <c r="F43" s="380" t="s">
        <v>4288</v>
      </c>
      <c r="G43" s="8" t="s">
        <v>3354</v>
      </c>
      <c r="H43" s="316" t="s">
        <v>6604</v>
      </c>
      <c r="I43" s="316">
        <v>1989</v>
      </c>
      <c r="J43" s="22"/>
      <c r="K43" s="276" t="s">
        <v>9123</v>
      </c>
      <c r="L43" s="646" t="s">
        <v>12531</v>
      </c>
    </row>
    <row r="44" spans="1:12" ht="22.5" x14ac:dyDescent="0.2">
      <c r="A44" s="10" t="s">
        <v>1948</v>
      </c>
      <c r="B44" s="11" t="s">
        <v>2608</v>
      </c>
      <c r="C44" s="1136" t="s">
        <v>11285</v>
      </c>
      <c r="D44" s="1137"/>
      <c r="E44" s="12"/>
      <c r="F44" s="380" t="s">
        <v>4290</v>
      </c>
      <c r="G44" s="8" t="s">
        <v>6606</v>
      </c>
      <c r="H44" s="316" t="s">
        <v>6605</v>
      </c>
      <c r="I44" s="316">
        <v>1989</v>
      </c>
      <c r="J44" s="22"/>
      <c r="K44" s="276" t="s">
        <v>9123</v>
      </c>
      <c r="L44" s="646" t="s">
        <v>12531</v>
      </c>
    </row>
    <row r="45" spans="1:12" ht="33" customHeight="1" x14ac:dyDescent="0.2">
      <c r="A45" s="10" t="s">
        <v>1949</v>
      </c>
      <c r="B45" s="11" t="s">
        <v>2609</v>
      </c>
      <c r="C45" s="1136" t="s">
        <v>11285</v>
      </c>
      <c r="D45" s="1137"/>
      <c r="E45" s="12"/>
      <c r="F45" s="380" t="s">
        <v>4280</v>
      </c>
      <c r="G45" s="8" t="s">
        <v>6606</v>
      </c>
      <c r="H45" s="316" t="s">
        <v>6607</v>
      </c>
      <c r="I45" s="316">
        <v>1989</v>
      </c>
      <c r="J45" s="22"/>
      <c r="K45" s="276" t="s">
        <v>9123</v>
      </c>
      <c r="L45" s="646" t="s">
        <v>12531</v>
      </c>
    </row>
    <row r="46" spans="1:12" ht="34.5" customHeight="1" x14ac:dyDescent="0.2">
      <c r="A46" s="10" t="s">
        <v>1950</v>
      </c>
      <c r="B46" s="11" t="s">
        <v>4410</v>
      </c>
      <c r="C46" s="1136" t="s">
        <v>11285</v>
      </c>
      <c r="D46" s="1137"/>
      <c r="E46" s="12"/>
      <c r="F46" s="380" t="s">
        <v>4289</v>
      </c>
      <c r="G46" s="8" t="s">
        <v>6609</v>
      </c>
      <c r="H46" s="316" t="s">
        <v>6608</v>
      </c>
      <c r="I46" s="316">
        <v>1989</v>
      </c>
      <c r="J46" s="22"/>
      <c r="K46" s="276" t="s">
        <v>9123</v>
      </c>
      <c r="L46" s="646" t="s">
        <v>12531</v>
      </c>
    </row>
    <row r="47" spans="1:12" ht="33" customHeight="1" x14ac:dyDescent="0.2">
      <c r="A47" s="10" t="s">
        <v>1951</v>
      </c>
      <c r="B47" s="11" t="s">
        <v>2610</v>
      </c>
      <c r="C47" s="1136" t="s">
        <v>11285</v>
      </c>
      <c r="D47" s="1137"/>
      <c r="E47" s="12"/>
      <c r="F47" s="380" t="s">
        <v>4277</v>
      </c>
      <c r="G47" s="8" t="s">
        <v>6611</v>
      </c>
      <c r="H47" s="316" t="s">
        <v>6610</v>
      </c>
      <c r="I47" s="316">
        <v>1989</v>
      </c>
      <c r="J47" s="22"/>
      <c r="K47" s="276" t="s">
        <v>9123</v>
      </c>
      <c r="L47" s="646" t="s">
        <v>12531</v>
      </c>
    </row>
    <row r="48" spans="1:12" ht="33" customHeight="1" x14ac:dyDescent="0.2">
      <c r="A48" s="10" t="s">
        <v>1952</v>
      </c>
      <c r="B48" s="11" t="s">
        <v>2611</v>
      </c>
      <c r="C48" s="1136" t="s">
        <v>11285</v>
      </c>
      <c r="D48" s="1137"/>
      <c r="E48" s="12"/>
      <c r="F48" s="380" t="s">
        <v>4281</v>
      </c>
      <c r="G48" s="8" t="s">
        <v>6613</v>
      </c>
      <c r="H48" s="316" t="s">
        <v>6612</v>
      </c>
      <c r="I48" s="316">
        <v>1989</v>
      </c>
      <c r="J48" s="22"/>
      <c r="K48" s="276" t="s">
        <v>9123</v>
      </c>
      <c r="L48" s="646" t="s">
        <v>12531</v>
      </c>
    </row>
    <row r="49" spans="1:12" ht="34.5" customHeight="1" x14ac:dyDescent="0.2">
      <c r="A49" s="10" t="s">
        <v>1953</v>
      </c>
      <c r="B49" s="11" t="s">
        <v>2612</v>
      </c>
      <c r="C49" s="1136" t="s">
        <v>11285</v>
      </c>
      <c r="D49" s="1137"/>
      <c r="E49" s="12"/>
      <c r="F49" s="380" t="s">
        <v>4276</v>
      </c>
      <c r="G49" s="658" t="s">
        <v>6615</v>
      </c>
      <c r="H49" s="316" t="s">
        <v>6614</v>
      </c>
      <c r="I49" s="316">
        <v>1989</v>
      </c>
      <c r="J49" s="22"/>
      <c r="K49" s="276" t="s">
        <v>9123</v>
      </c>
      <c r="L49" s="646" t="s">
        <v>12531</v>
      </c>
    </row>
    <row r="50" spans="1:12" ht="33" customHeight="1" x14ac:dyDescent="0.2">
      <c r="A50" s="10" t="s">
        <v>1954</v>
      </c>
      <c r="B50" s="11" t="s">
        <v>2613</v>
      </c>
      <c r="C50" s="1136" t="s">
        <v>11285</v>
      </c>
      <c r="D50" s="1137"/>
      <c r="E50" s="12"/>
      <c r="F50" s="380" t="s">
        <v>4283</v>
      </c>
      <c r="G50" s="8" t="s">
        <v>6619</v>
      </c>
      <c r="H50" s="316" t="s">
        <v>6618</v>
      </c>
      <c r="I50" s="316">
        <v>1989</v>
      </c>
      <c r="J50" s="22"/>
      <c r="K50" s="276" t="s">
        <v>9123</v>
      </c>
      <c r="L50" s="646" t="s">
        <v>12531</v>
      </c>
    </row>
    <row r="51" spans="1:12" ht="32.25" customHeight="1" x14ac:dyDescent="0.2">
      <c r="A51" s="10" t="s">
        <v>1955</v>
      </c>
      <c r="B51" s="11" t="s">
        <v>2614</v>
      </c>
      <c r="C51" s="1136" t="s">
        <v>11285</v>
      </c>
      <c r="D51" s="1137"/>
      <c r="E51" s="12"/>
      <c r="F51" s="380" t="s">
        <v>4282</v>
      </c>
      <c r="G51" s="8" t="s">
        <v>2308</v>
      </c>
      <c r="H51" s="316" t="s">
        <v>3392</v>
      </c>
      <c r="I51" s="316">
        <v>1989</v>
      </c>
      <c r="J51" s="22"/>
      <c r="K51" s="276" t="s">
        <v>9123</v>
      </c>
      <c r="L51" s="646" t="s">
        <v>12531</v>
      </c>
    </row>
    <row r="52" spans="1:12" ht="22.5" x14ac:dyDescent="0.2">
      <c r="A52" s="10" t="s">
        <v>1956</v>
      </c>
      <c r="B52" s="11" t="s">
        <v>2615</v>
      </c>
      <c r="C52" s="1136" t="s">
        <v>11285</v>
      </c>
      <c r="D52" s="1137"/>
      <c r="E52" s="12"/>
      <c r="F52" s="380" t="s">
        <v>4292</v>
      </c>
      <c r="G52" s="8" t="s">
        <v>6617</v>
      </c>
      <c r="H52" s="316" t="s">
        <v>6616</v>
      </c>
      <c r="I52" s="316">
        <v>1989</v>
      </c>
      <c r="J52" s="22"/>
      <c r="K52" s="276" t="s">
        <v>9123</v>
      </c>
      <c r="L52" s="646" t="s">
        <v>12531</v>
      </c>
    </row>
    <row r="53" spans="1:12" ht="35.25" customHeight="1" x14ac:dyDescent="0.2">
      <c r="A53" s="10" t="s">
        <v>1957</v>
      </c>
      <c r="B53" s="11" t="s">
        <v>4412</v>
      </c>
      <c r="C53" s="1136" t="s">
        <v>11285</v>
      </c>
      <c r="D53" s="1137"/>
      <c r="E53" s="12"/>
      <c r="F53" s="380" t="s">
        <v>4284</v>
      </c>
      <c r="G53" s="8" t="s">
        <v>2616</v>
      </c>
      <c r="H53" s="316" t="s">
        <v>3393</v>
      </c>
      <c r="I53" s="316">
        <v>1989</v>
      </c>
      <c r="J53" s="22"/>
      <c r="K53" s="276" t="s">
        <v>9123</v>
      </c>
      <c r="L53" s="646" t="s">
        <v>12531</v>
      </c>
    </row>
    <row r="54" spans="1:12" ht="33" customHeight="1" x14ac:dyDescent="0.2">
      <c r="A54" s="10" t="s">
        <v>1958</v>
      </c>
      <c r="B54" s="11" t="s">
        <v>3353</v>
      </c>
      <c r="C54" s="1136" t="s">
        <v>11285</v>
      </c>
      <c r="D54" s="1137"/>
      <c r="E54" s="12"/>
      <c r="F54" s="380" t="s">
        <v>4293</v>
      </c>
      <c r="G54" s="8" t="s">
        <v>187</v>
      </c>
      <c r="H54" s="316" t="s">
        <v>5093</v>
      </c>
      <c r="I54" s="316">
        <v>1989</v>
      </c>
      <c r="J54" s="22"/>
      <c r="K54" s="276" t="s">
        <v>9123</v>
      </c>
      <c r="L54" s="646" t="s">
        <v>12531</v>
      </c>
    </row>
    <row r="55" spans="1:12" ht="36" customHeight="1" x14ac:dyDescent="0.2">
      <c r="A55" s="10" t="s">
        <v>1959</v>
      </c>
      <c r="B55" s="11" t="s">
        <v>2888</v>
      </c>
      <c r="C55" s="1136" t="s">
        <v>11285</v>
      </c>
      <c r="D55" s="1137"/>
      <c r="E55" s="12"/>
      <c r="F55" s="380" t="s">
        <v>4263</v>
      </c>
      <c r="G55" s="8" t="s">
        <v>3065</v>
      </c>
      <c r="H55" s="342">
        <v>346.4</v>
      </c>
      <c r="I55" s="316" t="s">
        <v>2889</v>
      </c>
      <c r="J55" s="22"/>
      <c r="K55" s="276" t="s">
        <v>9123</v>
      </c>
      <c r="L55" s="646" t="s">
        <v>12531</v>
      </c>
    </row>
    <row r="56" spans="1:12" ht="36.75" customHeight="1" x14ac:dyDescent="0.2">
      <c r="A56" s="10" t="s">
        <v>1960</v>
      </c>
      <c r="B56" s="11" t="s">
        <v>2888</v>
      </c>
      <c r="C56" s="1136" t="s">
        <v>11285</v>
      </c>
      <c r="D56" s="1137"/>
      <c r="E56" s="12"/>
      <c r="F56" s="380" t="s">
        <v>4262</v>
      </c>
      <c r="G56" s="8" t="s">
        <v>3065</v>
      </c>
      <c r="H56" s="342">
        <v>366</v>
      </c>
      <c r="I56" s="316" t="s">
        <v>2889</v>
      </c>
      <c r="J56" s="22"/>
      <c r="K56" s="276" t="s">
        <v>9123</v>
      </c>
      <c r="L56" s="646" t="s">
        <v>12531</v>
      </c>
    </row>
    <row r="57" spans="1:12" ht="38.25" customHeight="1" x14ac:dyDescent="0.2">
      <c r="A57" s="10" t="s">
        <v>1961</v>
      </c>
      <c r="B57" s="11" t="s">
        <v>2888</v>
      </c>
      <c r="C57" s="1136" t="s">
        <v>11285</v>
      </c>
      <c r="D57" s="1137"/>
      <c r="E57" s="12"/>
      <c r="F57" s="380" t="s">
        <v>4261</v>
      </c>
      <c r="G57" s="8" t="s">
        <v>3066</v>
      </c>
      <c r="H57" s="342">
        <v>133.5</v>
      </c>
      <c r="I57" s="316" t="s">
        <v>2889</v>
      </c>
      <c r="J57" s="22"/>
      <c r="K57" s="276" t="s">
        <v>9123</v>
      </c>
      <c r="L57" s="646" t="s">
        <v>12531</v>
      </c>
    </row>
    <row r="58" spans="1:12" s="5" customFormat="1" ht="22.5" x14ac:dyDescent="0.2">
      <c r="A58" s="10" t="s">
        <v>1962</v>
      </c>
      <c r="B58" s="10" t="s">
        <v>3930</v>
      </c>
      <c r="C58" s="1079" t="s">
        <v>5863</v>
      </c>
      <c r="D58" s="1080"/>
      <c r="E58" s="12"/>
      <c r="F58" s="12"/>
      <c r="G58" s="12" t="s">
        <v>2309</v>
      </c>
      <c r="H58" s="336"/>
      <c r="I58" s="336">
        <v>1985</v>
      </c>
      <c r="J58" s="65"/>
      <c r="K58" s="10" t="s">
        <v>12532</v>
      </c>
      <c r="L58" s="10" t="s">
        <v>12532</v>
      </c>
    </row>
    <row r="59" spans="1:12" s="5" customFormat="1" ht="22.5" x14ac:dyDescent="0.2">
      <c r="A59" s="10" t="s">
        <v>1963</v>
      </c>
      <c r="B59" s="10" t="s">
        <v>3434</v>
      </c>
      <c r="C59" s="1079" t="s">
        <v>5863</v>
      </c>
      <c r="D59" s="1080"/>
      <c r="E59" s="12"/>
      <c r="F59" s="12"/>
      <c r="G59" s="12"/>
      <c r="H59" s="336"/>
      <c r="I59" s="336">
        <v>1992</v>
      </c>
      <c r="J59" s="65"/>
      <c r="K59" s="10" t="s">
        <v>12532</v>
      </c>
      <c r="L59" s="10" t="s">
        <v>12532</v>
      </c>
    </row>
    <row r="60" spans="1:12" ht="70.5" customHeight="1" x14ac:dyDescent="0.2">
      <c r="A60" s="10" t="s">
        <v>1964</v>
      </c>
      <c r="B60" s="10" t="s">
        <v>333</v>
      </c>
      <c r="C60" s="1079" t="s">
        <v>5743</v>
      </c>
      <c r="D60" s="1080"/>
      <c r="E60" s="12"/>
      <c r="F60" s="12"/>
      <c r="G60" s="12" t="s">
        <v>2617</v>
      </c>
      <c r="H60" s="336">
        <v>5400</v>
      </c>
      <c r="I60" s="336">
        <v>1967</v>
      </c>
      <c r="J60" s="65"/>
      <c r="K60" s="646" t="s">
        <v>3927</v>
      </c>
      <c r="L60" s="646" t="s">
        <v>3927</v>
      </c>
    </row>
    <row r="61" spans="1:12" s="195" customFormat="1" ht="72.75" customHeight="1" x14ac:dyDescent="0.2">
      <c r="A61" s="10" t="s">
        <v>1965</v>
      </c>
      <c r="B61" s="10" t="s">
        <v>3828</v>
      </c>
      <c r="C61" s="1079" t="s">
        <v>11275</v>
      </c>
      <c r="D61" s="1080"/>
      <c r="E61" s="12"/>
      <c r="F61" s="12"/>
      <c r="G61" s="12" t="s">
        <v>2617</v>
      </c>
      <c r="H61" s="336">
        <v>1830</v>
      </c>
      <c r="I61" s="336">
        <v>1969</v>
      </c>
      <c r="J61" s="65"/>
      <c r="K61" s="646" t="s">
        <v>3927</v>
      </c>
      <c r="L61" s="646" t="s">
        <v>3927</v>
      </c>
    </row>
    <row r="62" spans="1:12" ht="33" customHeight="1" x14ac:dyDescent="0.2">
      <c r="A62" s="10" t="s">
        <v>1966</v>
      </c>
      <c r="B62" s="10" t="s">
        <v>3445</v>
      </c>
      <c r="C62" s="1079" t="s">
        <v>5746</v>
      </c>
      <c r="D62" s="1080"/>
      <c r="E62" s="12"/>
      <c r="F62" s="380" t="s">
        <v>4269</v>
      </c>
      <c r="G62" s="12" t="s">
        <v>2135</v>
      </c>
      <c r="H62" s="336" t="s">
        <v>3394</v>
      </c>
      <c r="I62" s="336">
        <v>1972</v>
      </c>
      <c r="J62" s="65"/>
      <c r="K62" s="8" t="s">
        <v>9123</v>
      </c>
      <c r="L62" s="8" t="s">
        <v>14047</v>
      </c>
    </row>
    <row r="63" spans="1:12" ht="24.75" customHeight="1" x14ac:dyDescent="0.2">
      <c r="A63" s="10" t="s">
        <v>1967</v>
      </c>
      <c r="B63" s="10" t="s">
        <v>4100</v>
      </c>
      <c r="C63" s="1079" t="s">
        <v>5746</v>
      </c>
      <c r="D63" s="1080"/>
      <c r="E63" s="12"/>
      <c r="F63" s="380" t="s">
        <v>4177</v>
      </c>
      <c r="G63" s="12" t="s">
        <v>60</v>
      </c>
      <c r="H63" s="336">
        <v>42.7</v>
      </c>
      <c r="I63" s="336">
        <v>1970</v>
      </c>
      <c r="J63" s="65"/>
      <c r="K63" s="8" t="s">
        <v>9123</v>
      </c>
      <c r="L63" s="8" t="s">
        <v>14047</v>
      </c>
    </row>
    <row r="64" spans="1:12" ht="36" customHeight="1" x14ac:dyDescent="0.2">
      <c r="A64" s="10" t="s">
        <v>1968</v>
      </c>
      <c r="B64" s="10" t="s">
        <v>3446</v>
      </c>
      <c r="C64" s="1079" t="s">
        <v>5746</v>
      </c>
      <c r="D64" s="1080"/>
      <c r="E64" s="12"/>
      <c r="F64" s="380" t="s">
        <v>4178</v>
      </c>
      <c r="G64" s="8" t="s">
        <v>2309</v>
      </c>
      <c r="H64" s="316" t="s">
        <v>3395</v>
      </c>
      <c r="I64" s="336">
        <v>1965</v>
      </c>
      <c r="J64" s="22"/>
      <c r="K64" s="8" t="s">
        <v>11166</v>
      </c>
      <c r="L64" s="728" t="s">
        <v>14046</v>
      </c>
    </row>
    <row r="65" spans="1:12" ht="36.75" customHeight="1" x14ac:dyDescent="0.2">
      <c r="A65" s="10" t="s">
        <v>1969</v>
      </c>
      <c r="B65" s="10" t="s">
        <v>10867</v>
      </c>
      <c r="C65" s="1079" t="s">
        <v>5746</v>
      </c>
      <c r="D65" s="1080"/>
      <c r="E65" s="12"/>
      <c r="F65" s="380" t="s">
        <v>4167</v>
      </c>
      <c r="G65" s="8" t="s">
        <v>2309</v>
      </c>
      <c r="H65" s="316" t="s">
        <v>3399</v>
      </c>
      <c r="I65" s="316">
        <v>1970</v>
      </c>
      <c r="J65" s="22"/>
      <c r="K65" s="8" t="s">
        <v>11180</v>
      </c>
      <c r="L65" s="8" t="s">
        <v>12530</v>
      </c>
    </row>
    <row r="66" spans="1:12" ht="37.5" customHeight="1" x14ac:dyDescent="0.2">
      <c r="A66" s="10" t="s">
        <v>1970</v>
      </c>
      <c r="B66" s="10" t="s">
        <v>4460</v>
      </c>
      <c r="C66" s="1079" t="s">
        <v>5746</v>
      </c>
      <c r="D66" s="1080"/>
      <c r="E66" s="12"/>
      <c r="F66" s="380" t="s">
        <v>4176</v>
      </c>
      <c r="G66" s="8" t="s">
        <v>2135</v>
      </c>
      <c r="H66" s="316" t="s">
        <v>3396</v>
      </c>
      <c r="I66" s="316">
        <v>1972</v>
      </c>
      <c r="J66" s="22"/>
      <c r="K66" s="8" t="s">
        <v>11180</v>
      </c>
      <c r="L66" s="8" t="s">
        <v>12530</v>
      </c>
    </row>
    <row r="67" spans="1:12" ht="37.5" customHeight="1" x14ac:dyDescent="0.2">
      <c r="A67" s="10" t="s">
        <v>1971</v>
      </c>
      <c r="B67" s="10" t="s">
        <v>10868</v>
      </c>
      <c r="C67" s="1079" t="s">
        <v>5746</v>
      </c>
      <c r="D67" s="1080"/>
      <c r="E67" s="12"/>
      <c r="F67" s="380" t="s">
        <v>4152</v>
      </c>
      <c r="G67" s="8" t="s">
        <v>2135</v>
      </c>
      <c r="H67" s="316" t="s">
        <v>4101</v>
      </c>
      <c r="I67" s="316">
        <v>1978</v>
      </c>
      <c r="J67" s="22"/>
      <c r="K67" s="8" t="s">
        <v>11180</v>
      </c>
      <c r="L67" s="8" t="s">
        <v>12530</v>
      </c>
    </row>
    <row r="68" spans="1:12" ht="38.25" customHeight="1" x14ac:dyDescent="0.2">
      <c r="A68" s="10" t="s">
        <v>1972</v>
      </c>
      <c r="B68" s="10" t="s">
        <v>4314</v>
      </c>
      <c r="C68" s="1079" t="s">
        <v>5746</v>
      </c>
      <c r="D68" s="1080"/>
      <c r="E68" s="12"/>
      <c r="F68" s="380" t="s">
        <v>4160</v>
      </c>
      <c r="G68" s="8" t="s">
        <v>2309</v>
      </c>
      <c r="H68" s="316" t="s">
        <v>3397</v>
      </c>
      <c r="I68" s="316">
        <v>1968</v>
      </c>
      <c r="J68" s="22"/>
      <c r="K68" s="8" t="s">
        <v>11166</v>
      </c>
      <c r="L68" s="728" t="s">
        <v>14046</v>
      </c>
    </row>
    <row r="69" spans="1:12" ht="38.25" customHeight="1" x14ac:dyDescent="0.2">
      <c r="A69" s="10" t="s">
        <v>1973</v>
      </c>
      <c r="B69" s="10" t="s">
        <v>4086</v>
      </c>
      <c r="C69" s="1079" t="s">
        <v>5746</v>
      </c>
      <c r="D69" s="1080"/>
      <c r="E69" s="12"/>
      <c r="F69" s="380" t="s">
        <v>4154</v>
      </c>
      <c r="G69" s="8" t="s">
        <v>2309</v>
      </c>
      <c r="H69" s="316" t="s">
        <v>3398</v>
      </c>
      <c r="I69" s="316">
        <v>1972</v>
      </c>
      <c r="J69" s="22"/>
      <c r="K69" s="8" t="s">
        <v>11180</v>
      </c>
      <c r="L69" s="8" t="s">
        <v>12530</v>
      </c>
    </row>
    <row r="70" spans="1:12" ht="41.25" customHeight="1" x14ac:dyDescent="0.2">
      <c r="A70" s="1087" t="s">
        <v>1974</v>
      </c>
      <c r="B70" s="1087" t="s">
        <v>4313</v>
      </c>
      <c r="C70" s="1115" t="s">
        <v>5746</v>
      </c>
      <c r="D70" s="1116"/>
      <c r="E70" s="12"/>
      <c r="F70" s="380" t="s">
        <v>4161</v>
      </c>
      <c r="G70" s="8" t="s">
        <v>2309</v>
      </c>
      <c r="H70" s="316" t="s">
        <v>3400</v>
      </c>
      <c r="I70" s="316">
        <v>1966</v>
      </c>
      <c r="J70" s="22"/>
      <c r="K70" s="8" t="s">
        <v>11166</v>
      </c>
      <c r="L70" s="728" t="s">
        <v>14046</v>
      </c>
    </row>
    <row r="71" spans="1:12" s="5" customFormat="1" ht="37.5" customHeight="1" x14ac:dyDescent="0.2">
      <c r="A71" s="1088"/>
      <c r="B71" s="1088"/>
      <c r="C71" s="1117"/>
      <c r="D71" s="1118"/>
      <c r="E71" s="1149" t="s">
        <v>3461</v>
      </c>
      <c r="F71" s="1150"/>
      <c r="G71" s="12"/>
      <c r="H71" s="336"/>
      <c r="I71" s="336"/>
      <c r="J71" s="65"/>
      <c r="K71" s="12" t="s">
        <v>11166</v>
      </c>
      <c r="L71" s="728" t="s">
        <v>14046</v>
      </c>
    </row>
    <row r="72" spans="1:12" ht="38.25" customHeight="1" x14ac:dyDescent="0.2">
      <c r="A72" s="10" t="s">
        <v>1975</v>
      </c>
      <c r="B72" s="10" t="s">
        <v>3447</v>
      </c>
      <c r="C72" s="1079" t="s">
        <v>5746</v>
      </c>
      <c r="D72" s="1080"/>
      <c r="E72" s="12"/>
      <c r="F72" s="380" t="s">
        <v>4175</v>
      </c>
      <c r="G72" s="8" t="s">
        <v>2309</v>
      </c>
      <c r="H72" s="316" t="s">
        <v>3401</v>
      </c>
      <c r="I72" s="316">
        <v>1984</v>
      </c>
      <c r="J72" s="22"/>
      <c r="K72" s="8" t="s">
        <v>11180</v>
      </c>
      <c r="L72" s="8" t="s">
        <v>12530</v>
      </c>
    </row>
    <row r="73" spans="1:12" s="5" customFormat="1" ht="36.75" customHeight="1" x14ac:dyDescent="0.2">
      <c r="A73" s="10" t="s">
        <v>1976</v>
      </c>
      <c r="B73" s="10" t="s">
        <v>4087</v>
      </c>
      <c r="C73" s="1079" t="s">
        <v>5746</v>
      </c>
      <c r="D73" s="1080"/>
      <c r="E73" s="12"/>
      <c r="F73" s="380" t="s">
        <v>4182</v>
      </c>
      <c r="G73" s="12" t="s">
        <v>187</v>
      </c>
      <c r="H73" s="336" t="s">
        <v>3402</v>
      </c>
      <c r="I73" s="336">
        <v>1978</v>
      </c>
      <c r="J73" s="65"/>
      <c r="K73" s="8" t="s">
        <v>11166</v>
      </c>
      <c r="L73" s="728" t="s">
        <v>14046</v>
      </c>
    </row>
    <row r="74" spans="1:12" ht="38.25" customHeight="1" x14ac:dyDescent="0.2">
      <c r="A74" s="10" t="s">
        <v>1977</v>
      </c>
      <c r="B74" s="10" t="s">
        <v>4088</v>
      </c>
      <c r="C74" s="1079" t="s">
        <v>5746</v>
      </c>
      <c r="D74" s="1080"/>
      <c r="E74" s="12"/>
      <c r="F74" s="380" t="s">
        <v>4162</v>
      </c>
      <c r="G74" s="8" t="s">
        <v>2309</v>
      </c>
      <c r="H74" s="316" t="s">
        <v>3404</v>
      </c>
      <c r="I74" s="316">
        <v>1978</v>
      </c>
      <c r="J74" s="65"/>
      <c r="K74" s="8" t="s">
        <v>11166</v>
      </c>
      <c r="L74" s="728" t="s">
        <v>14046</v>
      </c>
    </row>
    <row r="75" spans="1:12" ht="37.5" customHeight="1" x14ac:dyDescent="0.2">
      <c r="A75" s="10" t="s">
        <v>1978</v>
      </c>
      <c r="B75" s="10" t="s">
        <v>4089</v>
      </c>
      <c r="C75" s="1079" t="s">
        <v>5746</v>
      </c>
      <c r="D75" s="1080"/>
      <c r="E75" s="12"/>
      <c r="F75" s="380" t="s">
        <v>4317</v>
      </c>
      <c r="G75" s="8" t="s">
        <v>2309</v>
      </c>
      <c r="H75" s="316" t="s">
        <v>3403</v>
      </c>
      <c r="I75" s="316">
        <v>1989</v>
      </c>
      <c r="J75" s="65"/>
      <c r="K75" s="8" t="s">
        <v>11166</v>
      </c>
      <c r="L75" s="728" t="s">
        <v>14046</v>
      </c>
    </row>
    <row r="76" spans="1:12" ht="36.75" customHeight="1" x14ac:dyDescent="0.2">
      <c r="A76" s="10" t="s">
        <v>1979</v>
      </c>
      <c r="B76" s="10" t="s">
        <v>4090</v>
      </c>
      <c r="C76" s="1079" t="s">
        <v>5746</v>
      </c>
      <c r="D76" s="1080"/>
      <c r="E76" s="12"/>
      <c r="F76" s="380" t="s">
        <v>4316</v>
      </c>
      <c r="G76" s="8" t="s">
        <v>2309</v>
      </c>
      <c r="H76" s="316" t="s">
        <v>3405</v>
      </c>
      <c r="I76" s="316">
        <v>1993</v>
      </c>
      <c r="J76" s="65"/>
      <c r="K76" s="8" t="s">
        <v>11166</v>
      </c>
      <c r="L76" s="728" t="s">
        <v>14046</v>
      </c>
    </row>
    <row r="77" spans="1:12" s="5" customFormat="1" ht="28.5" customHeight="1" x14ac:dyDescent="0.2">
      <c r="A77" s="10" t="s">
        <v>1980</v>
      </c>
      <c r="B77" s="10" t="s">
        <v>4091</v>
      </c>
      <c r="C77" s="1079" t="s">
        <v>5746</v>
      </c>
      <c r="D77" s="1080"/>
      <c r="E77" s="12"/>
      <c r="F77" s="380" t="s">
        <v>4153</v>
      </c>
      <c r="G77" s="12" t="s">
        <v>187</v>
      </c>
      <c r="H77" s="336" t="s">
        <v>4472</v>
      </c>
      <c r="I77" s="336">
        <v>1993</v>
      </c>
      <c r="J77" s="65"/>
      <c r="K77" s="8" t="s">
        <v>9123</v>
      </c>
      <c r="L77" s="8" t="s">
        <v>14047</v>
      </c>
    </row>
    <row r="78" spans="1:12" ht="37.5" customHeight="1" x14ac:dyDescent="0.2">
      <c r="A78" s="10" t="s">
        <v>1981</v>
      </c>
      <c r="B78" s="10" t="s">
        <v>4092</v>
      </c>
      <c r="C78" s="1079" t="s">
        <v>5746</v>
      </c>
      <c r="D78" s="1080"/>
      <c r="E78" s="12"/>
      <c r="F78" s="8" t="s">
        <v>4271</v>
      </c>
      <c r="G78" s="8" t="s">
        <v>2309</v>
      </c>
      <c r="H78" s="316" t="s">
        <v>3406</v>
      </c>
      <c r="I78" s="316">
        <v>1993</v>
      </c>
      <c r="J78" s="22"/>
      <c r="K78" s="8" t="s">
        <v>11180</v>
      </c>
      <c r="L78" s="8" t="s">
        <v>12530</v>
      </c>
    </row>
    <row r="79" spans="1:12" ht="56.25" x14ac:dyDescent="0.2">
      <c r="A79" s="10" t="s">
        <v>1982</v>
      </c>
      <c r="B79" s="10" t="s">
        <v>3437</v>
      </c>
      <c r="C79" s="1079" t="s">
        <v>5743</v>
      </c>
      <c r="D79" s="1080"/>
      <c r="E79" s="12"/>
      <c r="F79" s="380" t="s">
        <v>4163</v>
      </c>
      <c r="G79" s="8" t="s">
        <v>2309</v>
      </c>
      <c r="H79" s="316" t="s">
        <v>3407</v>
      </c>
      <c r="I79" s="316">
        <v>1976</v>
      </c>
      <c r="J79" s="22"/>
      <c r="K79" s="8" t="s">
        <v>11166</v>
      </c>
      <c r="L79" s="728" t="s">
        <v>14046</v>
      </c>
    </row>
    <row r="80" spans="1:12" ht="56.25" x14ac:dyDescent="0.2">
      <c r="A80" s="10" t="s">
        <v>1983</v>
      </c>
      <c r="B80" s="10" t="s">
        <v>4273</v>
      </c>
      <c r="C80" s="1079" t="s">
        <v>5743</v>
      </c>
      <c r="D80" s="1080"/>
      <c r="E80" s="12"/>
      <c r="F80" s="380" t="s">
        <v>4272</v>
      </c>
      <c r="G80" s="8" t="s">
        <v>2309</v>
      </c>
      <c r="H80" s="316" t="s">
        <v>3408</v>
      </c>
      <c r="I80" s="316">
        <v>1976</v>
      </c>
      <c r="J80" s="22"/>
      <c r="K80" s="8" t="s">
        <v>11166</v>
      </c>
      <c r="L80" s="728" t="s">
        <v>14046</v>
      </c>
    </row>
    <row r="81" spans="1:12" ht="56.25" x14ac:dyDescent="0.2">
      <c r="A81" s="10" t="s">
        <v>1984</v>
      </c>
      <c r="B81" s="10" t="s">
        <v>3438</v>
      </c>
      <c r="C81" s="1079" t="s">
        <v>5743</v>
      </c>
      <c r="D81" s="1080"/>
      <c r="E81" s="12"/>
      <c r="F81" s="380" t="s">
        <v>4259</v>
      </c>
      <c r="G81" s="8" t="s">
        <v>2309</v>
      </c>
      <c r="H81" s="316" t="s">
        <v>3409</v>
      </c>
      <c r="I81" s="316">
        <v>1978</v>
      </c>
      <c r="J81" s="22"/>
      <c r="K81" s="8" t="s">
        <v>11166</v>
      </c>
      <c r="L81" s="728" t="s">
        <v>14046</v>
      </c>
    </row>
    <row r="82" spans="1:12" ht="38.25" customHeight="1" x14ac:dyDescent="0.2">
      <c r="A82" s="10" t="s">
        <v>2346</v>
      </c>
      <c r="B82" s="10" t="s">
        <v>3438</v>
      </c>
      <c r="C82" s="1079" t="s">
        <v>5743</v>
      </c>
      <c r="D82" s="1080"/>
      <c r="E82" s="12"/>
      <c r="F82" s="380" t="s">
        <v>4183</v>
      </c>
      <c r="G82" s="8" t="s">
        <v>2309</v>
      </c>
      <c r="H82" s="316" t="s">
        <v>3410</v>
      </c>
      <c r="I82" s="316">
        <v>1975</v>
      </c>
      <c r="J82" s="22"/>
      <c r="K82" s="8" t="s">
        <v>11166</v>
      </c>
      <c r="L82" s="728" t="s">
        <v>14046</v>
      </c>
    </row>
    <row r="83" spans="1:12" ht="36.75" customHeight="1" x14ac:dyDescent="0.2">
      <c r="A83" s="10" t="s">
        <v>2618</v>
      </c>
      <c r="B83" s="10" t="s">
        <v>4093</v>
      </c>
      <c r="C83" s="1079" t="s">
        <v>5743</v>
      </c>
      <c r="D83" s="1080"/>
      <c r="E83" s="12"/>
      <c r="F83" s="380" t="s">
        <v>4297</v>
      </c>
      <c r="G83" s="8" t="s">
        <v>2135</v>
      </c>
      <c r="H83" s="316" t="s">
        <v>3411</v>
      </c>
      <c r="I83" s="316">
        <v>1961</v>
      </c>
      <c r="J83" s="22"/>
      <c r="K83" s="8" t="s">
        <v>11180</v>
      </c>
      <c r="L83" s="8" t="s">
        <v>12530</v>
      </c>
    </row>
    <row r="84" spans="1:12" ht="36" customHeight="1" x14ac:dyDescent="0.2">
      <c r="A84" s="10" t="s">
        <v>2312</v>
      </c>
      <c r="B84" s="10" t="s">
        <v>3439</v>
      </c>
      <c r="C84" s="1079" t="s">
        <v>5743</v>
      </c>
      <c r="D84" s="1080"/>
      <c r="E84" s="12"/>
      <c r="F84" s="380" t="s">
        <v>4270</v>
      </c>
      <c r="G84" s="8" t="s">
        <v>187</v>
      </c>
      <c r="H84" s="316" t="s">
        <v>3412</v>
      </c>
      <c r="I84" s="316">
        <v>1983</v>
      </c>
      <c r="J84" s="22"/>
      <c r="K84" s="8" t="s">
        <v>11180</v>
      </c>
      <c r="L84" s="8" t="s">
        <v>12530</v>
      </c>
    </row>
    <row r="85" spans="1:12" s="5" customFormat="1" ht="35.25" customHeight="1" x14ac:dyDescent="0.2">
      <c r="A85" s="10" t="s">
        <v>2313</v>
      </c>
      <c r="B85" s="10" t="s">
        <v>3440</v>
      </c>
      <c r="C85" s="1079" t="s">
        <v>11274</v>
      </c>
      <c r="D85" s="1080"/>
      <c r="E85" s="12"/>
      <c r="F85" s="12"/>
      <c r="G85" s="12"/>
      <c r="H85" s="336"/>
      <c r="I85" s="336">
        <v>1972</v>
      </c>
      <c r="J85" s="65"/>
      <c r="K85" s="276" t="s">
        <v>9123</v>
      </c>
      <c r="L85" s="646" t="s">
        <v>12531</v>
      </c>
    </row>
    <row r="86" spans="1:12" ht="38.25" customHeight="1" x14ac:dyDescent="0.2">
      <c r="A86" s="10" t="s">
        <v>1985</v>
      </c>
      <c r="B86" s="10" t="s">
        <v>10869</v>
      </c>
      <c r="C86" s="1079" t="s">
        <v>5743</v>
      </c>
      <c r="D86" s="1080"/>
      <c r="E86" s="12"/>
      <c r="F86" s="8"/>
      <c r="G86" s="8"/>
      <c r="H86" s="316"/>
      <c r="I86" s="316">
        <v>1992</v>
      </c>
      <c r="J86" s="22"/>
      <c r="K86" s="8" t="s">
        <v>11180</v>
      </c>
      <c r="L86" s="8" t="s">
        <v>12530</v>
      </c>
    </row>
    <row r="87" spans="1:12" ht="35.25" customHeight="1" x14ac:dyDescent="0.2">
      <c r="A87" s="10" t="s">
        <v>1986</v>
      </c>
      <c r="B87" s="10" t="s">
        <v>4274</v>
      </c>
      <c r="C87" s="1079" t="s">
        <v>5743</v>
      </c>
      <c r="D87" s="1080"/>
      <c r="E87" s="12"/>
      <c r="F87" s="380" t="s">
        <v>4349</v>
      </c>
      <c r="G87" s="8" t="s">
        <v>2309</v>
      </c>
      <c r="H87" s="316" t="s">
        <v>3413</v>
      </c>
      <c r="I87" s="316">
        <v>1975</v>
      </c>
      <c r="J87" s="22"/>
      <c r="K87" s="8" t="s">
        <v>11166</v>
      </c>
      <c r="L87" s="728" t="s">
        <v>14046</v>
      </c>
    </row>
    <row r="88" spans="1:12" ht="34.5" customHeight="1" x14ac:dyDescent="0.2">
      <c r="A88" s="10" t="s">
        <v>1987</v>
      </c>
      <c r="B88" s="10" t="s">
        <v>4465</v>
      </c>
      <c r="C88" s="1079" t="s">
        <v>5743</v>
      </c>
      <c r="D88" s="1080"/>
      <c r="E88" s="12"/>
      <c r="F88" s="380" t="s">
        <v>4069</v>
      </c>
      <c r="G88" s="8"/>
      <c r="H88" s="316" t="s">
        <v>3414</v>
      </c>
      <c r="I88" s="316">
        <v>1983</v>
      </c>
      <c r="J88" s="22"/>
      <c r="K88" s="8" t="s">
        <v>11166</v>
      </c>
      <c r="L88" s="728" t="s">
        <v>14046</v>
      </c>
    </row>
    <row r="89" spans="1:12" s="5" customFormat="1" ht="33.75" x14ac:dyDescent="0.2">
      <c r="A89" s="10" t="s">
        <v>1988</v>
      </c>
      <c r="B89" s="10" t="s">
        <v>3444</v>
      </c>
      <c r="C89" s="1079" t="s">
        <v>5743</v>
      </c>
      <c r="D89" s="1080"/>
      <c r="E89" s="12"/>
      <c r="F89" s="12"/>
      <c r="G89" s="12"/>
      <c r="H89" s="336"/>
      <c r="I89" s="336">
        <v>1975</v>
      </c>
      <c r="J89" s="65"/>
      <c r="K89" s="10" t="s">
        <v>12535</v>
      </c>
      <c r="L89" s="10" t="s">
        <v>399</v>
      </c>
    </row>
    <row r="90" spans="1:12" ht="33.75" customHeight="1" x14ac:dyDescent="0.2">
      <c r="A90" s="10" t="s">
        <v>1989</v>
      </c>
      <c r="B90" s="10" t="s">
        <v>4474</v>
      </c>
      <c r="C90" s="1079" t="s">
        <v>5743</v>
      </c>
      <c r="D90" s="1080"/>
      <c r="E90" s="12"/>
      <c r="F90" s="8"/>
      <c r="G90" s="8"/>
      <c r="H90" s="316"/>
      <c r="I90" s="316">
        <v>1978</v>
      </c>
      <c r="J90" s="22"/>
      <c r="K90" s="8" t="s">
        <v>11166</v>
      </c>
      <c r="L90" s="728" t="s">
        <v>14046</v>
      </c>
    </row>
    <row r="91" spans="1:12" ht="96" customHeight="1" x14ac:dyDescent="0.2">
      <c r="A91" s="10" t="s">
        <v>2314</v>
      </c>
      <c r="B91" s="10" t="s">
        <v>3443</v>
      </c>
      <c r="C91" s="1079" t="s">
        <v>5743</v>
      </c>
      <c r="D91" s="1080"/>
      <c r="E91" s="12"/>
      <c r="F91" s="267" t="s">
        <v>4379</v>
      </c>
      <c r="G91" s="8"/>
      <c r="H91" s="316">
        <v>1080</v>
      </c>
      <c r="I91" s="316">
        <v>1981</v>
      </c>
      <c r="J91" s="22"/>
      <c r="K91" s="8" t="s">
        <v>11166</v>
      </c>
      <c r="L91" s="728" t="s">
        <v>14046</v>
      </c>
    </row>
    <row r="92" spans="1:12" ht="61.5" customHeight="1" x14ac:dyDescent="0.2">
      <c r="A92" s="10" t="s">
        <v>2315</v>
      </c>
      <c r="B92" s="10" t="s">
        <v>3442</v>
      </c>
      <c r="C92" s="1079" t="s">
        <v>5743</v>
      </c>
      <c r="D92" s="1080"/>
      <c r="E92" s="12"/>
      <c r="F92" s="8"/>
      <c r="G92" s="8"/>
      <c r="H92" s="316"/>
      <c r="I92" s="316">
        <v>1965</v>
      </c>
      <c r="J92" s="22"/>
      <c r="K92" s="8" t="s">
        <v>11166</v>
      </c>
      <c r="L92" s="728" t="s">
        <v>14046</v>
      </c>
    </row>
    <row r="93" spans="1:12" ht="47.25" customHeight="1" x14ac:dyDescent="0.2">
      <c r="A93" s="10" t="s">
        <v>2316</v>
      </c>
      <c r="B93" s="10" t="s">
        <v>3441</v>
      </c>
      <c r="C93" s="1079" t="s">
        <v>5743</v>
      </c>
      <c r="D93" s="1080"/>
      <c r="E93" s="12"/>
      <c r="F93" s="380" t="s">
        <v>4365</v>
      </c>
      <c r="G93" s="8" t="s">
        <v>187</v>
      </c>
      <c r="H93" s="316" t="s">
        <v>3661</v>
      </c>
      <c r="I93" s="316" t="s">
        <v>3871</v>
      </c>
      <c r="J93" s="22"/>
      <c r="K93" s="8" t="s">
        <v>11180</v>
      </c>
      <c r="L93" s="8" t="s">
        <v>12530</v>
      </c>
    </row>
    <row r="94" spans="1:12" s="61" customFormat="1" ht="38.25" customHeight="1" x14ac:dyDescent="0.2">
      <c r="A94" s="10" t="s">
        <v>1990</v>
      </c>
      <c r="B94" s="10" t="s">
        <v>3601</v>
      </c>
      <c r="C94" s="1079" t="s">
        <v>11286</v>
      </c>
      <c r="D94" s="1080"/>
      <c r="E94" s="12"/>
      <c r="F94" s="8"/>
      <c r="G94" s="8"/>
      <c r="H94" s="316"/>
      <c r="I94" s="316"/>
      <c r="J94" s="22"/>
      <c r="K94" s="8" t="s">
        <v>11180</v>
      </c>
      <c r="L94" s="8" t="s">
        <v>12530</v>
      </c>
    </row>
    <row r="95" spans="1:12" ht="39.75" customHeight="1" x14ac:dyDescent="0.2">
      <c r="A95" s="10" t="s">
        <v>2347</v>
      </c>
      <c r="B95" s="11" t="s">
        <v>8698</v>
      </c>
      <c r="C95" s="1079" t="s">
        <v>8882</v>
      </c>
      <c r="D95" s="1080"/>
      <c r="E95" s="12"/>
      <c r="F95" s="380" t="s">
        <v>4076</v>
      </c>
      <c r="G95" s="8" t="s">
        <v>187</v>
      </c>
      <c r="H95" s="316" t="s">
        <v>3415</v>
      </c>
      <c r="I95" s="316">
        <v>1971</v>
      </c>
      <c r="J95" s="22"/>
      <c r="K95" s="8" t="s">
        <v>11180</v>
      </c>
      <c r="L95" s="8" t="s">
        <v>12530</v>
      </c>
    </row>
    <row r="96" spans="1:12" s="5" customFormat="1" ht="22.5" x14ac:dyDescent="0.2">
      <c r="A96" s="10" t="s">
        <v>2382</v>
      </c>
      <c r="B96" s="10" t="s">
        <v>3603</v>
      </c>
      <c r="C96" s="1079" t="s">
        <v>11287</v>
      </c>
      <c r="D96" s="1080"/>
      <c r="E96" s="12"/>
      <c r="F96" s="12"/>
      <c r="G96" s="12"/>
      <c r="H96" s="336"/>
      <c r="I96" s="336">
        <v>1982</v>
      </c>
      <c r="J96" s="65"/>
      <c r="K96" s="10" t="s">
        <v>4661</v>
      </c>
      <c r="L96" s="10" t="s">
        <v>4661</v>
      </c>
    </row>
    <row r="97" spans="1:12" s="5" customFormat="1" ht="22.5" x14ac:dyDescent="0.2">
      <c r="A97" s="10" t="s">
        <v>1991</v>
      </c>
      <c r="B97" s="10" t="s">
        <v>3327</v>
      </c>
      <c r="C97" s="1079" t="s">
        <v>11273</v>
      </c>
      <c r="D97" s="1080"/>
      <c r="E97" s="12"/>
      <c r="F97" s="12"/>
      <c r="G97" s="12"/>
      <c r="H97" s="336" t="s">
        <v>4476</v>
      </c>
      <c r="I97" s="336">
        <v>1973</v>
      </c>
      <c r="J97" s="65"/>
      <c r="K97" s="646" t="s">
        <v>3308</v>
      </c>
      <c r="L97" s="728" t="s">
        <v>3308</v>
      </c>
    </row>
    <row r="98" spans="1:12" s="5" customFormat="1" ht="40.5" customHeight="1" x14ac:dyDescent="0.2">
      <c r="A98" s="1087" t="s">
        <v>3773</v>
      </c>
      <c r="B98" s="1087" t="s">
        <v>3328</v>
      </c>
      <c r="C98" s="1115" t="s">
        <v>11273</v>
      </c>
      <c r="D98" s="1116"/>
      <c r="E98" s="12"/>
      <c r="F98" s="12"/>
      <c r="G98" s="12"/>
      <c r="H98" s="336" t="s">
        <v>3326</v>
      </c>
      <c r="I98" s="336" t="s">
        <v>532</v>
      </c>
      <c r="J98" s="65"/>
      <c r="K98" s="19" t="s">
        <v>3308</v>
      </c>
      <c r="L98" s="19" t="s">
        <v>3308</v>
      </c>
    </row>
    <row r="99" spans="1:12" s="5" customFormat="1" ht="28.5" customHeight="1" x14ac:dyDescent="0.2">
      <c r="A99" s="1088"/>
      <c r="B99" s="1088"/>
      <c r="C99" s="1117"/>
      <c r="D99" s="1118"/>
      <c r="E99" s="1094" t="s">
        <v>3341</v>
      </c>
      <c r="F99" s="1096"/>
      <c r="G99" s="12" t="s">
        <v>3330</v>
      </c>
      <c r="H99" s="336" t="s">
        <v>3329</v>
      </c>
      <c r="I99" s="336">
        <v>2010</v>
      </c>
      <c r="J99" s="65"/>
      <c r="K99" s="19" t="s">
        <v>3363</v>
      </c>
      <c r="L99" s="19"/>
    </row>
    <row r="100" spans="1:12" ht="36.75" customHeight="1" x14ac:dyDescent="0.2">
      <c r="A100" s="10" t="s">
        <v>1992</v>
      </c>
      <c r="B100" s="10" t="s">
        <v>3900</v>
      </c>
      <c r="C100" s="1079" t="s">
        <v>11273</v>
      </c>
      <c r="D100" s="1080"/>
      <c r="E100" s="12"/>
      <c r="F100" s="12"/>
      <c r="G100" s="12"/>
      <c r="H100" s="336" t="s">
        <v>3416</v>
      </c>
      <c r="I100" s="336">
        <v>1976</v>
      </c>
      <c r="J100" s="65"/>
      <c r="K100" s="8" t="s">
        <v>11180</v>
      </c>
      <c r="L100" s="8" t="s">
        <v>12530</v>
      </c>
    </row>
    <row r="101" spans="1:12" s="5" customFormat="1" ht="22.5" x14ac:dyDescent="0.2">
      <c r="A101" s="10" t="s">
        <v>1993</v>
      </c>
      <c r="B101" s="10" t="s">
        <v>3901</v>
      </c>
      <c r="C101" s="1079" t="s">
        <v>11273</v>
      </c>
      <c r="D101" s="1080"/>
      <c r="E101" s="12"/>
      <c r="F101" s="12"/>
      <c r="G101" s="12"/>
      <c r="H101" s="336" t="s">
        <v>3417</v>
      </c>
      <c r="I101" s="336">
        <v>1973</v>
      </c>
      <c r="J101" s="65"/>
      <c r="K101" s="647" t="s">
        <v>4421</v>
      </c>
      <c r="L101" s="10" t="s">
        <v>401</v>
      </c>
    </row>
    <row r="102" spans="1:12" s="5" customFormat="1" ht="22.5" x14ac:dyDescent="0.2">
      <c r="A102" s="10" t="s">
        <v>2317</v>
      </c>
      <c r="B102" s="10" t="s">
        <v>3902</v>
      </c>
      <c r="C102" s="1079" t="s">
        <v>11273</v>
      </c>
      <c r="D102" s="1080"/>
      <c r="E102" s="12"/>
      <c r="F102" s="12"/>
      <c r="G102" s="12"/>
      <c r="H102" s="336"/>
      <c r="I102" s="336">
        <v>1976</v>
      </c>
      <c r="J102" s="65"/>
      <c r="K102" s="647" t="s">
        <v>4420</v>
      </c>
      <c r="L102" s="19" t="s">
        <v>3895</v>
      </c>
    </row>
    <row r="103" spans="1:12" s="194" customFormat="1" ht="45.75" customHeight="1" x14ac:dyDescent="0.2">
      <c r="A103" s="10" t="s">
        <v>2318</v>
      </c>
      <c r="B103" s="10" t="s">
        <v>3861</v>
      </c>
      <c r="C103" s="1079" t="s">
        <v>5555</v>
      </c>
      <c r="D103" s="1080"/>
      <c r="E103" s="12"/>
      <c r="F103" s="642" t="s">
        <v>4260</v>
      </c>
      <c r="G103" s="12"/>
      <c r="H103" s="336" t="s">
        <v>3862</v>
      </c>
      <c r="I103" s="336" t="s">
        <v>504</v>
      </c>
      <c r="J103" s="65"/>
      <c r="K103" s="234" t="s">
        <v>9123</v>
      </c>
      <c r="L103" s="234" t="s">
        <v>11368</v>
      </c>
    </row>
    <row r="104" spans="1:12" ht="33.75" x14ac:dyDescent="0.2">
      <c r="A104" s="10" t="s">
        <v>2319</v>
      </c>
      <c r="B104" s="10" t="s">
        <v>3237</v>
      </c>
      <c r="C104" s="1079" t="s">
        <v>6033</v>
      </c>
      <c r="D104" s="1080"/>
      <c r="E104" s="12"/>
      <c r="F104" s="12"/>
      <c r="G104" s="12"/>
      <c r="H104" s="336"/>
      <c r="I104" s="336">
        <v>1999</v>
      </c>
      <c r="J104" s="65"/>
      <c r="K104" s="10" t="s">
        <v>320</v>
      </c>
      <c r="L104" s="10" t="s">
        <v>320</v>
      </c>
    </row>
    <row r="105" spans="1:12" ht="36.75" customHeight="1" x14ac:dyDescent="0.2">
      <c r="A105" s="10" t="s">
        <v>2349</v>
      </c>
      <c r="B105" s="11" t="s">
        <v>3866</v>
      </c>
      <c r="C105" s="1136" t="s">
        <v>11288</v>
      </c>
      <c r="D105" s="1137"/>
      <c r="E105" s="12"/>
      <c r="F105" s="8"/>
      <c r="G105" s="8" t="s">
        <v>3067</v>
      </c>
      <c r="H105" s="316" t="s">
        <v>3863</v>
      </c>
      <c r="I105" s="316">
        <v>2005</v>
      </c>
      <c r="J105" s="22"/>
      <c r="K105" s="8" t="s">
        <v>11180</v>
      </c>
      <c r="L105" s="8" t="s">
        <v>12530</v>
      </c>
    </row>
    <row r="106" spans="1:12" ht="36.75" customHeight="1" x14ac:dyDescent="0.2">
      <c r="A106" s="10" t="s">
        <v>2383</v>
      </c>
      <c r="B106" s="665" t="s">
        <v>3659</v>
      </c>
      <c r="C106" s="1111" t="s">
        <v>11289</v>
      </c>
      <c r="D106" s="1112"/>
      <c r="E106" s="12"/>
      <c r="F106" s="48"/>
      <c r="G106" s="48" t="s">
        <v>3585</v>
      </c>
      <c r="H106" s="28" t="s">
        <v>3486</v>
      </c>
      <c r="I106" s="28" t="s">
        <v>490</v>
      </c>
      <c r="J106" s="42"/>
      <c r="K106" s="8" t="s">
        <v>11180</v>
      </c>
      <c r="L106" s="8" t="s">
        <v>12530</v>
      </c>
    </row>
    <row r="107" spans="1:12" ht="35.25" customHeight="1" x14ac:dyDescent="0.2">
      <c r="A107" s="10" t="s">
        <v>1994</v>
      </c>
      <c r="B107" s="665" t="s">
        <v>3658</v>
      </c>
      <c r="C107" s="1083" t="s">
        <v>11290</v>
      </c>
      <c r="D107" s="1084"/>
      <c r="E107" s="222"/>
      <c r="F107" s="142"/>
      <c r="G107" s="142" t="s">
        <v>3585</v>
      </c>
      <c r="H107" s="284" t="s">
        <v>3491</v>
      </c>
      <c r="I107" s="284" t="s">
        <v>490</v>
      </c>
      <c r="J107" s="149"/>
      <c r="K107" s="8" t="s">
        <v>11180</v>
      </c>
      <c r="L107" s="8" t="s">
        <v>12530</v>
      </c>
    </row>
    <row r="108" spans="1:12" ht="33" customHeight="1" x14ac:dyDescent="0.2">
      <c r="A108" s="10" t="s">
        <v>2321</v>
      </c>
      <c r="B108" s="165" t="s">
        <v>6406</v>
      </c>
      <c r="C108" s="1079" t="s">
        <v>11230</v>
      </c>
      <c r="D108" s="1080"/>
      <c r="E108" s="12"/>
      <c r="F108" s="380" t="s">
        <v>4364</v>
      </c>
      <c r="G108" s="8" t="s">
        <v>59</v>
      </c>
      <c r="H108" s="316" t="s">
        <v>3418</v>
      </c>
      <c r="I108" s="316"/>
      <c r="J108" s="22"/>
      <c r="K108" s="276" t="s">
        <v>9123</v>
      </c>
      <c r="L108" s="646" t="s">
        <v>12531</v>
      </c>
    </row>
    <row r="109" spans="1:12" ht="34.5" customHeight="1" x14ac:dyDescent="0.2">
      <c r="A109" s="10" t="s">
        <v>1995</v>
      </c>
      <c r="B109" s="11" t="s">
        <v>3439</v>
      </c>
      <c r="C109" s="1113" t="s">
        <v>8903</v>
      </c>
      <c r="D109" s="1113"/>
      <c r="E109" s="12"/>
      <c r="F109" s="48" t="s">
        <v>8905</v>
      </c>
      <c r="G109" s="8"/>
      <c r="H109" s="343" t="s">
        <v>3839</v>
      </c>
      <c r="I109" s="316" t="s">
        <v>38</v>
      </c>
      <c r="J109" s="22"/>
      <c r="K109" s="8" t="s">
        <v>11180</v>
      </c>
      <c r="L109" s="8" t="s">
        <v>12530</v>
      </c>
    </row>
    <row r="110" spans="1:12" ht="22.5" x14ac:dyDescent="0.2">
      <c r="A110" s="1116" t="s">
        <v>3586</v>
      </c>
      <c r="B110" s="11" t="s">
        <v>186</v>
      </c>
      <c r="C110" s="1115" t="s">
        <v>11272</v>
      </c>
      <c r="D110" s="1116"/>
      <c r="E110" s="12"/>
      <c r="F110" s="8"/>
      <c r="G110" s="8" t="s">
        <v>2309</v>
      </c>
      <c r="H110" s="316" t="s">
        <v>3390</v>
      </c>
      <c r="I110" s="316">
        <v>2010</v>
      </c>
      <c r="J110" s="22"/>
      <c r="K110" s="647" t="s">
        <v>11180</v>
      </c>
      <c r="L110" s="975" t="s">
        <v>12530</v>
      </c>
    </row>
    <row r="111" spans="1:12" ht="24" customHeight="1" x14ac:dyDescent="0.2">
      <c r="A111" s="1118"/>
      <c r="B111" s="11" t="s">
        <v>3499</v>
      </c>
      <c r="C111" s="1115" t="s">
        <v>11272</v>
      </c>
      <c r="D111" s="1116"/>
      <c r="E111" s="1094" t="s">
        <v>3341</v>
      </c>
      <c r="F111" s="1096"/>
      <c r="G111" s="12"/>
      <c r="H111" s="336" t="s">
        <v>2619</v>
      </c>
      <c r="I111" s="336">
        <v>2011</v>
      </c>
      <c r="J111" s="22"/>
      <c r="K111" s="647" t="s">
        <v>11180</v>
      </c>
      <c r="L111" s="988"/>
    </row>
    <row r="112" spans="1:12" ht="34.5" customHeight="1" x14ac:dyDescent="0.2">
      <c r="A112" s="10" t="s">
        <v>3587</v>
      </c>
      <c r="B112" s="665" t="s">
        <v>186</v>
      </c>
      <c r="C112" s="1111" t="s">
        <v>11271</v>
      </c>
      <c r="D112" s="1112"/>
      <c r="E112" s="268"/>
      <c r="F112" s="48"/>
      <c r="G112" s="48" t="s">
        <v>4080</v>
      </c>
      <c r="H112" s="28" t="s">
        <v>4082</v>
      </c>
      <c r="I112" s="28" t="s">
        <v>490</v>
      </c>
      <c r="J112" s="42"/>
      <c r="K112" s="647" t="s">
        <v>11180</v>
      </c>
      <c r="L112" s="988"/>
    </row>
    <row r="113" spans="1:12" ht="37.5" customHeight="1" x14ac:dyDescent="0.2">
      <c r="A113" s="10" t="s">
        <v>3588</v>
      </c>
      <c r="B113" s="665" t="s">
        <v>186</v>
      </c>
      <c r="C113" s="1111" t="s">
        <v>11270</v>
      </c>
      <c r="D113" s="1112"/>
      <c r="E113" s="268"/>
      <c r="F113" s="48"/>
      <c r="G113" s="48" t="s">
        <v>4080</v>
      </c>
      <c r="H113" s="28" t="s">
        <v>4083</v>
      </c>
      <c r="I113" s="28" t="s">
        <v>490</v>
      </c>
      <c r="J113" s="42"/>
      <c r="K113" s="647" t="s">
        <v>11180</v>
      </c>
      <c r="L113" s="988"/>
    </row>
    <row r="114" spans="1:12" ht="33.75" customHeight="1" x14ac:dyDescent="0.2">
      <c r="A114" s="10" t="s">
        <v>3589</v>
      </c>
      <c r="B114" s="665" t="s">
        <v>186</v>
      </c>
      <c r="C114" s="1111" t="s">
        <v>3500</v>
      </c>
      <c r="D114" s="1112"/>
      <c r="E114" s="65"/>
      <c r="F114" s="48"/>
      <c r="G114" s="48" t="s">
        <v>4080</v>
      </c>
      <c r="H114" s="28" t="s">
        <v>4084</v>
      </c>
      <c r="I114" s="28" t="s">
        <v>490</v>
      </c>
      <c r="J114" s="42"/>
      <c r="K114" s="647" t="s">
        <v>11180</v>
      </c>
      <c r="L114" s="988"/>
    </row>
    <row r="115" spans="1:12" ht="36" customHeight="1" x14ac:dyDescent="0.2">
      <c r="A115" s="10" t="s">
        <v>3590</v>
      </c>
      <c r="B115" s="665" t="s">
        <v>186</v>
      </c>
      <c r="C115" s="1111" t="s">
        <v>11269</v>
      </c>
      <c r="D115" s="1112"/>
      <c r="E115" s="65"/>
      <c r="F115" s="48"/>
      <c r="G115" s="48" t="s">
        <v>4080</v>
      </c>
      <c r="H115" s="28" t="s">
        <v>4085</v>
      </c>
      <c r="I115" s="28" t="s">
        <v>490</v>
      </c>
      <c r="J115" s="42"/>
      <c r="K115" s="635" t="s">
        <v>11180</v>
      </c>
      <c r="L115" s="988"/>
    </row>
    <row r="116" spans="1:12" ht="60.75" customHeight="1" x14ac:dyDescent="0.2">
      <c r="A116" s="10" t="s">
        <v>3297</v>
      </c>
      <c r="B116" s="11" t="s">
        <v>3856</v>
      </c>
      <c r="C116" s="1079" t="s">
        <v>8903</v>
      </c>
      <c r="D116" s="1080"/>
      <c r="E116" s="65"/>
      <c r="F116" s="380" t="s">
        <v>4315</v>
      </c>
      <c r="G116" s="8"/>
      <c r="H116" s="342">
        <v>20000</v>
      </c>
      <c r="I116" s="316" t="s">
        <v>2830</v>
      </c>
      <c r="J116" s="22"/>
      <c r="K116" s="8" t="s">
        <v>11180</v>
      </c>
      <c r="L116" s="8" t="s">
        <v>12530</v>
      </c>
    </row>
    <row r="117" spans="1:12" ht="36" customHeight="1" x14ac:dyDescent="0.2">
      <c r="A117" s="1087" t="s">
        <v>1996</v>
      </c>
      <c r="B117" s="1087" t="s">
        <v>3455</v>
      </c>
      <c r="C117" s="1115" t="s">
        <v>6057</v>
      </c>
      <c r="D117" s="1116"/>
      <c r="E117" s="12"/>
      <c r="F117" s="380" t="s">
        <v>4149</v>
      </c>
      <c r="G117" s="12" t="s">
        <v>187</v>
      </c>
      <c r="H117" s="336" t="s">
        <v>7158</v>
      </c>
      <c r="I117" s="336" t="s">
        <v>3047</v>
      </c>
      <c r="J117" s="65"/>
      <c r="K117" s="981" t="s">
        <v>9123</v>
      </c>
      <c r="L117" s="1087" t="s">
        <v>14047</v>
      </c>
    </row>
    <row r="118" spans="1:12" s="5" customFormat="1" ht="27" customHeight="1" x14ac:dyDescent="0.2">
      <c r="A118" s="1088"/>
      <c r="B118" s="1088"/>
      <c r="C118" s="1117"/>
      <c r="D118" s="1118"/>
      <c r="E118" s="1094" t="s">
        <v>3584</v>
      </c>
      <c r="F118" s="1096"/>
      <c r="G118" s="12"/>
      <c r="H118" s="336"/>
      <c r="I118" s="336" t="s">
        <v>3581</v>
      </c>
      <c r="J118" s="65"/>
      <c r="K118" s="983"/>
      <c r="L118" s="1088"/>
    </row>
    <row r="119" spans="1:12" ht="174" customHeight="1" x14ac:dyDescent="0.2">
      <c r="A119" s="10" t="s">
        <v>2322</v>
      </c>
      <c r="B119" s="11" t="s">
        <v>3449</v>
      </c>
      <c r="C119" s="1136" t="s">
        <v>11196</v>
      </c>
      <c r="D119" s="1137"/>
      <c r="E119" s="12"/>
      <c r="F119" s="269" t="s">
        <v>5050</v>
      </c>
      <c r="G119" s="8"/>
      <c r="H119" s="342">
        <v>810</v>
      </c>
      <c r="I119" s="316">
        <v>1995</v>
      </c>
      <c r="J119" s="22"/>
      <c r="K119" s="34" t="s">
        <v>11166</v>
      </c>
      <c r="L119" s="728" t="s">
        <v>14046</v>
      </c>
    </row>
    <row r="120" spans="1:12" s="5" customFormat="1" ht="56.25" x14ac:dyDescent="0.2">
      <c r="A120" s="10" t="s">
        <v>2323</v>
      </c>
      <c r="B120" s="10" t="s">
        <v>3450</v>
      </c>
      <c r="C120" s="1079" t="s">
        <v>5746</v>
      </c>
      <c r="D120" s="1080"/>
      <c r="E120" s="12"/>
      <c r="F120" s="380" t="s">
        <v>4354</v>
      </c>
      <c r="G120" s="12" t="s">
        <v>187</v>
      </c>
      <c r="H120" s="336" t="s">
        <v>4351</v>
      </c>
      <c r="I120" s="336" t="s">
        <v>349</v>
      </c>
      <c r="J120" s="65"/>
      <c r="K120" s="8" t="s">
        <v>9123</v>
      </c>
      <c r="L120" s="8" t="s">
        <v>14047</v>
      </c>
    </row>
    <row r="121" spans="1:12" s="5" customFormat="1" ht="56.25" x14ac:dyDescent="0.2">
      <c r="A121" s="10" t="s">
        <v>1997</v>
      </c>
      <c r="B121" s="10" t="s">
        <v>4098</v>
      </c>
      <c r="C121" s="1079" t="s">
        <v>5746</v>
      </c>
      <c r="D121" s="1080"/>
      <c r="E121" s="12"/>
      <c r="F121" s="12" t="s">
        <v>4165</v>
      </c>
      <c r="G121" s="12" t="s">
        <v>187</v>
      </c>
      <c r="H121" s="336" t="s">
        <v>4352</v>
      </c>
      <c r="I121" s="336">
        <v>1991</v>
      </c>
      <c r="J121" s="65"/>
      <c r="K121" s="8" t="s">
        <v>9123</v>
      </c>
      <c r="L121" s="8" t="s">
        <v>14047</v>
      </c>
    </row>
    <row r="122" spans="1:12" s="5" customFormat="1" ht="56.25" x14ac:dyDescent="0.2">
      <c r="A122" s="10" t="s">
        <v>1998</v>
      </c>
      <c r="B122" s="10" t="s">
        <v>4096</v>
      </c>
      <c r="C122" s="1079" t="s">
        <v>5746</v>
      </c>
      <c r="D122" s="1080"/>
      <c r="E122" s="12"/>
      <c r="F122" s="380" t="s">
        <v>4179</v>
      </c>
      <c r="G122" s="12" t="s">
        <v>2135</v>
      </c>
      <c r="H122" s="336" t="s">
        <v>4350</v>
      </c>
      <c r="I122" s="336">
        <v>1991</v>
      </c>
      <c r="J122" s="65"/>
      <c r="K122" s="8" t="s">
        <v>9123</v>
      </c>
      <c r="L122" s="8" t="s">
        <v>14047</v>
      </c>
    </row>
    <row r="123" spans="1:12" s="5" customFormat="1" ht="56.25" x14ac:dyDescent="0.2">
      <c r="A123" s="10" t="s">
        <v>1999</v>
      </c>
      <c r="B123" s="10" t="s">
        <v>4097</v>
      </c>
      <c r="C123" s="1079" t="s">
        <v>5746</v>
      </c>
      <c r="D123" s="1080"/>
      <c r="E123" s="12"/>
      <c r="F123" s="380" t="s">
        <v>4298</v>
      </c>
      <c r="G123" s="12" t="s">
        <v>2135</v>
      </c>
      <c r="H123" s="336" t="s">
        <v>7294</v>
      </c>
      <c r="I123" s="336">
        <v>1978</v>
      </c>
      <c r="J123" s="65"/>
      <c r="K123" s="8" t="s">
        <v>9123</v>
      </c>
      <c r="L123" s="8" t="s">
        <v>14047</v>
      </c>
    </row>
    <row r="124" spans="1:12" s="5" customFormat="1" ht="56.25" x14ac:dyDescent="0.2">
      <c r="A124" s="10" t="s">
        <v>2000</v>
      </c>
      <c r="B124" s="10" t="s">
        <v>4099</v>
      </c>
      <c r="C124" s="1079" t="s">
        <v>5746</v>
      </c>
      <c r="D124" s="1080"/>
      <c r="E124" s="12"/>
      <c r="F124" s="12" t="s">
        <v>4155</v>
      </c>
      <c r="G124" s="12" t="s">
        <v>187</v>
      </c>
      <c r="H124" s="336" t="s">
        <v>3389</v>
      </c>
      <c r="I124" s="336">
        <v>1991</v>
      </c>
      <c r="J124" s="65"/>
      <c r="K124" s="8" t="s">
        <v>9123</v>
      </c>
      <c r="L124" s="8" t="s">
        <v>14047</v>
      </c>
    </row>
    <row r="125" spans="1:12" ht="58.5" customHeight="1" x14ac:dyDescent="0.2">
      <c r="A125" s="10" t="s">
        <v>2324</v>
      </c>
      <c r="B125" s="11" t="s">
        <v>3451</v>
      </c>
      <c r="C125" s="1079" t="s">
        <v>5746</v>
      </c>
      <c r="D125" s="1080"/>
      <c r="E125" s="12"/>
      <c r="F125" s="12" t="s">
        <v>4151</v>
      </c>
      <c r="G125" s="8" t="s">
        <v>2309</v>
      </c>
      <c r="H125" s="316" t="s">
        <v>4353</v>
      </c>
      <c r="I125" s="316">
        <v>1965</v>
      </c>
      <c r="J125" s="22"/>
      <c r="K125" s="8" t="s">
        <v>11180</v>
      </c>
      <c r="L125" s="8" t="s">
        <v>12530</v>
      </c>
    </row>
    <row r="126" spans="1:12" s="60" customFormat="1" ht="39" customHeight="1" x14ac:dyDescent="0.2">
      <c r="A126" s="10" t="s">
        <v>2325</v>
      </c>
      <c r="B126" s="10" t="s">
        <v>3908</v>
      </c>
      <c r="C126" s="1079" t="s">
        <v>5746</v>
      </c>
      <c r="D126" s="1080"/>
      <c r="E126" s="12"/>
      <c r="F126" s="12" t="s">
        <v>5542</v>
      </c>
      <c r="G126" s="12" t="s">
        <v>187</v>
      </c>
      <c r="H126" s="26" t="s">
        <v>6636</v>
      </c>
      <c r="I126" s="336">
        <v>1975</v>
      </c>
      <c r="J126" s="65"/>
      <c r="K126" s="8" t="s">
        <v>9123</v>
      </c>
      <c r="L126" s="8" t="s">
        <v>14047</v>
      </c>
    </row>
    <row r="127" spans="1:12" ht="39.75" customHeight="1" x14ac:dyDescent="0.2">
      <c r="A127" s="10" t="s">
        <v>2001</v>
      </c>
      <c r="B127" s="11" t="s">
        <v>3312</v>
      </c>
      <c r="C127" s="1079" t="s">
        <v>11228</v>
      </c>
      <c r="D127" s="1080"/>
      <c r="E127" s="12"/>
      <c r="F127" s="12" t="s">
        <v>4358</v>
      </c>
      <c r="G127" s="8" t="s">
        <v>2133</v>
      </c>
      <c r="H127" s="316">
        <v>90.3</v>
      </c>
      <c r="I127" s="316"/>
      <c r="J127" s="22"/>
      <c r="K127" s="8" t="s">
        <v>11180</v>
      </c>
      <c r="L127" s="8" t="s">
        <v>12530</v>
      </c>
    </row>
    <row r="128" spans="1:12" ht="36" customHeight="1" x14ac:dyDescent="0.2">
      <c r="A128" s="10" t="s">
        <v>2002</v>
      </c>
      <c r="B128" s="11" t="s">
        <v>3777</v>
      </c>
      <c r="C128" s="1079" t="s">
        <v>11229</v>
      </c>
      <c r="D128" s="1080"/>
      <c r="E128" s="12"/>
      <c r="F128" s="8" t="s">
        <v>4362</v>
      </c>
      <c r="G128" s="8" t="s">
        <v>2133</v>
      </c>
      <c r="H128" s="342">
        <v>216</v>
      </c>
      <c r="I128" s="316"/>
      <c r="J128" s="22"/>
      <c r="K128" s="8" t="s">
        <v>11180</v>
      </c>
      <c r="L128" s="8" t="s">
        <v>12530</v>
      </c>
    </row>
    <row r="129" spans="1:12" ht="36" customHeight="1" x14ac:dyDescent="0.2">
      <c r="A129" s="10" t="s">
        <v>2003</v>
      </c>
      <c r="B129" s="10" t="s">
        <v>535</v>
      </c>
      <c r="C129" s="1113" t="s">
        <v>6017</v>
      </c>
      <c r="D129" s="1113"/>
      <c r="E129" s="12"/>
      <c r="F129" s="12"/>
      <c r="G129" s="12" t="s">
        <v>2134</v>
      </c>
      <c r="H129" s="336" t="s">
        <v>3388</v>
      </c>
      <c r="I129" s="336" t="s">
        <v>534</v>
      </c>
      <c r="J129" s="65"/>
      <c r="K129" s="276" t="s">
        <v>9123</v>
      </c>
      <c r="L129" s="646" t="s">
        <v>12536</v>
      </c>
    </row>
    <row r="130" spans="1:12" ht="57" customHeight="1" x14ac:dyDescent="0.2">
      <c r="A130" s="1087" t="s">
        <v>5892</v>
      </c>
      <c r="B130" s="1087" t="s">
        <v>5893</v>
      </c>
      <c r="C130" s="1115" t="s">
        <v>8882</v>
      </c>
      <c r="D130" s="1116"/>
      <c r="E130" s="12" t="s">
        <v>6566</v>
      </c>
      <c r="F130" s="8" t="s">
        <v>6978</v>
      </c>
      <c r="G130" s="12" t="s">
        <v>187</v>
      </c>
      <c r="H130" s="344" t="s">
        <v>6823</v>
      </c>
      <c r="I130" s="336" t="s">
        <v>4433</v>
      </c>
      <c r="J130" s="65"/>
      <c r="K130" s="1100" t="s">
        <v>9123</v>
      </c>
      <c r="L130" s="961" t="s">
        <v>9124</v>
      </c>
    </row>
    <row r="131" spans="1:12" s="5" customFormat="1" ht="21.75" customHeight="1" x14ac:dyDescent="0.2">
      <c r="A131" s="1088"/>
      <c r="B131" s="1088"/>
      <c r="C131" s="1117"/>
      <c r="D131" s="1118"/>
      <c r="E131" s="1119" t="s">
        <v>6679</v>
      </c>
      <c r="F131" s="1120"/>
      <c r="G131" s="1120"/>
      <c r="H131" s="1121"/>
      <c r="I131" s="336" t="s">
        <v>5783</v>
      </c>
      <c r="J131" s="65"/>
      <c r="K131" s="1101"/>
      <c r="L131" s="962"/>
    </row>
    <row r="132" spans="1:12" s="60" customFormat="1" ht="42" customHeight="1" x14ac:dyDescent="0.2">
      <c r="A132" s="10" t="s">
        <v>2004</v>
      </c>
      <c r="B132" s="10" t="s">
        <v>3604</v>
      </c>
      <c r="C132" s="1079" t="s">
        <v>11291</v>
      </c>
      <c r="D132" s="1080"/>
      <c r="E132" s="12"/>
      <c r="F132" s="12" t="s">
        <v>3784</v>
      </c>
      <c r="G132" s="12" t="s">
        <v>2136</v>
      </c>
      <c r="H132" s="312" t="s">
        <v>3386</v>
      </c>
      <c r="I132" s="336">
        <v>1997</v>
      </c>
      <c r="J132" s="65"/>
      <c r="K132" s="276" t="s">
        <v>9123</v>
      </c>
      <c r="L132" s="646" t="s">
        <v>12531</v>
      </c>
    </row>
    <row r="133" spans="1:12" ht="42" customHeight="1" x14ac:dyDescent="0.2">
      <c r="A133" s="1087" t="s">
        <v>2005</v>
      </c>
      <c r="B133" s="1087" t="s">
        <v>3602</v>
      </c>
      <c r="C133" s="1115" t="s">
        <v>11292</v>
      </c>
      <c r="D133" s="1116"/>
      <c r="E133" s="12"/>
      <c r="F133" s="8" t="s">
        <v>11178</v>
      </c>
      <c r="G133" s="8" t="s">
        <v>2135</v>
      </c>
      <c r="H133" s="316" t="s">
        <v>3387</v>
      </c>
      <c r="I133" s="316"/>
      <c r="J133" s="22"/>
      <c r="K133" s="961" t="s">
        <v>11180</v>
      </c>
      <c r="L133" s="975" t="s">
        <v>12530</v>
      </c>
    </row>
    <row r="134" spans="1:12" s="5" customFormat="1" ht="20.25" customHeight="1" x14ac:dyDescent="0.2">
      <c r="A134" s="1089"/>
      <c r="B134" s="1089"/>
      <c r="C134" s="1163"/>
      <c r="D134" s="1164"/>
      <c r="E134" s="1094" t="s">
        <v>3334</v>
      </c>
      <c r="F134" s="1095"/>
      <c r="G134" s="1096"/>
      <c r="H134" s="336"/>
      <c r="I134" s="336">
        <v>2010</v>
      </c>
      <c r="J134" s="65"/>
      <c r="K134" s="962"/>
      <c r="L134" s="988"/>
    </row>
    <row r="135" spans="1:12" s="5" customFormat="1" ht="36" customHeight="1" x14ac:dyDescent="0.2">
      <c r="A135" s="1088"/>
      <c r="B135" s="1088"/>
      <c r="C135" s="1117"/>
      <c r="D135" s="1118"/>
      <c r="E135" s="1094" t="s">
        <v>11118</v>
      </c>
      <c r="F135" s="1095"/>
      <c r="G135" s="1096"/>
      <c r="H135" s="336"/>
      <c r="I135" s="336" t="s">
        <v>9380</v>
      </c>
      <c r="J135" s="65"/>
      <c r="K135" s="12" t="s">
        <v>11180</v>
      </c>
      <c r="L135" s="988"/>
    </row>
    <row r="136" spans="1:12" ht="36" customHeight="1" x14ac:dyDescent="0.2">
      <c r="A136" s="672" t="s">
        <v>3636</v>
      </c>
      <c r="B136" s="665" t="s">
        <v>3499</v>
      </c>
      <c r="C136" s="1111" t="s">
        <v>11293</v>
      </c>
      <c r="D136" s="1112"/>
      <c r="E136" s="12"/>
      <c r="F136" s="42"/>
      <c r="G136" s="48" t="s">
        <v>3585</v>
      </c>
      <c r="H136" s="28" t="s">
        <v>6814</v>
      </c>
      <c r="I136" s="28" t="s">
        <v>490</v>
      </c>
      <c r="J136" s="42"/>
      <c r="K136" s="8" t="s">
        <v>11180</v>
      </c>
      <c r="L136" s="988"/>
    </row>
    <row r="137" spans="1:12" ht="36" customHeight="1" x14ac:dyDescent="0.2">
      <c r="A137" s="672" t="s">
        <v>3637</v>
      </c>
      <c r="B137" s="665" t="s">
        <v>3499</v>
      </c>
      <c r="C137" s="1111" t="s">
        <v>11294</v>
      </c>
      <c r="D137" s="1112"/>
      <c r="E137" s="12"/>
      <c r="F137" s="42"/>
      <c r="G137" s="48" t="s">
        <v>3585</v>
      </c>
      <c r="H137" s="28" t="s">
        <v>6815</v>
      </c>
      <c r="I137" s="28" t="s">
        <v>490</v>
      </c>
      <c r="J137" s="42"/>
      <c r="K137" s="8" t="s">
        <v>11180</v>
      </c>
      <c r="L137" s="988"/>
    </row>
    <row r="138" spans="1:12" ht="36" customHeight="1" x14ac:dyDescent="0.2">
      <c r="A138" s="672" t="s">
        <v>3638</v>
      </c>
      <c r="B138" s="665" t="s">
        <v>186</v>
      </c>
      <c r="C138" s="1111" t="s">
        <v>11295</v>
      </c>
      <c r="D138" s="1112"/>
      <c r="E138" s="12"/>
      <c r="F138" s="42"/>
      <c r="G138" s="48" t="s">
        <v>3585</v>
      </c>
      <c r="H138" s="28" t="s">
        <v>6816</v>
      </c>
      <c r="I138" s="28" t="s">
        <v>490</v>
      </c>
      <c r="J138" s="42"/>
      <c r="K138" s="8" t="s">
        <v>11180</v>
      </c>
      <c r="L138" s="988"/>
    </row>
    <row r="139" spans="1:12" ht="36" customHeight="1" x14ac:dyDescent="0.2">
      <c r="A139" s="672" t="s">
        <v>3647</v>
      </c>
      <c r="B139" s="665" t="s">
        <v>186</v>
      </c>
      <c r="C139" s="1111" t="s">
        <v>11296</v>
      </c>
      <c r="D139" s="1112"/>
      <c r="E139" s="12"/>
      <c r="F139" s="42"/>
      <c r="G139" s="48" t="s">
        <v>3585</v>
      </c>
      <c r="H139" s="28" t="s">
        <v>6817</v>
      </c>
      <c r="I139" s="28" t="s">
        <v>490</v>
      </c>
      <c r="J139" s="42"/>
      <c r="K139" s="8" t="s">
        <v>11180</v>
      </c>
      <c r="L139" s="988"/>
    </row>
    <row r="140" spans="1:12" ht="36" customHeight="1" x14ac:dyDescent="0.2">
      <c r="A140" s="672" t="s">
        <v>3648</v>
      </c>
      <c r="B140" s="665" t="s">
        <v>3499</v>
      </c>
      <c r="C140" s="1111" t="s">
        <v>11297</v>
      </c>
      <c r="D140" s="1112"/>
      <c r="E140" s="12"/>
      <c r="F140" s="42"/>
      <c r="G140" s="48" t="s">
        <v>3585</v>
      </c>
      <c r="H140" s="28" t="s">
        <v>6818</v>
      </c>
      <c r="I140" s="28" t="s">
        <v>490</v>
      </c>
      <c r="J140" s="42"/>
      <c r="K140" s="8" t="s">
        <v>11180</v>
      </c>
      <c r="L140" s="988"/>
    </row>
    <row r="141" spans="1:12" ht="36" customHeight="1" x14ac:dyDescent="0.2">
      <c r="A141" s="672" t="s">
        <v>3649</v>
      </c>
      <c r="B141" s="665" t="s">
        <v>186</v>
      </c>
      <c r="C141" s="1111" t="s">
        <v>11298</v>
      </c>
      <c r="D141" s="1112"/>
      <c r="E141" s="12"/>
      <c r="F141" s="42"/>
      <c r="G141" s="48" t="s">
        <v>3585</v>
      </c>
      <c r="H141" s="28" t="s">
        <v>6819</v>
      </c>
      <c r="I141" s="28" t="s">
        <v>490</v>
      </c>
      <c r="J141" s="42"/>
      <c r="K141" s="8" t="s">
        <v>11180</v>
      </c>
      <c r="L141" s="988"/>
    </row>
    <row r="142" spans="1:12" ht="36" customHeight="1" x14ac:dyDescent="0.2">
      <c r="A142" s="672" t="s">
        <v>3650</v>
      </c>
      <c r="B142" s="665" t="s">
        <v>186</v>
      </c>
      <c r="C142" s="1111" t="s">
        <v>11299</v>
      </c>
      <c r="D142" s="1112"/>
      <c r="E142" s="12"/>
      <c r="F142" s="42"/>
      <c r="G142" s="48" t="s">
        <v>3585</v>
      </c>
      <c r="H142" s="28" t="s">
        <v>6820</v>
      </c>
      <c r="I142" s="28" t="s">
        <v>490</v>
      </c>
      <c r="J142" s="42"/>
      <c r="K142" s="8" t="s">
        <v>11180</v>
      </c>
      <c r="L142" s="988"/>
    </row>
    <row r="143" spans="1:12" ht="36" customHeight="1" x14ac:dyDescent="0.2">
      <c r="A143" s="672" t="s">
        <v>3651</v>
      </c>
      <c r="B143" s="665" t="s">
        <v>186</v>
      </c>
      <c r="C143" s="1111" t="s">
        <v>11300</v>
      </c>
      <c r="D143" s="1112"/>
      <c r="E143" s="65"/>
      <c r="F143" s="42"/>
      <c r="G143" s="48" t="s">
        <v>3585</v>
      </c>
      <c r="H143" s="28" t="s">
        <v>6821</v>
      </c>
      <c r="I143" s="28" t="s">
        <v>490</v>
      </c>
      <c r="J143" s="42"/>
      <c r="K143" s="8" t="s">
        <v>11180</v>
      </c>
      <c r="L143" s="988"/>
    </row>
    <row r="144" spans="1:12" ht="36.75" customHeight="1" x14ac:dyDescent="0.2">
      <c r="A144" s="672" t="s">
        <v>3838</v>
      </c>
      <c r="B144" s="665" t="s">
        <v>8613</v>
      </c>
      <c r="C144" s="1111" t="s">
        <v>11301</v>
      </c>
      <c r="D144" s="1112"/>
      <c r="E144" s="1094" t="s">
        <v>3842</v>
      </c>
      <c r="F144" s="1096"/>
      <c r="G144" s="20"/>
      <c r="H144" s="381"/>
      <c r="I144" s="381" t="s">
        <v>3581</v>
      </c>
      <c r="J144" s="42"/>
      <c r="K144" s="8" t="s">
        <v>11180</v>
      </c>
      <c r="L144" s="988"/>
    </row>
    <row r="145" spans="1:12" ht="36.75" customHeight="1" x14ac:dyDescent="0.2">
      <c r="A145" s="1087" t="s">
        <v>5802</v>
      </c>
      <c r="B145" s="975" t="s">
        <v>5803</v>
      </c>
      <c r="C145" s="1083" t="s">
        <v>11302</v>
      </c>
      <c r="D145" s="1084"/>
      <c r="E145" s="1094" t="s">
        <v>5804</v>
      </c>
      <c r="F145" s="1096"/>
      <c r="G145" s="48" t="s">
        <v>5805</v>
      </c>
      <c r="H145" s="381" t="s">
        <v>6822</v>
      </c>
      <c r="I145" s="28" t="s">
        <v>4433</v>
      </c>
      <c r="J145" s="42"/>
      <c r="K145" s="8" t="s">
        <v>11180</v>
      </c>
      <c r="L145" s="976"/>
    </row>
    <row r="146" spans="1:12" s="5" customFormat="1" ht="23.25" customHeight="1" x14ac:dyDescent="0.2">
      <c r="A146" s="1088"/>
      <c r="B146" s="976"/>
      <c r="C146" s="1085"/>
      <c r="D146" s="1086"/>
      <c r="E146" s="1094" t="s">
        <v>6680</v>
      </c>
      <c r="F146" s="1095"/>
      <c r="G146" s="1095"/>
      <c r="H146" s="1096"/>
      <c r="I146" s="381" t="s">
        <v>5783</v>
      </c>
      <c r="J146" s="50"/>
      <c r="K146" s="12" t="s">
        <v>11180</v>
      </c>
      <c r="L146" s="632"/>
    </row>
    <row r="147" spans="1:12" ht="42" x14ac:dyDescent="0.2">
      <c r="A147" s="1087" t="s">
        <v>2006</v>
      </c>
      <c r="B147" s="1087" t="s">
        <v>3875</v>
      </c>
      <c r="C147" s="1115" t="s">
        <v>11303</v>
      </c>
      <c r="D147" s="1116"/>
      <c r="E147" s="12"/>
      <c r="F147" s="380" t="s">
        <v>4300</v>
      </c>
      <c r="G147" s="8" t="s">
        <v>2136</v>
      </c>
      <c r="H147" s="343" t="s">
        <v>3385</v>
      </c>
      <c r="I147" s="316" t="s">
        <v>504</v>
      </c>
      <c r="J147" s="22"/>
      <c r="K147" s="276" t="s">
        <v>9123</v>
      </c>
      <c r="L147" s="646" t="s">
        <v>12531</v>
      </c>
    </row>
    <row r="148" spans="1:12" ht="24" customHeight="1" x14ac:dyDescent="0.2">
      <c r="A148" s="1089"/>
      <c r="B148" s="1089"/>
      <c r="C148" s="1163"/>
      <c r="D148" s="1164"/>
      <c r="E148" s="1149" t="s">
        <v>3459</v>
      </c>
      <c r="F148" s="1150"/>
      <c r="G148" s="12"/>
      <c r="H148" s="336" t="s">
        <v>3384</v>
      </c>
      <c r="I148" s="336">
        <v>2010</v>
      </c>
      <c r="J148" s="22"/>
      <c r="K148" s="10" t="s">
        <v>3458</v>
      </c>
      <c r="L148" s="171"/>
    </row>
    <row r="149" spans="1:12" ht="22.5" x14ac:dyDescent="0.2">
      <c r="A149" s="1089"/>
      <c r="B149" s="1089"/>
      <c r="C149" s="1163"/>
      <c r="D149" s="1164"/>
      <c r="E149" s="1149" t="s">
        <v>3460</v>
      </c>
      <c r="F149" s="1150"/>
      <c r="G149" s="12"/>
      <c r="H149" s="336" t="s">
        <v>2137</v>
      </c>
      <c r="I149" s="336">
        <v>2010</v>
      </c>
      <c r="J149" s="22"/>
      <c r="K149" s="10" t="s">
        <v>3458</v>
      </c>
      <c r="L149" s="171"/>
    </row>
    <row r="150" spans="1:12" ht="37.5" customHeight="1" x14ac:dyDescent="0.2">
      <c r="A150" s="1088"/>
      <c r="B150" s="1088"/>
      <c r="C150" s="1117"/>
      <c r="D150" s="1118"/>
      <c r="E150" s="1149" t="s">
        <v>4107</v>
      </c>
      <c r="F150" s="1150"/>
      <c r="G150" s="12"/>
      <c r="H150" s="336" t="s">
        <v>4103</v>
      </c>
      <c r="I150" s="336" t="s">
        <v>3581</v>
      </c>
      <c r="J150" s="22"/>
      <c r="K150" s="10" t="s">
        <v>4010</v>
      </c>
      <c r="L150" s="241"/>
    </row>
    <row r="151" spans="1:12" s="60" customFormat="1" ht="46.5" customHeight="1" x14ac:dyDescent="0.2">
      <c r="A151" s="12" t="s">
        <v>2007</v>
      </c>
      <c r="B151" s="12" t="s">
        <v>3455</v>
      </c>
      <c r="C151" s="1039" t="s">
        <v>6056</v>
      </c>
      <c r="D151" s="1039"/>
      <c r="E151" s="12"/>
      <c r="F151" s="12" t="s">
        <v>4166</v>
      </c>
      <c r="G151" s="12" t="s">
        <v>2135</v>
      </c>
      <c r="H151" s="312" t="s">
        <v>3382</v>
      </c>
      <c r="I151" s="336" t="s">
        <v>3627</v>
      </c>
      <c r="J151" s="57"/>
      <c r="K151" s="8" t="s">
        <v>9123</v>
      </c>
      <c r="L151" s="8" t="s">
        <v>14047</v>
      </c>
    </row>
    <row r="152" spans="1:12" ht="41.25" customHeight="1" x14ac:dyDescent="0.2">
      <c r="A152" s="10" t="s">
        <v>2326</v>
      </c>
      <c r="B152" s="11" t="s">
        <v>4438</v>
      </c>
      <c r="C152" s="1079" t="s">
        <v>11304</v>
      </c>
      <c r="D152" s="1080"/>
      <c r="E152" s="12"/>
      <c r="F152" s="380" t="s">
        <v>4180</v>
      </c>
      <c r="G152" s="8" t="s">
        <v>3429</v>
      </c>
      <c r="H152" s="316" t="s">
        <v>3383</v>
      </c>
      <c r="I152" s="316"/>
      <c r="J152" s="22"/>
      <c r="K152" s="8" t="s">
        <v>11166</v>
      </c>
      <c r="L152" s="728" t="s">
        <v>14046</v>
      </c>
    </row>
    <row r="153" spans="1:12" ht="40.5" customHeight="1" x14ac:dyDescent="0.2">
      <c r="A153" s="10" t="s">
        <v>3618</v>
      </c>
      <c r="B153" s="665" t="s">
        <v>3659</v>
      </c>
      <c r="C153" s="1111" t="s">
        <v>11305</v>
      </c>
      <c r="D153" s="1112"/>
      <c r="E153" s="12"/>
      <c r="F153" s="48"/>
      <c r="G153" s="48" t="s">
        <v>3585</v>
      </c>
      <c r="H153" s="28" t="s">
        <v>3494</v>
      </c>
      <c r="I153" s="28" t="s">
        <v>490</v>
      </c>
      <c r="J153" s="22"/>
      <c r="K153" s="8" t="s">
        <v>11166</v>
      </c>
      <c r="L153" s="728" t="s">
        <v>14046</v>
      </c>
    </row>
    <row r="154" spans="1:12" s="5" customFormat="1" ht="33" customHeight="1" x14ac:dyDescent="0.2">
      <c r="A154" s="10" t="s">
        <v>2008</v>
      </c>
      <c r="B154" s="10" t="s">
        <v>3310</v>
      </c>
      <c r="C154" s="1079" t="s">
        <v>11238</v>
      </c>
      <c r="D154" s="1080"/>
      <c r="E154" s="12"/>
      <c r="F154" s="12"/>
      <c r="G154" s="12" t="s">
        <v>187</v>
      </c>
      <c r="H154" s="336" t="s">
        <v>3309</v>
      </c>
      <c r="I154" s="336">
        <v>1993</v>
      </c>
      <c r="J154" s="65"/>
      <c r="K154" s="276" t="s">
        <v>9123</v>
      </c>
      <c r="L154" s="646" t="s">
        <v>12531</v>
      </c>
    </row>
    <row r="155" spans="1:12" ht="35.25" customHeight="1" x14ac:dyDescent="0.2">
      <c r="A155" s="10" t="s">
        <v>2009</v>
      </c>
      <c r="B155" s="11" t="s">
        <v>3311</v>
      </c>
      <c r="C155" s="1079" t="s">
        <v>11239</v>
      </c>
      <c r="D155" s="1080"/>
      <c r="E155" s="12"/>
      <c r="F155" s="380" t="s">
        <v>4380</v>
      </c>
      <c r="G155" s="8" t="s">
        <v>2132</v>
      </c>
      <c r="H155" s="342">
        <v>25</v>
      </c>
      <c r="I155" s="316"/>
      <c r="J155" s="22"/>
      <c r="K155" s="8" t="s">
        <v>11180</v>
      </c>
      <c r="L155" s="8" t="s">
        <v>12530</v>
      </c>
    </row>
    <row r="156" spans="1:12" ht="36.75" customHeight="1" x14ac:dyDescent="0.2">
      <c r="A156" s="10" t="s">
        <v>2010</v>
      </c>
      <c r="B156" s="10" t="s">
        <v>4447</v>
      </c>
      <c r="C156" s="1115" t="s">
        <v>6022</v>
      </c>
      <c r="D156" s="1116"/>
      <c r="E156" s="12"/>
      <c r="F156" s="380" t="s">
        <v>4359</v>
      </c>
      <c r="G156" s="8" t="s">
        <v>2133</v>
      </c>
      <c r="H156" s="342">
        <v>90.3</v>
      </c>
      <c r="I156" s="316" t="s">
        <v>19</v>
      </c>
      <c r="J156" s="22"/>
      <c r="K156" s="8" t="s">
        <v>11180</v>
      </c>
      <c r="L156" s="8" t="s">
        <v>12530</v>
      </c>
    </row>
    <row r="157" spans="1:12" ht="37.5" customHeight="1" x14ac:dyDescent="0.2">
      <c r="A157" s="10" t="s">
        <v>3591</v>
      </c>
      <c r="B157" s="10" t="s">
        <v>4448</v>
      </c>
      <c r="C157" s="1117"/>
      <c r="D157" s="1118"/>
      <c r="E157" s="12"/>
      <c r="F157" s="380" t="s">
        <v>4360</v>
      </c>
      <c r="G157" s="8" t="s">
        <v>2133</v>
      </c>
      <c r="H157" s="316">
        <v>90.3</v>
      </c>
      <c r="I157" s="316">
        <v>1960</v>
      </c>
      <c r="J157" s="22"/>
      <c r="K157" s="8" t="s">
        <v>11180</v>
      </c>
      <c r="L157" s="8" t="s">
        <v>12530</v>
      </c>
    </row>
    <row r="158" spans="1:12" ht="36.75" customHeight="1" x14ac:dyDescent="0.2">
      <c r="A158" s="663" t="s">
        <v>2011</v>
      </c>
      <c r="B158" s="11" t="s">
        <v>11245</v>
      </c>
      <c r="C158" s="1079" t="s">
        <v>8893</v>
      </c>
      <c r="D158" s="1080"/>
      <c r="E158" s="12"/>
      <c r="F158" s="12" t="s">
        <v>4361</v>
      </c>
      <c r="G158" s="8" t="s">
        <v>2132</v>
      </c>
      <c r="H158" s="342">
        <v>30</v>
      </c>
      <c r="I158" s="316"/>
      <c r="J158" s="22"/>
      <c r="K158" s="8" t="s">
        <v>11180</v>
      </c>
      <c r="L158" s="8" t="s">
        <v>12530</v>
      </c>
    </row>
    <row r="159" spans="1:12" s="75" customFormat="1" ht="33.75" x14ac:dyDescent="0.2">
      <c r="A159" s="1087" t="s">
        <v>3633</v>
      </c>
      <c r="B159" s="1087" t="s">
        <v>3604</v>
      </c>
      <c r="C159" s="1115" t="s">
        <v>11306</v>
      </c>
      <c r="D159" s="1116"/>
      <c r="E159" s="12"/>
      <c r="F159" s="12" t="s">
        <v>3786</v>
      </c>
      <c r="G159" s="10" t="s">
        <v>187</v>
      </c>
      <c r="H159" s="336" t="s">
        <v>5083</v>
      </c>
      <c r="I159" s="336" t="s">
        <v>83</v>
      </c>
      <c r="J159" s="65"/>
      <c r="K159" s="276" t="s">
        <v>9123</v>
      </c>
      <c r="L159" s="646" t="s">
        <v>12531</v>
      </c>
    </row>
    <row r="160" spans="1:12" s="75" customFormat="1" ht="22.5" x14ac:dyDescent="0.2">
      <c r="A160" s="1089"/>
      <c r="B160" s="1089"/>
      <c r="C160" s="1163"/>
      <c r="D160" s="1164"/>
      <c r="E160" s="1094" t="s">
        <v>4432</v>
      </c>
      <c r="F160" s="1096"/>
      <c r="G160" s="10"/>
      <c r="H160" s="336"/>
      <c r="I160" s="336" t="s">
        <v>4433</v>
      </c>
      <c r="J160" s="65"/>
      <c r="K160" s="276" t="s">
        <v>9123</v>
      </c>
      <c r="L160" s="646" t="s">
        <v>12531</v>
      </c>
    </row>
    <row r="161" spans="1:12" s="75" customFormat="1" ht="22.5" x14ac:dyDescent="0.2">
      <c r="A161" s="1088"/>
      <c r="B161" s="1088"/>
      <c r="C161" s="1117"/>
      <c r="D161" s="1118"/>
      <c r="E161" s="1094" t="s">
        <v>4432</v>
      </c>
      <c r="F161" s="1096"/>
      <c r="G161" s="10"/>
      <c r="H161" s="336"/>
      <c r="I161" s="336" t="s">
        <v>4433</v>
      </c>
      <c r="J161" s="65"/>
      <c r="K161" s="276" t="s">
        <v>9123</v>
      </c>
      <c r="L161" s="646" t="s">
        <v>12531</v>
      </c>
    </row>
    <row r="162" spans="1:12" s="51" customFormat="1" ht="36.75" customHeight="1" x14ac:dyDescent="0.2">
      <c r="A162" s="1087" t="s">
        <v>3634</v>
      </c>
      <c r="B162" s="1087" t="s">
        <v>343</v>
      </c>
      <c r="C162" s="1115" t="s">
        <v>11240</v>
      </c>
      <c r="D162" s="1116"/>
      <c r="E162" s="1151" t="s">
        <v>3642</v>
      </c>
      <c r="F162" s="1151"/>
      <c r="G162" s="8" t="s">
        <v>187</v>
      </c>
      <c r="H162" s="673" t="s">
        <v>3643</v>
      </c>
      <c r="I162" s="316" t="s">
        <v>490</v>
      </c>
      <c r="J162" s="22"/>
      <c r="K162" s="276" t="s">
        <v>9123</v>
      </c>
      <c r="L162" s="646" t="s">
        <v>12531</v>
      </c>
    </row>
    <row r="163" spans="1:12" s="51" customFormat="1" ht="32.25" customHeight="1" x14ac:dyDescent="0.2">
      <c r="A163" s="1088"/>
      <c r="B163" s="1088"/>
      <c r="C163" s="1117"/>
      <c r="D163" s="1118"/>
      <c r="E163" s="1151" t="s">
        <v>3644</v>
      </c>
      <c r="F163" s="1151"/>
      <c r="G163" s="8" t="s">
        <v>3646</v>
      </c>
      <c r="H163" s="673" t="s">
        <v>3645</v>
      </c>
      <c r="I163" s="316">
        <v>2012</v>
      </c>
      <c r="J163" s="166"/>
      <c r="K163" s="276" t="s">
        <v>9123</v>
      </c>
      <c r="L163" s="646" t="s">
        <v>12531</v>
      </c>
    </row>
    <row r="164" spans="1:12" s="51" customFormat="1" ht="48" customHeight="1" x14ac:dyDescent="0.2">
      <c r="A164" s="10" t="s">
        <v>3639</v>
      </c>
      <c r="B164" s="672" t="s">
        <v>2601</v>
      </c>
      <c r="C164" s="1113" t="s">
        <v>11241</v>
      </c>
      <c r="D164" s="1113"/>
      <c r="E164" s="12"/>
      <c r="F164" s="12"/>
      <c r="G164" s="8" t="s">
        <v>187</v>
      </c>
      <c r="H164" s="673" t="s">
        <v>3640</v>
      </c>
      <c r="I164" s="673" t="s">
        <v>490</v>
      </c>
      <c r="J164" s="65"/>
      <c r="K164" s="276" t="s">
        <v>9123</v>
      </c>
      <c r="L164" s="646" t="s">
        <v>12531</v>
      </c>
    </row>
    <row r="165" spans="1:12" s="51" customFormat="1" ht="48" customHeight="1" x14ac:dyDescent="0.2">
      <c r="A165" s="10" t="s">
        <v>11174</v>
      </c>
      <c r="B165" s="10" t="s">
        <v>11100</v>
      </c>
      <c r="C165" s="1079" t="s">
        <v>11057</v>
      </c>
      <c r="D165" s="1080"/>
      <c r="E165" s="12"/>
      <c r="F165" s="642" t="s">
        <v>11145</v>
      </c>
      <c r="G165" s="12" t="s">
        <v>11059</v>
      </c>
      <c r="H165" s="659"/>
      <c r="I165" s="312" t="s">
        <v>3783</v>
      </c>
      <c r="J165" s="12"/>
      <c r="K165" s="276" t="s">
        <v>11406</v>
      </c>
      <c r="L165" s="646" t="s">
        <v>12531</v>
      </c>
    </row>
    <row r="166" spans="1:12" s="60" customFormat="1" ht="62.25" customHeight="1" x14ac:dyDescent="0.2">
      <c r="A166" s="10" t="s">
        <v>2327</v>
      </c>
      <c r="B166" s="10" t="s">
        <v>3457</v>
      </c>
      <c r="C166" s="1079" t="s">
        <v>11242</v>
      </c>
      <c r="D166" s="1080"/>
      <c r="E166" s="12"/>
      <c r="F166" s="12"/>
      <c r="G166" s="12" t="s">
        <v>2402</v>
      </c>
      <c r="H166" s="336"/>
      <c r="I166" s="336">
        <v>1993</v>
      </c>
      <c r="J166" s="65"/>
      <c r="K166" s="84" t="s">
        <v>4383</v>
      </c>
      <c r="L166" s="84" t="s">
        <v>4383</v>
      </c>
    </row>
    <row r="167" spans="1:12" ht="38.25" customHeight="1" x14ac:dyDescent="0.2">
      <c r="A167" s="663" t="s">
        <v>2012</v>
      </c>
      <c r="B167" s="11" t="s">
        <v>3316</v>
      </c>
      <c r="C167" s="1079" t="s">
        <v>11307</v>
      </c>
      <c r="D167" s="1080"/>
      <c r="E167" s="12"/>
      <c r="F167" s="380" t="s">
        <v>4303</v>
      </c>
      <c r="G167" s="8" t="s">
        <v>2135</v>
      </c>
      <c r="H167" s="316" t="s">
        <v>7159</v>
      </c>
      <c r="I167" s="316">
        <v>1993</v>
      </c>
      <c r="J167" s="22"/>
      <c r="K167" s="8" t="s">
        <v>11166</v>
      </c>
      <c r="L167" s="728" t="s">
        <v>14046</v>
      </c>
    </row>
    <row r="168" spans="1:12" ht="38.25" customHeight="1" x14ac:dyDescent="0.2">
      <c r="A168" s="663" t="s">
        <v>2013</v>
      </c>
      <c r="B168" s="10" t="s">
        <v>3514</v>
      </c>
      <c r="C168" s="1115" t="s">
        <v>11236</v>
      </c>
      <c r="D168" s="1116"/>
      <c r="E168" s="12"/>
      <c r="F168" s="380" t="s">
        <v>4381</v>
      </c>
      <c r="G168" s="8" t="s">
        <v>187</v>
      </c>
      <c r="H168" s="316" t="s">
        <v>3380</v>
      </c>
      <c r="I168" s="316"/>
      <c r="J168" s="164"/>
      <c r="K168" s="8" t="s">
        <v>11180</v>
      </c>
      <c r="L168" s="8" t="s">
        <v>12530</v>
      </c>
    </row>
    <row r="169" spans="1:12" ht="36.75" customHeight="1" x14ac:dyDescent="0.2">
      <c r="A169" s="10" t="s">
        <v>3592</v>
      </c>
      <c r="B169" s="10" t="s">
        <v>2620</v>
      </c>
      <c r="C169" s="1115" t="s">
        <v>11236</v>
      </c>
      <c r="D169" s="1116"/>
      <c r="E169" s="12"/>
      <c r="F169" s="8"/>
      <c r="G169" s="8" t="s">
        <v>2621</v>
      </c>
      <c r="H169" s="316" t="s">
        <v>3381</v>
      </c>
      <c r="I169" s="316">
        <v>2010</v>
      </c>
      <c r="J169" s="22"/>
      <c r="K169" s="8" t="s">
        <v>11180</v>
      </c>
      <c r="L169" s="8" t="s">
        <v>12530</v>
      </c>
    </row>
    <row r="170" spans="1:12" ht="39" customHeight="1" x14ac:dyDescent="0.2">
      <c r="A170" s="661" t="s">
        <v>3656</v>
      </c>
      <c r="B170" s="665" t="s">
        <v>186</v>
      </c>
      <c r="C170" s="1111" t="s">
        <v>11308</v>
      </c>
      <c r="D170" s="1112"/>
      <c r="E170" s="12"/>
      <c r="F170" s="48"/>
      <c r="G170" s="48" t="s">
        <v>3585</v>
      </c>
      <c r="H170" s="28" t="s">
        <v>3480</v>
      </c>
      <c r="I170" s="28" t="s">
        <v>490</v>
      </c>
      <c r="J170" s="42"/>
      <c r="K170" s="8" t="s">
        <v>11180</v>
      </c>
      <c r="L170" s="8" t="s">
        <v>12530</v>
      </c>
    </row>
    <row r="171" spans="1:12" ht="31.5" customHeight="1" x14ac:dyDescent="0.2">
      <c r="A171" s="1087" t="s">
        <v>2014</v>
      </c>
      <c r="B171" s="1087" t="s">
        <v>186</v>
      </c>
      <c r="C171" s="1115" t="s">
        <v>11309</v>
      </c>
      <c r="D171" s="1116"/>
      <c r="E171" s="12"/>
      <c r="F171" s="8"/>
      <c r="G171" s="8" t="s">
        <v>3472</v>
      </c>
      <c r="H171" s="316" t="s">
        <v>3473</v>
      </c>
      <c r="I171" s="316">
        <v>2010</v>
      </c>
      <c r="J171" s="22"/>
      <c r="K171" s="966" t="s">
        <v>11180</v>
      </c>
      <c r="L171" s="966" t="s">
        <v>12530</v>
      </c>
    </row>
    <row r="172" spans="1:12" ht="30.75" customHeight="1" x14ac:dyDescent="0.2">
      <c r="A172" s="1088"/>
      <c r="B172" s="1088"/>
      <c r="C172" s="1117"/>
      <c r="D172" s="1118"/>
      <c r="E172" s="1152" t="s">
        <v>3470</v>
      </c>
      <c r="F172" s="1152"/>
      <c r="G172" s="12" t="s">
        <v>2368</v>
      </c>
      <c r="H172" s="336" t="s">
        <v>3471</v>
      </c>
      <c r="I172" s="336">
        <v>2010</v>
      </c>
      <c r="J172" s="22"/>
      <c r="K172" s="968"/>
      <c r="L172" s="968"/>
    </row>
    <row r="173" spans="1:12" ht="72.75" customHeight="1" x14ac:dyDescent="0.2">
      <c r="A173" s="10" t="s">
        <v>3502</v>
      </c>
      <c r="B173" s="11" t="s">
        <v>4355</v>
      </c>
      <c r="C173" s="1079" t="s">
        <v>11288</v>
      </c>
      <c r="D173" s="1080"/>
      <c r="E173" s="12"/>
      <c r="F173" s="380" t="s">
        <v>5712</v>
      </c>
      <c r="G173" s="8" t="s">
        <v>2135</v>
      </c>
      <c r="H173" s="316" t="s">
        <v>3910</v>
      </c>
      <c r="I173" s="316" t="s">
        <v>504</v>
      </c>
      <c r="J173" s="22"/>
      <c r="K173" s="8" t="s">
        <v>11180</v>
      </c>
      <c r="L173" s="8" t="s">
        <v>12530</v>
      </c>
    </row>
    <row r="174" spans="1:12" ht="67.5" customHeight="1" x14ac:dyDescent="0.2">
      <c r="A174" s="10" t="s">
        <v>2015</v>
      </c>
      <c r="B174" s="10" t="s">
        <v>4074</v>
      </c>
      <c r="C174" s="1079" t="s">
        <v>8882</v>
      </c>
      <c r="D174" s="1080"/>
      <c r="E174" s="12"/>
      <c r="F174" s="642"/>
      <c r="G174" s="12" t="s">
        <v>187</v>
      </c>
      <c r="H174" s="336" t="s">
        <v>3379</v>
      </c>
      <c r="I174" s="336"/>
      <c r="J174" s="65"/>
      <c r="K174" s="34" t="s">
        <v>11180</v>
      </c>
      <c r="L174" s="961" t="s">
        <v>12530</v>
      </c>
    </row>
    <row r="175" spans="1:12" ht="22.5" x14ac:dyDescent="0.2">
      <c r="A175" s="10" t="s">
        <v>3593</v>
      </c>
      <c r="B175" s="10" t="s">
        <v>186</v>
      </c>
      <c r="C175" s="1009" t="s">
        <v>11310</v>
      </c>
      <c r="D175" s="1009"/>
      <c r="E175" s="19"/>
      <c r="F175" s="246"/>
      <c r="G175" s="20" t="s">
        <v>3585</v>
      </c>
      <c r="H175" s="381" t="s">
        <v>3492</v>
      </c>
      <c r="I175" s="381" t="s">
        <v>490</v>
      </c>
      <c r="J175" s="50"/>
      <c r="K175" s="34" t="s">
        <v>11180</v>
      </c>
      <c r="L175" s="963"/>
    </row>
    <row r="176" spans="1:12" ht="22.5" x14ac:dyDescent="0.2">
      <c r="A176" s="10" t="s">
        <v>3594</v>
      </c>
      <c r="B176" s="10" t="s">
        <v>186</v>
      </c>
      <c r="C176" s="1009" t="s">
        <v>11311</v>
      </c>
      <c r="D176" s="1009"/>
      <c r="E176" s="19"/>
      <c r="F176" s="167"/>
      <c r="G176" s="20" t="s">
        <v>3585</v>
      </c>
      <c r="H176" s="381" t="s">
        <v>3482</v>
      </c>
      <c r="I176" s="381" t="s">
        <v>490</v>
      </c>
      <c r="J176" s="50"/>
      <c r="K176" s="34" t="s">
        <v>11180</v>
      </c>
      <c r="L176" s="963"/>
    </row>
    <row r="177" spans="1:12" ht="22.5" x14ac:dyDescent="0.2">
      <c r="A177" s="10" t="s">
        <v>3595</v>
      </c>
      <c r="B177" s="10" t="s">
        <v>186</v>
      </c>
      <c r="C177" s="1009" t="s">
        <v>11312</v>
      </c>
      <c r="D177" s="1009"/>
      <c r="E177" s="19"/>
      <c r="F177" s="167"/>
      <c r="G177" s="20" t="s">
        <v>3585</v>
      </c>
      <c r="H177" s="381" t="s">
        <v>3488</v>
      </c>
      <c r="I177" s="381" t="s">
        <v>490</v>
      </c>
      <c r="J177" s="50"/>
      <c r="K177" s="34" t="s">
        <v>11180</v>
      </c>
      <c r="L177" s="963"/>
    </row>
    <row r="178" spans="1:12" ht="22.5" x14ac:dyDescent="0.2">
      <c r="A178" s="10" t="s">
        <v>3596</v>
      </c>
      <c r="B178" s="10" t="s">
        <v>186</v>
      </c>
      <c r="C178" s="1009" t="s">
        <v>11313</v>
      </c>
      <c r="D178" s="1009"/>
      <c r="E178" s="19"/>
      <c r="F178" s="265"/>
      <c r="G178" s="20" t="s">
        <v>3585</v>
      </c>
      <c r="H178" s="285" t="s">
        <v>3483</v>
      </c>
      <c r="I178" s="381" t="s">
        <v>490</v>
      </c>
      <c r="J178" s="102"/>
      <c r="K178" s="34" t="s">
        <v>11180</v>
      </c>
      <c r="L178" s="962"/>
    </row>
    <row r="179" spans="1:12" s="5" customFormat="1" x14ac:dyDescent="0.2">
      <c r="A179" s="10" t="s">
        <v>3597</v>
      </c>
      <c r="B179" s="10" t="s">
        <v>3469</v>
      </c>
      <c r="C179" s="1079" t="s">
        <v>8882</v>
      </c>
      <c r="D179" s="1080"/>
      <c r="E179" s="12"/>
      <c r="F179" s="12"/>
      <c r="G179" s="12" t="s">
        <v>2132</v>
      </c>
      <c r="H179" s="336"/>
      <c r="I179" s="336">
        <v>2008</v>
      </c>
      <c r="J179" s="65"/>
      <c r="K179" s="10"/>
      <c r="L179" s="10"/>
    </row>
    <row r="180" spans="1:12" ht="84.75" customHeight="1" x14ac:dyDescent="0.2">
      <c r="A180" s="10" t="s">
        <v>2016</v>
      </c>
      <c r="B180" s="11" t="s">
        <v>3325</v>
      </c>
      <c r="C180" s="1079" t="s">
        <v>11314</v>
      </c>
      <c r="D180" s="1080"/>
      <c r="E180" s="12"/>
      <c r="F180" s="380" t="s">
        <v>4366</v>
      </c>
      <c r="G180" s="8"/>
      <c r="H180" s="342">
        <v>855.3</v>
      </c>
      <c r="I180" s="316" t="s">
        <v>3702</v>
      </c>
      <c r="J180" s="22"/>
      <c r="K180" s="646" t="s">
        <v>9102</v>
      </c>
      <c r="L180" s="646" t="s">
        <v>9102</v>
      </c>
    </row>
    <row r="181" spans="1:12" ht="92.25" customHeight="1" x14ac:dyDescent="0.2">
      <c r="A181" s="10" t="s">
        <v>2017</v>
      </c>
      <c r="B181" s="10" t="s">
        <v>3583</v>
      </c>
      <c r="C181" s="1079" t="s">
        <v>11315</v>
      </c>
      <c r="D181" s="1080"/>
      <c r="E181" s="12"/>
      <c r="F181" s="12"/>
      <c r="G181" s="12" t="s">
        <v>2132</v>
      </c>
      <c r="H181" s="336"/>
      <c r="I181" s="336"/>
      <c r="J181" s="65"/>
      <c r="K181" s="10" t="s">
        <v>4000</v>
      </c>
      <c r="L181" s="10" t="s">
        <v>4000</v>
      </c>
    </row>
    <row r="182" spans="1:12" s="5" customFormat="1" ht="38.25" customHeight="1" x14ac:dyDescent="0.2">
      <c r="A182" s="10" t="s">
        <v>2018</v>
      </c>
      <c r="B182" s="10" t="s">
        <v>3582</v>
      </c>
      <c r="C182" s="1079" t="s">
        <v>11268</v>
      </c>
      <c r="D182" s="1080"/>
      <c r="E182" s="12"/>
      <c r="F182" s="12"/>
      <c r="G182" s="12"/>
      <c r="H182" s="336" t="s">
        <v>3378</v>
      </c>
      <c r="I182" s="336">
        <v>2008</v>
      </c>
      <c r="J182" s="65"/>
      <c r="K182" s="10"/>
      <c r="L182" s="10"/>
    </row>
    <row r="183" spans="1:12" s="5" customFormat="1" ht="59.25" customHeight="1" x14ac:dyDescent="0.2">
      <c r="A183" s="10" t="s">
        <v>2019</v>
      </c>
      <c r="B183" s="10" t="s">
        <v>332</v>
      </c>
      <c r="C183" s="1079" t="s">
        <v>11281</v>
      </c>
      <c r="D183" s="1080"/>
      <c r="E183" s="12"/>
      <c r="F183" s="12"/>
      <c r="G183" s="12"/>
      <c r="H183" s="336"/>
      <c r="I183" s="336">
        <v>2008</v>
      </c>
      <c r="J183" s="65"/>
      <c r="K183" s="10" t="s">
        <v>508</v>
      </c>
      <c r="L183" s="10" t="s">
        <v>508</v>
      </c>
    </row>
    <row r="184" spans="1:12" s="60" customFormat="1" ht="83.25" customHeight="1" x14ac:dyDescent="0.2">
      <c r="A184" s="10" t="s">
        <v>2020</v>
      </c>
      <c r="B184" s="10" t="s">
        <v>332</v>
      </c>
      <c r="C184" s="1079" t="s">
        <v>11316</v>
      </c>
      <c r="D184" s="1080"/>
      <c r="E184" s="12"/>
      <c r="F184" s="12"/>
      <c r="G184" s="12"/>
      <c r="H184" s="336"/>
      <c r="I184" s="336">
        <v>2008</v>
      </c>
      <c r="J184" s="65"/>
      <c r="K184" s="10" t="s">
        <v>8383</v>
      </c>
      <c r="L184" s="10" t="s">
        <v>8383</v>
      </c>
    </row>
    <row r="185" spans="1:12" s="60" customFormat="1" ht="60.75" customHeight="1" x14ac:dyDescent="0.2">
      <c r="A185" s="10" t="s">
        <v>2021</v>
      </c>
      <c r="B185" s="10" t="s">
        <v>332</v>
      </c>
      <c r="C185" s="1079" t="s">
        <v>5994</v>
      </c>
      <c r="D185" s="1080"/>
      <c r="E185" s="12"/>
      <c r="F185" s="12"/>
      <c r="G185" s="12"/>
      <c r="H185" s="336"/>
      <c r="I185" s="336">
        <v>2008</v>
      </c>
      <c r="J185" s="65"/>
      <c r="K185" s="10" t="s">
        <v>9365</v>
      </c>
      <c r="L185" s="10" t="s">
        <v>9365</v>
      </c>
    </row>
    <row r="186" spans="1:12" s="60" customFormat="1" ht="60.75" customHeight="1" x14ac:dyDescent="0.2">
      <c r="A186" s="10" t="s">
        <v>2022</v>
      </c>
      <c r="B186" s="10" t="s">
        <v>332</v>
      </c>
      <c r="C186" s="1079" t="s">
        <v>5994</v>
      </c>
      <c r="D186" s="1080"/>
      <c r="E186" s="12"/>
      <c r="F186" s="12"/>
      <c r="G186" s="12"/>
      <c r="H186" s="336"/>
      <c r="I186" s="336">
        <v>2008</v>
      </c>
      <c r="J186" s="65"/>
      <c r="K186" s="10" t="s">
        <v>9365</v>
      </c>
      <c r="L186" s="10" t="s">
        <v>9365</v>
      </c>
    </row>
    <row r="187" spans="1:12" s="60" customFormat="1" ht="59.25" customHeight="1" x14ac:dyDescent="0.2">
      <c r="A187" s="10" t="s">
        <v>2023</v>
      </c>
      <c r="B187" s="10" t="s">
        <v>332</v>
      </c>
      <c r="C187" s="1079" t="s">
        <v>5994</v>
      </c>
      <c r="D187" s="1080"/>
      <c r="E187" s="12"/>
      <c r="F187" s="12"/>
      <c r="G187" s="12"/>
      <c r="H187" s="336"/>
      <c r="I187" s="336">
        <v>2008</v>
      </c>
      <c r="J187" s="65"/>
      <c r="K187" s="10" t="s">
        <v>9365</v>
      </c>
      <c r="L187" s="10" t="s">
        <v>9365</v>
      </c>
    </row>
    <row r="188" spans="1:12" s="60" customFormat="1" ht="61.5" customHeight="1" x14ac:dyDescent="0.2">
      <c r="A188" s="10" t="s">
        <v>2024</v>
      </c>
      <c r="B188" s="10" t="s">
        <v>332</v>
      </c>
      <c r="C188" s="1079" t="s">
        <v>5994</v>
      </c>
      <c r="D188" s="1080"/>
      <c r="E188" s="12"/>
      <c r="F188" s="12"/>
      <c r="G188" s="12"/>
      <c r="H188" s="336"/>
      <c r="I188" s="336">
        <v>2008</v>
      </c>
      <c r="J188" s="65"/>
      <c r="K188" s="10" t="s">
        <v>9365</v>
      </c>
      <c r="L188" s="10" t="s">
        <v>9365</v>
      </c>
    </row>
    <row r="189" spans="1:12" s="60" customFormat="1" ht="63.75" customHeight="1" x14ac:dyDescent="0.2">
      <c r="A189" s="10" t="s">
        <v>2025</v>
      </c>
      <c r="B189" s="10" t="s">
        <v>332</v>
      </c>
      <c r="C189" s="1079" t="s">
        <v>5994</v>
      </c>
      <c r="D189" s="1080"/>
      <c r="E189" s="12"/>
      <c r="F189" s="12"/>
      <c r="G189" s="12"/>
      <c r="H189" s="336"/>
      <c r="I189" s="336">
        <v>2008</v>
      </c>
      <c r="J189" s="65"/>
      <c r="K189" s="10" t="s">
        <v>9365</v>
      </c>
      <c r="L189" s="10" t="s">
        <v>9365</v>
      </c>
    </row>
    <row r="190" spans="1:12" s="60" customFormat="1" ht="60" customHeight="1" x14ac:dyDescent="0.2">
      <c r="A190" s="10" t="s">
        <v>2026</v>
      </c>
      <c r="B190" s="10" t="s">
        <v>332</v>
      </c>
      <c r="C190" s="1079" t="s">
        <v>5994</v>
      </c>
      <c r="D190" s="1080"/>
      <c r="E190" s="12"/>
      <c r="F190" s="12"/>
      <c r="G190" s="12"/>
      <c r="H190" s="336"/>
      <c r="I190" s="336">
        <v>2008</v>
      </c>
      <c r="J190" s="65"/>
      <c r="K190" s="10" t="s">
        <v>9365</v>
      </c>
      <c r="L190" s="10" t="s">
        <v>9365</v>
      </c>
    </row>
    <row r="191" spans="1:12" s="60" customFormat="1" ht="38.25" customHeight="1" x14ac:dyDescent="0.2">
      <c r="A191" s="10" t="s">
        <v>2027</v>
      </c>
      <c r="B191" s="10" t="s">
        <v>2622</v>
      </c>
      <c r="C191" s="1079" t="s">
        <v>11259</v>
      </c>
      <c r="D191" s="1080"/>
      <c r="E191" s="12"/>
      <c r="F191" s="12"/>
      <c r="G191" s="12" t="s">
        <v>2422</v>
      </c>
      <c r="H191" s="336"/>
      <c r="I191" s="336">
        <v>2008</v>
      </c>
      <c r="J191" s="65"/>
      <c r="K191" s="10" t="s">
        <v>488</v>
      </c>
      <c r="L191" s="10" t="s">
        <v>488</v>
      </c>
    </row>
    <row r="192" spans="1:12" s="60" customFormat="1" ht="61.5" customHeight="1" x14ac:dyDescent="0.2">
      <c r="A192" s="10" t="s">
        <v>2028</v>
      </c>
      <c r="B192" s="10" t="s">
        <v>2623</v>
      </c>
      <c r="C192" s="1079" t="s">
        <v>5994</v>
      </c>
      <c r="D192" s="1080"/>
      <c r="E192" s="12"/>
      <c r="F192" s="12" t="s">
        <v>6805</v>
      </c>
      <c r="G192" s="12" t="s">
        <v>2328</v>
      </c>
      <c r="H192" s="336" t="s">
        <v>2329</v>
      </c>
      <c r="I192" s="336" t="s">
        <v>4368</v>
      </c>
      <c r="J192" s="65"/>
      <c r="K192" s="10" t="s">
        <v>9104</v>
      </c>
      <c r="L192" s="10" t="s">
        <v>9104</v>
      </c>
    </row>
    <row r="193" spans="1:12" s="5" customFormat="1" ht="26.25" customHeight="1" x14ac:dyDescent="0.2">
      <c r="A193" s="10" t="s">
        <v>2029</v>
      </c>
      <c r="B193" s="10" t="s">
        <v>333</v>
      </c>
      <c r="C193" s="1079" t="s">
        <v>5746</v>
      </c>
      <c r="D193" s="1080"/>
      <c r="E193" s="12"/>
      <c r="F193" s="12"/>
      <c r="G193" s="12"/>
      <c r="H193" s="345">
        <v>8400</v>
      </c>
      <c r="I193" s="336">
        <v>2009</v>
      </c>
      <c r="J193" s="65"/>
      <c r="K193" s="10"/>
      <c r="L193" s="10"/>
    </row>
    <row r="194" spans="1:12" s="5" customFormat="1" ht="36" customHeight="1" x14ac:dyDescent="0.2">
      <c r="A194" s="10" t="s">
        <v>2330</v>
      </c>
      <c r="B194" s="10" t="s">
        <v>334</v>
      </c>
      <c r="C194" s="1079" t="s">
        <v>11317</v>
      </c>
      <c r="D194" s="1080"/>
      <c r="E194" s="12"/>
      <c r="F194" s="12"/>
      <c r="G194" s="12"/>
      <c r="H194" s="336"/>
      <c r="I194" s="336">
        <v>2009</v>
      </c>
      <c r="J194" s="65"/>
      <c r="K194" s="10"/>
      <c r="L194" s="10"/>
    </row>
    <row r="195" spans="1:12" s="5" customFormat="1" ht="22.5" x14ac:dyDescent="0.2">
      <c r="A195" s="10" t="s">
        <v>2030</v>
      </c>
      <c r="B195" s="10" t="s">
        <v>2624</v>
      </c>
      <c r="C195" s="1079" t="s">
        <v>11318</v>
      </c>
      <c r="D195" s="1080"/>
      <c r="E195" s="12"/>
      <c r="F195" s="12"/>
      <c r="G195" s="12" t="s">
        <v>3521</v>
      </c>
      <c r="H195" s="336" t="s">
        <v>3377</v>
      </c>
      <c r="I195" s="336">
        <v>2010</v>
      </c>
      <c r="J195" s="65"/>
      <c r="K195" s="10" t="s">
        <v>3840</v>
      </c>
      <c r="L195" s="10"/>
    </row>
    <row r="196" spans="1:12" s="60" customFormat="1" ht="59.25" customHeight="1" x14ac:dyDescent="0.2">
      <c r="A196" s="10" t="s">
        <v>2031</v>
      </c>
      <c r="B196" s="10" t="s">
        <v>6156</v>
      </c>
      <c r="C196" s="1079" t="s">
        <v>5994</v>
      </c>
      <c r="D196" s="1080"/>
      <c r="E196" s="12"/>
      <c r="F196" s="642" t="s">
        <v>6221</v>
      </c>
      <c r="G196" s="12" t="s">
        <v>2625</v>
      </c>
      <c r="H196" s="336" t="s">
        <v>2626</v>
      </c>
      <c r="I196" s="336">
        <v>2011</v>
      </c>
      <c r="J196" s="65"/>
      <c r="K196" s="210" t="s">
        <v>508</v>
      </c>
      <c r="L196" s="210" t="s">
        <v>508</v>
      </c>
    </row>
    <row r="197" spans="1:12" ht="55.5" customHeight="1" x14ac:dyDescent="0.2">
      <c r="A197" s="10" t="s">
        <v>2032</v>
      </c>
      <c r="B197" s="11" t="s">
        <v>338</v>
      </c>
      <c r="C197" s="1079" t="s">
        <v>11319</v>
      </c>
      <c r="D197" s="1080"/>
      <c r="E197" s="981" t="s">
        <v>5049</v>
      </c>
      <c r="F197" s="642" t="s">
        <v>4659</v>
      </c>
      <c r="G197" s="8" t="s">
        <v>2308</v>
      </c>
      <c r="H197" s="316" t="s">
        <v>3519</v>
      </c>
      <c r="I197" s="316" t="s">
        <v>70</v>
      </c>
      <c r="J197" s="22"/>
      <c r="K197" s="646" t="s">
        <v>3528</v>
      </c>
      <c r="L197" s="646" t="s">
        <v>3528</v>
      </c>
    </row>
    <row r="198" spans="1:12" ht="43.5" customHeight="1" x14ac:dyDescent="0.2">
      <c r="A198" s="10" t="s">
        <v>2033</v>
      </c>
      <c r="B198" s="11" t="s">
        <v>339</v>
      </c>
      <c r="C198" s="1079" t="s">
        <v>11319</v>
      </c>
      <c r="D198" s="1080"/>
      <c r="E198" s="982"/>
      <c r="F198" s="642" t="s">
        <v>4659</v>
      </c>
      <c r="G198" s="8" t="s">
        <v>2308</v>
      </c>
      <c r="H198" s="316" t="s">
        <v>3520</v>
      </c>
      <c r="I198" s="316" t="s">
        <v>70</v>
      </c>
      <c r="J198" s="22"/>
      <c r="K198" s="646" t="s">
        <v>3528</v>
      </c>
      <c r="L198" s="646" t="s">
        <v>3528</v>
      </c>
    </row>
    <row r="199" spans="1:12" ht="36" customHeight="1" x14ac:dyDescent="0.2">
      <c r="A199" s="10" t="s">
        <v>2034</v>
      </c>
      <c r="B199" s="11" t="s">
        <v>340</v>
      </c>
      <c r="C199" s="1079" t="s">
        <v>11319</v>
      </c>
      <c r="D199" s="1080"/>
      <c r="E199" s="982"/>
      <c r="F199" s="642" t="s">
        <v>4659</v>
      </c>
      <c r="G199" s="8" t="s">
        <v>2308</v>
      </c>
      <c r="H199" s="346">
        <v>72.400000000000006</v>
      </c>
      <c r="I199" s="316" t="s">
        <v>70</v>
      </c>
      <c r="J199" s="22"/>
      <c r="K199" s="646" t="s">
        <v>3528</v>
      </c>
      <c r="L199" s="646" t="s">
        <v>3528</v>
      </c>
    </row>
    <row r="200" spans="1:12" ht="37.5" customHeight="1" x14ac:dyDescent="0.2">
      <c r="A200" s="10" t="s">
        <v>2035</v>
      </c>
      <c r="B200" s="11" t="s">
        <v>341</v>
      </c>
      <c r="C200" s="1079" t="s">
        <v>11319</v>
      </c>
      <c r="D200" s="1080"/>
      <c r="E200" s="982"/>
      <c r="F200" s="642" t="s">
        <v>4659</v>
      </c>
      <c r="G200" s="8" t="s">
        <v>3517</v>
      </c>
      <c r="H200" s="316" t="s">
        <v>3522</v>
      </c>
      <c r="I200" s="316" t="s">
        <v>70</v>
      </c>
      <c r="J200" s="22"/>
      <c r="K200" s="646" t="s">
        <v>3528</v>
      </c>
      <c r="L200" s="646" t="s">
        <v>3528</v>
      </c>
    </row>
    <row r="201" spans="1:12" ht="41.25" customHeight="1" x14ac:dyDescent="0.2">
      <c r="A201" s="10" t="s">
        <v>2036</v>
      </c>
      <c r="B201" s="11" t="s">
        <v>3598</v>
      </c>
      <c r="C201" s="1079" t="s">
        <v>11319</v>
      </c>
      <c r="D201" s="1080"/>
      <c r="E201" s="982"/>
      <c r="F201" s="642" t="s">
        <v>4659</v>
      </c>
      <c r="G201" s="8" t="s">
        <v>3518</v>
      </c>
      <c r="H201" s="316" t="s">
        <v>3523</v>
      </c>
      <c r="I201" s="316" t="s">
        <v>70</v>
      </c>
      <c r="J201" s="22"/>
      <c r="K201" s="646" t="s">
        <v>3528</v>
      </c>
      <c r="L201" s="646" t="s">
        <v>3528</v>
      </c>
    </row>
    <row r="202" spans="1:12" ht="36" customHeight="1" x14ac:dyDescent="0.2">
      <c r="A202" s="10" t="s">
        <v>2037</v>
      </c>
      <c r="B202" s="11" t="s">
        <v>342</v>
      </c>
      <c r="C202" s="1079" t="s">
        <v>11319</v>
      </c>
      <c r="D202" s="1080"/>
      <c r="E202" s="982"/>
      <c r="F202" s="642" t="s">
        <v>4659</v>
      </c>
      <c r="G202" s="8" t="s">
        <v>187</v>
      </c>
      <c r="H202" s="316" t="s">
        <v>3524</v>
      </c>
      <c r="I202" s="316" t="s">
        <v>70</v>
      </c>
      <c r="J202" s="22"/>
      <c r="K202" s="646" t="s">
        <v>3528</v>
      </c>
      <c r="L202" s="646" t="s">
        <v>3528</v>
      </c>
    </row>
    <row r="203" spans="1:12" ht="35.25" customHeight="1" x14ac:dyDescent="0.2">
      <c r="A203" s="10" t="s">
        <v>2038</v>
      </c>
      <c r="B203" s="11" t="s">
        <v>343</v>
      </c>
      <c r="C203" s="1079" t="s">
        <v>11319</v>
      </c>
      <c r="D203" s="1080"/>
      <c r="E203" s="982"/>
      <c r="F203" s="642" t="s">
        <v>4659</v>
      </c>
      <c r="G203" s="8" t="s">
        <v>187</v>
      </c>
      <c r="H203" s="316" t="s">
        <v>3525</v>
      </c>
      <c r="I203" s="316" t="s">
        <v>70</v>
      </c>
      <c r="J203" s="22"/>
      <c r="K203" s="646" t="s">
        <v>3528</v>
      </c>
      <c r="L203" s="646" t="s">
        <v>3528</v>
      </c>
    </row>
    <row r="204" spans="1:12" ht="33.75" customHeight="1" x14ac:dyDescent="0.2">
      <c r="A204" s="10" t="s">
        <v>2039</v>
      </c>
      <c r="B204" s="11" t="s">
        <v>344</v>
      </c>
      <c r="C204" s="1079" t="s">
        <v>11319</v>
      </c>
      <c r="D204" s="1080"/>
      <c r="E204" s="982"/>
      <c r="F204" s="642" t="s">
        <v>4659</v>
      </c>
      <c r="G204" s="1162" t="s">
        <v>3526</v>
      </c>
      <c r="H204" s="1137"/>
      <c r="I204" s="316" t="s">
        <v>70</v>
      </c>
      <c r="J204" s="22"/>
      <c r="K204" s="646" t="s">
        <v>3528</v>
      </c>
      <c r="L204" s="646" t="s">
        <v>3528</v>
      </c>
    </row>
    <row r="205" spans="1:12" ht="41.25" customHeight="1" x14ac:dyDescent="0.2">
      <c r="A205" s="10" t="s">
        <v>2040</v>
      </c>
      <c r="B205" s="11" t="s">
        <v>345</v>
      </c>
      <c r="C205" s="1079" t="s">
        <v>11319</v>
      </c>
      <c r="D205" s="1080"/>
      <c r="E205" s="983"/>
      <c r="F205" s="642" t="s">
        <v>4659</v>
      </c>
      <c r="G205" s="8"/>
      <c r="H205" s="316" t="s">
        <v>3529</v>
      </c>
      <c r="I205" s="316" t="s">
        <v>70</v>
      </c>
      <c r="J205" s="22"/>
      <c r="K205" s="646" t="s">
        <v>3528</v>
      </c>
      <c r="L205" s="646" t="s">
        <v>3528</v>
      </c>
    </row>
    <row r="206" spans="1:12" s="60" customFormat="1" ht="22.5" x14ac:dyDescent="0.2">
      <c r="A206" s="10" t="s">
        <v>2041</v>
      </c>
      <c r="B206" s="10" t="s">
        <v>537</v>
      </c>
      <c r="C206" s="1079" t="s">
        <v>5963</v>
      </c>
      <c r="D206" s="1080"/>
      <c r="E206" s="12"/>
      <c r="F206" s="12" t="s">
        <v>8591</v>
      </c>
      <c r="G206" s="12"/>
      <c r="H206" s="336" t="s">
        <v>4660</v>
      </c>
      <c r="I206" s="336" t="s">
        <v>70</v>
      </c>
      <c r="J206" s="65"/>
      <c r="K206" s="10" t="s">
        <v>3528</v>
      </c>
      <c r="L206" s="10" t="s">
        <v>3528</v>
      </c>
    </row>
    <row r="207" spans="1:12" s="60" customFormat="1" ht="59.25" customHeight="1" x14ac:dyDescent="0.2">
      <c r="A207" s="210" t="s">
        <v>2042</v>
      </c>
      <c r="B207" s="210" t="s">
        <v>7096</v>
      </c>
      <c r="C207" s="1128" t="s">
        <v>11320</v>
      </c>
      <c r="D207" s="1129"/>
      <c r="E207" s="199"/>
      <c r="F207" s="199"/>
      <c r="G207" s="199"/>
      <c r="H207" s="337"/>
      <c r="I207" s="337">
        <v>2009</v>
      </c>
      <c r="J207" s="255"/>
      <c r="K207" s="210" t="s">
        <v>9288</v>
      </c>
      <c r="L207" s="210" t="s">
        <v>9288</v>
      </c>
    </row>
    <row r="208" spans="1:12" s="60" customFormat="1" ht="60" customHeight="1" x14ac:dyDescent="0.2">
      <c r="A208" s="210" t="s">
        <v>2043</v>
      </c>
      <c r="B208" s="210" t="s">
        <v>347</v>
      </c>
      <c r="C208" s="1128" t="s">
        <v>11321</v>
      </c>
      <c r="D208" s="1129"/>
      <c r="E208" s="199"/>
      <c r="F208" s="199"/>
      <c r="G208" s="199"/>
      <c r="H208" s="337"/>
      <c r="I208" s="337">
        <v>2011</v>
      </c>
      <c r="J208" s="255"/>
      <c r="K208" s="210" t="s">
        <v>9288</v>
      </c>
      <c r="L208" s="210" t="s">
        <v>9288</v>
      </c>
    </row>
    <row r="209" spans="1:12" s="60" customFormat="1" ht="57.75" customHeight="1" x14ac:dyDescent="0.2">
      <c r="A209" s="210" t="s">
        <v>2044</v>
      </c>
      <c r="B209" s="210" t="s">
        <v>348</v>
      </c>
      <c r="C209" s="1130" t="s">
        <v>11094</v>
      </c>
      <c r="D209" s="1131"/>
      <c r="E209" s="1153" t="s">
        <v>11095</v>
      </c>
      <c r="F209" s="199"/>
      <c r="G209" s="199"/>
      <c r="H209" s="337"/>
      <c r="I209" s="337" t="s">
        <v>3954</v>
      </c>
      <c r="J209" s="255"/>
      <c r="K209" s="210" t="s">
        <v>5053</v>
      </c>
      <c r="L209" s="210" t="s">
        <v>5053</v>
      </c>
    </row>
    <row r="210" spans="1:12" s="60" customFormat="1" ht="49.5" customHeight="1" x14ac:dyDescent="0.2">
      <c r="A210" s="210" t="s">
        <v>11089</v>
      </c>
      <c r="B210" s="210" t="s">
        <v>11092</v>
      </c>
      <c r="C210" s="1132"/>
      <c r="D210" s="1133"/>
      <c r="E210" s="1154"/>
      <c r="F210" s="12" t="s">
        <v>11096</v>
      </c>
      <c r="G210" s="642" t="s">
        <v>11097</v>
      </c>
      <c r="H210" s="433">
        <v>259.10000000000002</v>
      </c>
      <c r="I210" s="337" t="s">
        <v>3954</v>
      </c>
      <c r="J210" s="255"/>
      <c r="K210" s="210" t="s">
        <v>5053</v>
      </c>
      <c r="L210" s="210" t="s">
        <v>5053</v>
      </c>
    </row>
    <row r="211" spans="1:12" s="60" customFormat="1" ht="48.75" customHeight="1" x14ac:dyDescent="0.2">
      <c r="A211" s="210" t="s">
        <v>11090</v>
      </c>
      <c r="B211" s="210" t="s">
        <v>11151</v>
      </c>
      <c r="C211" s="1132"/>
      <c r="D211" s="1133"/>
      <c r="E211" s="1154"/>
      <c r="F211" s="12" t="s">
        <v>11132</v>
      </c>
      <c r="G211" s="642" t="s">
        <v>11099</v>
      </c>
      <c r="H211" s="433">
        <v>23.8</v>
      </c>
      <c r="I211" s="337" t="s">
        <v>3954</v>
      </c>
      <c r="J211" s="255">
        <v>310689.71999999997</v>
      </c>
      <c r="K211" s="210" t="s">
        <v>5053</v>
      </c>
      <c r="L211" s="210" t="s">
        <v>5053</v>
      </c>
    </row>
    <row r="212" spans="1:12" s="60" customFormat="1" ht="48" customHeight="1" x14ac:dyDescent="0.2">
      <c r="A212" s="210" t="s">
        <v>11091</v>
      </c>
      <c r="B212" s="210" t="s">
        <v>11150</v>
      </c>
      <c r="C212" s="1134"/>
      <c r="D212" s="1135"/>
      <c r="E212" s="1155"/>
      <c r="F212" s="12" t="s">
        <v>11131</v>
      </c>
      <c r="G212" s="199" t="s">
        <v>11098</v>
      </c>
      <c r="H212" s="433">
        <v>74.900000000000006</v>
      </c>
      <c r="I212" s="337" t="s">
        <v>3954</v>
      </c>
      <c r="J212" s="255">
        <v>977758.83</v>
      </c>
      <c r="K212" s="210" t="s">
        <v>5053</v>
      </c>
      <c r="L212" s="210" t="s">
        <v>5053</v>
      </c>
    </row>
    <row r="213" spans="1:12" s="60" customFormat="1" ht="29.25" customHeight="1" x14ac:dyDescent="0.2">
      <c r="A213" s="10" t="s">
        <v>2350</v>
      </c>
      <c r="B213" s="10" t="s">
        <v>511</v>
      </c>
      <c r="C213" s="1079" t="s">
        <v>11322</v>
      </c>
      <c r="D213" s="1080"/>
      <c r="E213" s="12"/>
      <c r="F213" s="12"/>
      <c r="G213" s="12"/>
      <c r="H213" s="336"/>
      <c r="I213" s="336" t="s">
        <v>512</v>
      </c>
      <c r="J213" s="65"/>
      <c r="K213" s="10"/>
      <c r="L213" s="10"/>
    </row>
    <row r="214" spans="1:12" s="5" customFormat="1" ht="22.5" x14ac:dyDescent="0.2">
      <c r="A214" s="10" t="s">
        <v>2045</v>
      </c>
      <c r="B214" s="10" t="s">
        <v>3823</v>
      </c>
      <c r="C214" s="1079" t="s">
        <v>8882</v>
      </c>
      <c r="D214" s="1080"/>
      <c r="E214" s="12"/>
      <c r="F214" s="10"/>
      <c r="G214" s="10"/>
      <c r="H214" s="336"/>
      <c r="I214" s="336">
        <v>1965</v>
      </c>
      <c r="J214" s="205"/>
      <c r="K214" s="41" t="s">
        <v>3898</v>
      </c>
      <c r="L214" s="41" t="s">
        <v>3898</v>
      </c>
    </row>
    <row r="215" spans="1:12" ht="45.75" customHeight="1" x14ac:dyDescent="0.2">
      <c r="A215" s="10" t="s">
        <v>3664</v>
      </c>
      <c r="B215" s="11" t="s">
        <v>4071</v>
      </c>
      <c r="C215" s="1079" t="s">
        <v>11093</v>
      </c>
      <c r="D215" s="1080"/>
      <c r="E215" s="8"/>
      <c r="F215" s="12" t="s">
        <v>4070</v>
      </c>
      <c r="G215" s="11" t="s">
        <v>3663</v>
      </c>
      <c r="H215" s="316" t="s">
        <v>3376</v>
      </c>
      <c r="I215" s="316" t="s">
        <v>517</v>
      </c>
      <c r="J215" s="164"/>
      <c r="K215" s="961" t="s">
        <v>11166</v>
      </c>
      <c r="L215" s="975" t="s">
        <v>14046</v>
      </c>
    </row>
    <row r="216" spans="1:12" ht="22.5" x14ac:dyDescent="0.2">
      <c r="A216" s="10" t="s">
        <v>3665</v>
      </c>
      <c r="B216" s="665" t="s">
        <v>3660</v>
      </c>
      <c r="C216" s="1111" t="s">
        <v>11323</v>
      </c>
      <c r="D216" s="1112"/>
      <c r="E216" s="12"/>
      <c r="F216" s="48"/>
      <c r="G216" s="48" t="s">
        <v>3585</v>
      </c>
      <c r="H216" s="28" t="s">
        <v>3489</v>
      </c>
      <c r="I216" s="28" t="s">
        <v>490</v>
      </c>
      <c r="J216" s="164"/>
      <c r="K216" s="962"/>
      <c r="L216" s="976"/>
    </row>
    <row r="217" spans="1:12" s="5" customFormat="1" ht="22.5" x14ac:dyDescent="0.2">
      <c r="A217" s="10" t="s">
        <v>2351</v>
      </c>
      <c r="B217" s="10" t="s">
        <v>341</v>
      </c>
      <c r="C217" s="1079" t="s">
        <v>8882</v>
      </c>
      <c r="D217" s="1080"/>
      <c r="E217" s="12"/>
      <c r="F217" s="10"/>
      <c r="G217" s="10"/>
      <c r="H217" s="336"/>
      <c r="I217" s="336">
        <v>1975</v>
      </c>
      <c r="J217" s="41"/>
      <c r="K217" s="41" t="s">
        <v>3898</v>
      </c>
      <c r="L217" s="41" t="s">
        <v>3898</v>
      </c>
    </row>
    <row r="218" spans="1:12" s="5" customFormat="1" ht="37.5" customHeight="1" x14ac:dyDescent="0.2">
      <c r="A218" s="10" t="s">
        <v>2046</v>
      </c>
      <c r="B218" s="10" t="s">
        <v>8666</v>
      </c>
      <c r="C218" s="1079" t="s">
        <v>8882</v>
      </c>
      <c r="D218" s="1080"/>
      <c r="E218" s="12"/>
      <c r="F218" s="12" t="s">
        <v>8665</v>
      </c>
      <c r="G218" s="10" t="s">
        <v>187</v>
      </c>
      <c r="H218" s="336" t="s">
        <v>7160</v>
      </c>
      <c r="I218" s="336">
        <v>1971</v>
      </c>
      <c r="J218" s="41"/>
      <c r="K218" s="8" t="s">
        <v>11180</v>
      </c>
      <c r="L218" s="8" t="s">
        <v>12530</v>
      </c>
    </row>
    <row r="219" spans="1:12" s="5" customFormat="1" ht="35.25" customHeight="1" x14ac:dyDescent="0.2">
      <c r="A219" s="10" t="s">
        <v>2047</v>
      </c>
      <c r="B219" s="10" t="s">
        <v>3824</v>
      </c>
      <c r="C219" s="1079" t="s">
        <v>8882</v>
      </c>
      <c r="D219" s="1080"/>
      <c r="E219" s="12"/>
      <c r="F219" s="10"/>
      <c r="G219" s="10"/>
      <c r="H219" s="336"/>
      <c r="I219" s="336">
        <v>1965</v>
      </c>
      <c r="J219" s="41"/>
      <c r="K219" s="8" t="s">
        <v>11180</v>
      </c>
      <c r="L219" s="8" t="s">
        <v>12530</v>
      </c>
    </row>
    <row r="220" spans="1:12" s="5" customFormat="1" ht="35.25" customHeight="1" x14ac:dyDescent="0.2">
      <c r="A220" s="10" t="s">
        <v>2356</v>
      </c>
      <c r="B220" s="10" t="s">
        <v>3825</v>
      </c>
      <c r="C220" s="1079" t="s">
        <v>8882</v>
      </c>
      <c r="D220" s="1080"/>
      <c r="E220" s="12"/>
      <c r="F220" s="10"/>
      <c r="G220" s="10"/>
      <c r="H220" s="336"/>
      <c r="I220" s="336">
        <v>1975</v>
      </c>
      <c r="J220" s="41"/>
      <c r="K220" s="8" t="s">
        <v>11180</v>
      </c>
      <c r="L220" s="8" t="s">
        <v>12530</v>
      </c>
    </row>
    <row r="221" spans="1:12" s="5" customFormat="1" ht="34.5" customHeight="1" x14ac:dyDescent="0.2">
      <c r="A221" s="10" t="s">
        <v>2048</v>
      </c>
      <c r="B221" s="10" t="s">
        <v>3820</v>
      </c>
      <c r="C221" s="1079" t="s">
        <v>8882</v>
      </c>
      <c r="D221" s="1080"/>
      <c r="E221" s="12"/>
      <c r="F221" s="10"/>
      <c r="G221" s="10"/>
      <c r="H221" s="336"/>
      <c r="I221" s="336">
        <v>1967</v>
      </c>
      <c r="J221" s="41"/>
      <c r="K221" s="8" t="s">
        <v>11180</v>
      </c>
      <c r="L221" s="8" t="s">
        <v>12530</v>
      </c>
    </row>
    <row r="222" spans="1:12" s="5" customFormat="1" ht="36.75" customHeight="1" x14ac:dyDescent="0.2">
      <c r="A222" s="10" t="s">
        <v>2049</v>
      </c>
      <c r="B222" s="10" t="s">
        <v>3826</v>
      </c>
      <c r="C222" s="1079" t="s">
        <v>8882</v>
      </c>
      <c r="D222" s="1080"/>
      <c r="E222" s="12"/>
      <c r="F222" s="10"/>
      <c r="G222" s="10"/>
      <c r="H222" s="336"/>
      <c r="I222" s="336">
        <v>1975</v>
      </c>
      <c r="J222" s="41"/>
      <c r="K222" s="8" t="s">
        <v>11180</v>
      </c>
      <c r="L222" s="8" t="s">
        <v>12530</v>
      </c>
    </row>
    <row r="223" spans="1:12" s="5" customFormat="1" ht="36.75" customHeight="1" x14ac:dyDescent="0.2">
      <c r="A223" s="10" t="s">
        <v>2050</v>
      </c>
      <c r="B223" s="10" t="s">
        <v>3822</v>
      </c>
      <c r="C223" s="1079" t="s">
        <v>8882</v>
      </c>
      <c r="D223" s="1080"/>
      <c r="E223" s="12"/>
      <c r="F223" s="10"/>
      <c r="G223" s="10"/>
      <c r="H223" s="336"/>
      <c r="I223" s="336">
        <v>1967</v>
      </c>
      <c r="J223" s="41"/>
      <c r="K223" s="8" t="s">
        <v>11180</v>
      </c>
      <c r="L223" s="8" t="s">
        <v>12530</v>
      </c>
    </row>
    <row r="224" spans="1:12" s="5" customFormat="1" ht="36.75" customHeight="1" x14ac:dyDescent="0.2">
      <c r="A224" s="10" t="s">
        <v>2051</v>
      </c>
      <c r="B224" s="10" t="s">
        <v>3819</v>
      </c>
      <c r="C224" s="1079" t="s">
        <v>8882</v>
      </c>
      <c r="D224" s="1080"/>
      <c r="E224" s="12"/>
      <c r="F224" s="10"/>
      <c r="G224" s="10"/>
      <c r="H224" s="336"/>
      <c r="I224" s="336">
        <v>1974</v>
      </c>
      <c r="J224" s="41"/>
      <c r="K224" s="8" t="s">
        <v>11180</v>
      </c>
      <c r="L224" s="8" t="s">
        <v>12530</v>
      </c>
    </row>
    <row r="225" spans="1:12" s="5" customFormat="1" ht="36.75" customHeight="1" x14ac:dyDescent="0.2">
      <c r="A225" s="10" t="s">
        <v>2052</v>
      </c>
      <c r="B225" s="10" t="s">
        <v>3439</v>
      </c>
      <c r="C225" s="1079" t="s">
        <v>8882</v>
      </c>
      <c r="D225" s="1080"/>
      <c r="E225" s="12"/>
      <c r="F225" s="10"/>
      <c r="G225" s="10"/>
      <c r="H225" s="336"/>
      <c r="I225" s="336">
        <v>1944</v>
      </c>
      <c r="J225" s="41"/>
      <c r="K225" s="8" t="s">
        <v>11180</v>
      </c>
      <c r="L225" s="8" t="s">
        <v>12530</v>
      </c>
    </row>
    <row r="226" spans="1:12" s="5" customFormat="1" ht="36.75" customHeight="1" x14ac:dyDescent="0.2">
      <c r="A226" s="10" t="s">
        <v>2053</v>
      </c>
      <c r="B226" s="10" t="s">
        <v>3821</v>
      </c>
      <c r="C226" s="1079" t="s">
        <v>8882</v>
      </c>
      <c r="D226" s="1080"/>
      <c r="E226" s="12"/>
      <c r="F226" s="10"/>
      <c r="G226" s="10"/>
      <c r="H226" s="336"/>
      <c r="I226" s="336">
        <v>1971</v>
      </c>
      <c r="J226" s="41"/>
      <c r="K226" s="8" t="s">
        <v>11180</v>
      </c>
      <c r="L226" s="8" t="s">
        <v>12530</v>
      </c>
    </row>
    <row r="227" spans="1:12" s="5" customFormat="1" ht="36.75" customHeight="1" x14ac:dyDescent="0.2">
      <c r="A227" s="10" t="s">
        <v>2054</v>
      </c>
      <c r="B227" s="10" t="s">
        <v>3818</v>
      </c>
      <c r="C227" s="1079" t="s">
        <v>8882</v>
      </c>
      <c r="D227" s="1080"/>
      <c r="E227" s="12"/>
      <c r="F227" s="10"/>
      <c r="G227" s="10"/>
      <c r="H227" s="336"/>
      <c r="I227" s="336">
        <v>1974</v>
      </c>
      <c r="J227" s="41"/>
      <c r="K227" s="8" t="s">
        <v>11180</v>
      </c>
      <c r="L227" s="8" t="s">
        <v>12530</v>
      </c>
    </row>
    <row r="228" spans="1:12" ht="38.25" customHeight="1" x14ac:dyDescent="0.2">
      <c r="A228" s="10" t="s">
        <v>2055</v>
      </c>
      <c r="B228" s="11" t="s">
        <v>2627</v>
      </c>
      <c r="C228" s="1167" t="s">
        <v>11324</v>
      </c>
      <c r="D228" s="1168" t="s">
        <v>2120</v>
      </c>
      <c r="E228" s="8"/>
      <c r="F228" s="12" t="s">
        <v>4367</v>
      </c>
      <c r="G228" s="11" t="s">
        <v>2130</v>
      </c>
      <c r="H228" s="342">
        <v>145.19999999999999</v>
      </c>
      <c r="I228" s="316" t="s">
        <v>3627</v>
      </c>
      <c r="J228" s="164"/>
      <c r="K228" s="8" t="s">
        <v>11180</v>
      </c>
      <c r="L228" s="8" t="s">
        <v>12530</v>
      </c>
    </row>
    <row r="229" spans="1:12" s="5" customFormat="1" ht="33" customHeight="1" x14ac:dyDescent="0.2">
      <c r="A229" s="10" t="s">
        <v>2332</v>
      </c>
      <c r="B229" s="10" t="s">
        <v>396</v>
      </c>
      <c r="C229" s="1079" t="s">
        <v>8882</v>
      </c>
      <c r="D229" s="1080"/>
      <c r="E229" s="12"/>
      <c r="F229" s="19"/>
      <c r="G229" s="19"/>
      <c r="H229" s="26"/>
      <c r="I229" s="26">
        <v>1985</v>
      </c>
      <c r="J229" s="56"/>
      <c r="K229" s="8" t="s">
        <v>11180</v>
      </c>
      <c r="L229" s="8" t="s">
        <v>12530</v>
      </c>
    </row>
    <row r="230" spans="1:12" s="14" customFormat="1" x14ac:dyDescent="0.2">
      <c r="A230" s="19" t="s">
        <v>2056</v>
      </c>
      <c r="B230" s="49" t="s">
        <v>2628</v>
      </c>
      <c r="C230" s="1077" t="s">
        <v>8858</v>
      </c>
      <c r="D230" s="1078"/>
      <c r="E230" s="18"/>
      <c r="F230" s="49" t="s">
        <v>9006</v>
      </c>
      <c r="G230" s="49"/>
      <c r="H230" s="320" t="s">
        <v>2320</v>
      </c>
      <c r="I230" s="320">
        <v>1986</v>
      </c>
      <c r="J230" s="42"/>
      <c r="K230" s="41"/>
      <c r="L230" s="19"/>
    </row>
    <row r="231" spans="1:12" s="14" customFormat="1" ht="26.25" customHeight="1" x14ac:dyDescent="0.2">
      <c r="A231" s="19" t="s">
        <v>2057</v>
      </c>
      <c r="B231" s="49" t="s">
        <v>2629</v>
      </c>
      <c r="C231" s="1077" t="s">
        <v>8859</v>
      </c>
      <c r="D231" s="1078"/>
      <c r="E231" s="18"/>
      <c r="F231" s="49"/>
      <c r="G231" s="49"/>
      <c r="H231" s="320"/>
      <c r="I231" s="320">
        <v>1996</v>
      </c>
      <c r="J231" s="42"/>
      <c r="K231" s="19" t="s">
        <v>3436</v>
      </c>
      <c r="L231" s="19" t="s">
        <v>3435</v>
      </c>
    </row>
    <row r="232" spans="1:12" s="14" customFormat="1" ht="39" customHeight="1" x14ac:dyDescent="0.2">
      <c r="A232" s="19" t="s">
        <v>2058</v>
      </c>
      <c r="B232" s="49" t="s">
        <v>2630</v>
      </c>
      <c r="C232" s="1077" t="s">
        <v>8859</v>
      </c>
      <c r="D232" s="1078"/>
      <c r="E232" s="18"/>
      <c r="F232" s="49"/>
      <c r="G232" s="49" t="s">
        <v>2331</v>
      </c>
      <c r="H232" s="320" t="s">
        <v>11490</v>
      </c>
      <c r="I232" s="320">
        <v>1993</v>
      </c>
      <c r="J232" s="42"/>
      <c r="K232" s="19" t="s">
        <v>3436</v>
      </c>
      <c r="L232" s="19" t="s">
        <v>3435</v>
      </c>
    </row>
    <row r="233" spans="1:12" s="14" customFormat="1" ht="35.25" customHeight="1" x14ac:dyDescent="0.2">
      <c r="A233" s="19" t="s">
        <v>2059</v>
      </c>
      <c r="B233" s="19" t="s">
        <v>3317</v>
      </c>
      <c r="C233" s="1077" t="s">
        <v>11201</v>
      </c>
      <c r="D233" s="1078"/>
      <c r="E233" s="18"/>
      <c r="F233" s="49" t="s">
        <v>4416</v>
      </c>
      <c r="G233" s="49"/>
      <c r="H233" s="320" t="s">
        <v>11491</v>
      </c>
      <c r="I233" s="320">
        <v>1996</v>
      </c>
      <c r="J233" s="42"/>
      <c r="K233" s="8" t="s">
        <v>11166</v>
      </c>
      <c r="L233" s="728" t="s">
        <v>14046</v>
      </c>
    </row>
    <row r="234" spans="1:12" s="14" customFormat="1" ht="36.75" customHeight="1" x14ac:dyDescent="0.2">
      <c r="A234" s="19" t="s">
        <v>2060</v>
      </c>
      <c r="B234" s="19" t="s">
        <v>4437</v>
      </c>
      <c r="C234" s="1077" t="s">
        <v>8860</v>
      </c>
      <c r="D234" s="1078"/>
      <c r="E234" s="18"/>
      <c r="F234" s="49" t="s">
        <v>4417</v>
      </c>
      <c r="G234" s="49" t="s">
        <v>2135</v>
      </c>
      <c r="H234" s="320" t="s">
        <v>11492</v>
      </c>
      <c r="I234" s="320">
        <v>1996</v>
      </c>
      <c r="J234" s="42"/>
      <c r="K234" s="8" t="s">
        <v>11166</v>
      </c>
      <c r="L234" s="728" t="s">
        <v>14046</v>
      </c>
    </row>
    <row r="235" spans="1:12" s="74" customFormat="1" ht="26.25" customHeight="1" x14ac:dyDescent="0.2">
      <c r="A235" s="19" t="s">
        <v>3695</v>
      </c>
      <c r="B235" s="19" t="s">
        <v>2607</v>
      </c>
      <c r="C235" s="1077" t="s">
        <v>8861</v>
      </c>
      <c r="D235" s="1078"/>
      <c r="E235" s="97"/>
      <c r="F235" s="19"/>
      <c r="G235" s="19"/>
      <c r="H235" s="26"/>
      <c r="I235" s="338" t="s">
        <v>534</v>
      </c>
      <c r="J235" s="50"/>
      <c r="K235" s="19" t="s">
        <v>5423</v>
      </c>
      <c r="L235" s="19" t="s">
        <v>5423</v>
      </c>
    </row>
    <row r="236" spans="1:12" s="74" customFormat="1" ht="34.5" customHeight="1" x14ac:dyDescent="0.2">
      <c r="A236" s="19" t="s">
        <v>3696</v>
      </c>
      <c r="B236" s="19" t="s">
        <v>5271</v>
      </c>
      <c r="C236" s="1077" t="s">
        <v>8861</v>
      </c>
      <c r="D236" s="1078"/>
      <c r="E236" s="100"/>
      <c r="F236" s="101"/>
      <c r="G236" s="101"/>
      <c r="H236" s="338"/>
      <c r="I236" s="338" t="s">
        <v>534</v>
      </c>
      <c r="J236" s="102"/>
      <c r="K236" s="276" t="s">
        <v>9123</v>
      </c>
      <c r="L236" s="8" t="s">
        <v>12533</v>
      </c>
    </row>
    <row r="237" spans="1:12" s="74" customFormat="1" ht="24.75" customHeight="1" x14ac:dyDescent="0.2">
      <c r="A237" s="19" t="s">
        <v>5269</v>
      </c>
      <c r="B237" s="19" t="s">
        <v>186</v>
      </c>
      <c r="C237" s="1077" t="s">
        <v>8861</v>
      </c>
      <c r="D237" s="1078"/>
      <c r="E237" s="100"/>
      <c r="F237" s="101"/>
      <c r="G237" s="101"/>
      <c r="H237" s="338"/>
      <c r="I237" s="338" t="s">
        <v>534</v>
      </c>
      <c r="J237" s="102"/>
      <c r="K237" s="276"/>
      <c r="L237" s="19"/>
    </row>
    <row r="238" spans="1:12" s="74" customFormat="1" ht="23.25" customHeight="1" x14ac:dyDescent="0.2">
      <c r="A238" s="19" t="s">
        <v>5270</v>
      </c>
      <c r="B238" s="19" t="s">
        <v>5089</v>
      </c>
      <c r="C238" s="1077" t="s">
        <v>8861</v>
      </c>
      <c r="D238" s="1078"/>
      <c r="E238" s="100"/>
      <c r="F238" s="101"/>
      <c r="G238" s="101"/>
      <c r="H238" s="338"/>
      <c r="I238" s="338" t="s">
        <v>534</v>
      </c>
      <c r="J238" s="102"/>
      <c r="K238" s="276"/>
      <c r="L238" s="19"/>
    </row>
    <row r="239" spans="1:12" s="21" customFormat="1" ht="39" customHeight="1" x14ac:dyDescent="0.2">
      <c r="A239" s="19" t="s">
        <v>5272</v>
      </c>
      <c r="B239" s="666" t="s">
        <v>3660</v>
      </c>
      <c r="C239" s="1090" t="s">
        <v>8862</v>
      </c>
      <c r="D239" s="1091"/>
      <c r="E239" s="222"/>
      <c r="F239" s="168"/>
      <c r="G239" s="99" t="s">
        <v>3585</v>
      </c>
      <c r="H239" s="285" t="s">
        <v>3484</v>
      </c>
      <c r="I239" s="285" t="s">
        <v>490</v>
      </c>
      <c r="J239" s="102"/>
      <c r="K239" s="8" t="s">
        <v>11166</v>
      </c>
      <c r="L239" s="728" t="s">
        <v>14046</v>
      </c>
    </row>
    <row r="240" spans="1:12" s="21" customFormat="1" ht="21.75" customHeight="1" x14ac:dyDescent="0.2">
      <c r="A240" s="19" t="s">
        <v>5267</v>
      </c>
      <c r="B240" s="19" t="s">
        <v>2607</v>
      </c>
      <c r="C240" s="1077" t="s">
        <v>8863</v>
      </c>
      <c r="D240" s="1078"/>
      <c r="E240" s="97"/>
      <c r="F240" s="19"/>
      <c r="G240" s="19"/>
      <c r="H240" s="26"/>
      <c r="I240" s="338" t="s">
        <v>534</v>
      </c>
      <c r="J240" s="50"/>
      <c r="L240" s="156" t="s">
        <v>3895</v>
      </c>
    </row>
    <row r="241" spans="1:12" s="21" customFormat="1" ht="33.75" customHeight="1" x14ac:dyDescent="0.2">
      <c r="A241" s="19" t="s">
        <v>5268</v>
      </c>
      <c r="B241" s="19" t="s">
        <v>5271</v>
      </c>
      <c r="C241" s="1077" t="s">
        <v>8863</v>
      </c>
      <c r="D241" s="1078"/>
      <c r="E241" s="97"/>
      <c r="F241" s="19"/>
      <c r="G241" s="19"/>
      <c r="H241" s="26"/>
      <c r="I241" s="338" t="s">
        <v>534</v>
      </c>
      <c r="J241" s="50"/>
      <c r="K241" s="276" t="s">
        <v>9123</v>
      </c>
      <c r="L241" s="8" t="s">
        <v>12533</v>
      </c>
    </row>
    <row r="242" spans="1:12" s="21" customFormat="1" ht="25.5" customHeight="1" x14ac:dyDescent="0.2">
      <c r="A242" s="19" t="s">
        <v>5273</v>
      </c>
      <c r="B242" s="19" t="s">
        <v>186</v>
      </c>
      <c r="C242" s="1077" t="s">
        <v>8863</v>
      </c>
      <c r="D242" s="1078"/>
      <c r="E242" s="97"/>
      <c r="F242" s="19"/>
      <c r="G242" s="19"/>
      <c r="H242" s="26"/>
      <c r="I242" s="338" t="s">
        <v>534</v>
      </c>
      <c r="J242" s="50"/>
      <c r="K242" s="276"/>
      <c r="L242" s="19"/>
    </row>
    <row r="243" spans="1:12" s="21" customFormat="1" ht="24" customHeight="1" x14ac:dyDescent="0.2">
      <c r="A243" s="19" t="s">
        <v>5274</v>
      </c>
      <c r="B243" s="19" t="s">
        <v>5089</v>
      </c>
      <c r="C243" s="1077" t="s">
        <v>8863</v>
      </c>
      <c r="D243" s="1078"/>
      <c r="E243" s="97"/>
      <c r="F243" s="19"/>
      <c r="G243" s="19"/>
      <c r="H243" s="26"/>
      <c r="I243" s="338" t="s">
        <v>534</v>
      </c>
      <c r="J243" s="50"/>
      <c r="K243" s="276"/>
      <c r="L243" s="19"/>
    </row>
    <row r="244" spans="1:12" s="21" customFormat="1" ht="42" customHeight="1" x14ac:dyDescent="0.2">
      <c r="A244" s="19" t="s">
        <v>2061</v>
      </c>
      <c r="B244" s="19" t="s">
        <v>3778</v>
      </c>
      <c r="C244" s="1077" t="s">
        <v>11191</v>
      </c>
      <c r="D244" s="1078"/>
      <c r="E244" s="97"/>
      <c r="F244" s="19" t="s">
        <v>4094</v>
      </c>
      <c r="G244" s="19" t="s">
        <v>2304</v>
      </c>
      <c r="H244" s="26" t="s">
        <v>3428</v>
      </c>
      <c r="I244" s="26">
        <v>1997</v>
      </c>
      <c r="J244" s="50"/>
      <c r="K244" s="8" t="s">
        <v>11166</v>
      </c>
      <c r="L244" s="728" t="s">
        <v>14046</v>
      </c>
    </row>
    <row r="245" spans="1:12" s="21" customFormat="1" ht="42" customHeight="1" x14ac:dyDescent="0.2">
      <c r="A245" s="19" t="s">
        <v>13443</v>
      </c>
      <c r="B245" s="101" t="s">
        <v>13444</v>
      </c>
      <c r="C245" s="1077" t="s">
        <v>11191</v>
      </c>
      <c r="D245" s="1078"/>
      <c r="E245" s="97"/>
      <c r="F245" s="19" t="s">
        <v>13445</v>
      </c>
      <c r="G245" s="19" t="s">
        <v>13446</v>
      </c>
      <c r="H245" s="19" t="s">
        <v>13447</v>
      </c>
      <c r="I245" s="26" t="s">
        <v>3300</v>
      </c>
      <c r="J245" s="56"/>
      <c r="K245" s="8" t="s">
        <v>13448</v>
      </c>
      <c r="L245" s="728" t="s">
        <v>14046</v>
      </c>
    </row>
    <row r="246" spans="1:12" s="21" customFormat="1" ht="38.25" customHeight="1" x14ac:dyDescent="0.2">
      <c r="A246" s="961" t="s">
        <v>2062</v>
      </c>
      <c r="B246" s="961" t="s">
        <v>2601</v>
      </c>
      <c r="C246" s="1124" t="s">
        <v>8864</v>
      </c>
      <c r="D246" s="1125"/>
      <c r="E246" s="97"/>
      <c r="F246" s="19" t="s">
        <v>4156</v>
      </c>
      <c r="G246" s="19" t="s">
        <v>2135</v>
      </c>
      <c r="H246" s="26" t="s">
        <v>4157</v>
      </c>
      <c r="I246" s="26" t="s">
        <v>3772</v>
      </c>
      <c r="J246" s="50"/>
      <c r="K246" s="276" t="s">
        <v>9123</v>
      </c>
      <c r="L246" s="8" t="s">
        <v>12533</v>
      </c>
    </row>
    <row r="247" spans="1:12" s="21" customFormat="1" ht="35.25" customHeight="1" x14ac:dyDescent="0.2">
      <c r="A247" s="947"/>
      <c r="B247" s="947"/>
      <c r="C247" s="1126"/>
      <c r="D247" s="1127"/>
      <c r="E247" s="1160" t="s">
        <v>13396</v>
      </c>
      <c r="F247" s="1161"/>
      <c r="G247" s="19" t="s">
        <v>2135</v>
      </c>
      <c r="H247" s="26" t="s">
        <v>3465</v>
      </c>
      <c r="I247" s="26" t="s">
        <v>490</v>
      </c>
      <c r="J247" s="50"/>
      <c r="K247" s="646"/>
      <c r="L247" s="630"/>
    </row>
    <row r="248" spans="1:12" s="21" customFormat="1" ht="21.75" customHeight="1" x14ac:dyDescent="0.2">
      <c r="A248" s="1087" t="s">
        <v>2063</v>
      </c>
      <c r="B248" s="961" t="s">
        <v>3770</v>
      </c>
      <c r="C248" s="1090" t="s">
        <v>8865</v>
      </c>
      <c r="D248" s="1091"/>
      <c r="E248" s="19"/>
      <c r="F248" s="19"/>
      <c r="G248" s="19"/>
      <c r="H248" s="26" t="s">
        <v>3375</v>
      </c>
      <c r="I248" s="26">
        <v>1998</v>
      </c>
      <c r="J248" s="50"/>
      <c r="K248" s="961" t="s">
        <v>11166</v>
      </c>
      <c r="L248" s="961" t="s">
        <v>14046</v>
      </c>
    </row>
    <row r="249" spans="1:12" s="21" customFormat="1" ht="20.25" customHeight="1" x14ac:dyDescent="0.2">
      <c r="A249" s="1089"/>
      <c r="B249" s="963"/>
      <c r="C249" s="1081"/>
      <c r="D249" s="1114"/>
      <c r="E249" s="1077" t="s">
        <v>3321</v>
      </c>
      <c r="F249" s="1078"/>
      <c r="G249" s="19"/>
      <c r="H249" s="26" t="s">
        <v>3375</v>
      </c>
      <c r="I249" s="26" t="s">
        <v>512</v>
      </c>
      <c r="J249" s="50"/>
      <c r="K249" s="962"/>
      <c r="L249" s="962"/>
    </row>
    <row r="250" spans="1:12" s="14" customFormat="1" ht="22.5" x14ac:dyDescent="0.2">
      <c r="A250" s="10" t="s">
        <v>2064</v>
      </c>
      <c r="B250" s="19" t="s">
        <v>2631</v>
      </c>
      <c r="C250" s="1077" t="s">
        <v>8865</v>
      </c>
      <c r="D250" s="1078"/>
      <c r="E250" s="97"/>
      <c r="F250" s="19"/>
      <c r="G250" s="19"/>
      <c r="H250" s="26"/>
      <c r="I250" s="26">
        <v>1997</v>
      </c>
      <c r="J250" s="50"/>
      <c r="K250" s="19" t="s">
        <v>3436</v>
      </c>
      <c r="L250" s="19" t="s">
        <v>3435</v>
      </c>
    </row>
    <row r="251" spans="1:12" s="21" customFormat="1" ht="22.5" x14ac:dyDescent="0.2">
      <c r="A251" s="10" t="s">
        <v>2065</v>
      </c>
      <c r="B251" s="19" t="s">
        <v>2632</v>
      </c>
      <c r="C251" s="1077" t="s">
        <v>8866</v>
      </c>
      <c r="D251" s="1078"/>
      <c r="E251" s="97"/>
      <c r="F251" s="19"/>
      <c r="G251" s="19"/>
      <c r="H251" s="26"/>
      <c r="I251" s="26">
        <v>1962</v>
      </c>
      <c r="J251" s="50"/>
      <c r="K251" s="19" t="s">
        <v>3436</v>
      </c>
      <c r="L251" s="19" t="s">
        <v>3435</v>
      </c>
    </row>
    <row r="252" spans="1:12" s="21" customFormat="1" ht="22.5" customHeight="1" x14ac:dyDescent="0.2">
      <c r="A252" s="10" t="s">
        <v>2066</v>
      </c>
      <c r="B252" s="19" t="s">
        <v>2633</v>
      </c>
      <c r="C252" s="1077" t="s">
        <v>8866</v>
      </c>
      <c r="D252" s="1078"/>
      <c r="E252" s="97"/>
      <c r="F252" s="19"/>
      <c r="G252" s="19"/>
      <c r="H252" s="26"/>
      <c r="I252" s="26">
        <v>1969</v>
      </c>
      <c r="J252" s="50"/>
      <c r="K252" s="19" t="s">
        <v>3436</v>
      </c>
      <c r="L252" s="19" t="s">
        <v>3435</v>
      </c>
    </row>
    <row r="253" spans="1:12" s="21" customFormat="1" ht="22.5" customHeight="1" x14ac:dyDescent="0.2">
      <c r="A253" s="10" t="s">
        <v>2067</v>
      </c>
      <c r="B253" s="19" t="s">
        <v>2634</v>
      </c>
      <c r="C253" s="1077" t="s">
        <v>8866</v>
      </c>
      <c r="D253" s="1078"/>
      <c r="E253" s="97"/>
      <c r="F253" s="19"/>
      <c r="G253" s="19"/>
      <c r="H253" s="26"/>
      <c r="I253" s="26">
        <v>1967</v>
      </c>
      <c r="J253" s="50"/>
      <c r="K253" s="19" t="s">
        <v>3436</v>
      </c>
      <c r="L253" s="19" t="s">
        <v>3435</v>
      </c>
    </row>
    <row r="254" spans="1:12" s="21" customFormat="1" ht="22.5" customHeight="1" x14ac:dyDescent="0.2">
      <c r="A254" s="10" t="s">
        <v>2068</v>
      </c>
      <c r="B254" s="19" t="s">
        <v>2634</v>
      </c>
      <c r="C254" s="1077" t="s">
        <v>8866</v>
      </c>
      <c r="D254" s="1078"/>
      <c r="E254" s="97"/>
      <c r="F254" s="19"/>
      <c r="G254" s="19"/>
      <c r="H254" s="26"/>
      <c r="I254" s="26">
        <v>1964</v>
      </c>
      <c r="J254" s="50"/>
      <c r="K254" s="19" t="s">
        <v>3436</v>
      </c>
      <c r="L254" s="19" t="s">
        <v>3435</v>
      </c>
    </row>
    <row r="255" spans="1:12" s="21" customFormat="1" ht="22.5" customHeight="1" x14ac:dyDescent="0.2">
      <c r="A255" s="10" t="s">
        <v>2069</v>
      </c>
      <c r="B255" s="19" t="s">
        <v>2635</v>
      </c>
      <c r="C255" s="1077" t="s">
        <v>8866</v>
      </c>
      <c r="D255" s="1078"/>
      <c r="E255" s="97"/>
      <c r="F255" s="19"/>
      <c r="G255" s="19"/>
      <c r="H255" s="26"/>
      <c r="I255" s="26">
        <v>1970</v>
      </c>
      <c r="J255" s="50"/>
      <c r="K255" s="19" t="s">
        <v>3436</v>
      </c>
      <c r="L255" s="19" t="s">
        <v>3435</v>
      </c>
    </row>
    <row r="256" spans="1:12" s="21" customFormat="1" ht="22.5" customHeight="1" x14ac:dyDescent="0.2">
      <c r="A256" s="10" t="s">
        <v>2070</v>
      </c>
      <c r="B256" s="19" t="s">
        <v>2635</v>
      </c>
      <c r="C256" s="1077" t="s">
        <v>8866</v>
      </c>
      <c r="D256" s="1078"/>
      <c r="E256" s="97"/>
      <c r="F256" s="19"/>
      <c r="G256" s="19"/>
      <c r="H256" s="26"/>
      <c r="I256" s="26">
        <v>1965</v>
      </c>
      <c r="J256" s="50"/>
      <c r="K256" s="19" t="s">
        <v>3436</v>
      </c>
      <c r="L256" s="19" t="s">
        <v>3435</v>
      </c>
    </row>
    <row r="257" spans="1:12" s="14" customFormat="1" ht="22.5" x14ac:dyDescent="0.2">
      <c r="A257" s="10" t="s">
        <v>2352</v>
      </c>
      <c r="B257" s="19" t="s">
        <v>326</v>
      </c>
      <c r="C257" s="1077" t="s">
        <v>5744</v>
      </c>
      <c r="D257" s="1078"/>
      <c r="E257" s="97"/>
      <c r="F257" s="19"/>
      <c r="G257" s="19"/>
      <c r="H257" s="26"/>
      <c r="I257" s="26">
        <v>1975</v>
      </c>
      <c r="J257" s="50"/>
      <c r="K257" s="19" t="s">
        <v>3436</v>
      </c>
      <c r="L257" s="19" t="s">
        <v>3435</v>
      </c>
    </row>
    <row r="258" spans="1:12" s="21" customFormat="1" ht="22.5" x14ac:dyDescent="0.2">
      <c r="A258" s="10" t="s">
        <v>2071</v>
      </c>
      <c r="B258" s="19" t="s">
        <v>327</v>
      </c>
      <c r="C258" s="1077" t="s">
        <v>5745</v>
      </c>
      <c r="D258" s="1078"/>
      <c r="E258" s="97"/>
      <c r="F258" s="19"/>
      <c r="G258" s="56"/>
      <c r="H258" s="26"/>
      <c r="I258" s="26">
        <v>1996</v>
      </c>
      <c r="J258" s="50"/>
      <c r="K258" s="19" t="s">
        <v>3436</v>
      </c>
      <c r="L258" s="19" t="s">
        <v>3435</v>
      </c>
    </row>
    <row r="259" spans="1:12" s="21" customFormat="1" ht="22.5" x14ac:dyDescent="0.2">
      <c r="A259" s="10" t="s">
        <v>2353</v>
      </c>
      <c r="B259" s="19" t="s">
        <v>328</v>
      </c>
      <c r="C259" s="1077" t="s">
        <v>5745</v>
      </c>
      <c r="D259" s="1078"/>
      <c r="E259" s="97"/>
      <c r="F259" s="19"/>
      <c r="G259" s="56"/>
      <c r="H259" s="26"/>
      <c r="I259" s="26">
        <v>1996</v>
      </c>
      <c r="J259" s="50"/>
      <c r="K259" s="19" t="s">
        <v>3436</v>
      </c>
      <c r="L259" s="19" t="s">
        <v>3435</v>
      </c>
    </row>
    <row r="260" spans="1:12" s="21" customFormat="1" ht="22.5" x14ac:dyDescent="0.2">
      <c r="A260" s="10" t="s">
        <v>2357</v>
      </c>
      <c r="B260" s="19" t="s">
        <v>329</v>
      </c>
      <c r="C260" s="1077" t="s">
        <v>5745</v>
      </c>
      <c r="D260" s="1078"/>
      <c r="E260" s="97"/>
      <c r="F260" s="19"/>
      <c r="G260" s="56"/>
      <c r="H260" s="26"/>
      <c r="I260" s="26">
        <v>1996</v>
      </c>
      <c r="J260" s="50"/>
      <c r="K260" s="19" t="s">
        <v>3436</v>
      </c>
      <c r="L260" s="19" t="s">
        <v>3435</v>
      </c>
    </row>
    <row r="261" spans="1:12" s="14" customFormat="1" ht="37.5" customHeight="1" x14ac:dyDescent="0.2">
      <c r="A261" s="1087" t="s">
        <v>5101</v>
      </c>
      <c r="B261" s="975" t="s">
        <v>3883</v>
      </c>
      <c r="C261" s="1090" t="s">
        <v>5745</v>
      </c>
      <c r="D261" s="1091"/>
      <c r="E261" s="121"/>
      <c r="F261" s="142" t="s">
        <v>4173</v>
      </c>
      <c r="G261" s="240" t="s">
        <v>2135</v>
      </c>
      <c r="H261" s="320" t="s">
        <v>3374</v>
      </c>
      <c r="I261" s="320">
        <v>1968</v>
      </c>
      <c r="J261" s="42"/>
      <c r="K261" s="276" t="s">
        <v>9123</v>
      </c>
      <c r="L261" s="646" t="s">
        <v>12536</v>
      </c>
    </row>
    <row r="262" spans="1:12" s="21" customFormat="1" ht="21.75" customHeight="1" x14ac:dyDescent="0.2">
      <c r="A262" s="1088"/>
      <c r="B262" s="976"/>
      <c r="C262" s="1122"/>
      <c r="D262" s="1123"/>
      <c r="E262" s="1094" t="s">
        <v>6621</v>
      </c>
      <c r="F262" s="1096"/>
      <c r="G262" s="394"/>
      <c r="H262" s="26"/>
      <c r="I262" s="26" t="s">
        <v>5783</v>
      </c>
      <c r="J262" s="50"/>
      <c r="K262" s="276" t="s">
        <v>9123</v>
      </c>
      <c r="L262" s="646" t="s">
        <v>12536</v>
      </c>
    </row>
    <row r="263" spans="1:12" s="14" customFormat="1" ht="22.5" x14ac:dyDescent="0.2">
      <c r="A263" s="1087" t="s">
        <v>2072</v>
      </c>
      <c r="B263" s="975" t="s">
        <v>3878</v>
      </c>
      <c r="C263" s="1090" t="s">
        <v>5745</v>
      </c>
      <c r="D263" s="1091"/>
      <c r="E263" s="18"/>
      <c r="F263" s="380" t="s">
        <v>4170</v>
      </c>
      <c r="G263" s="49" t="s">
        <v>2135</v>
      </c>
      <c r="H263" s="320" t="s">
        <v>2343</v>
      </c>
      <c r="I263" s="320">
        <v>1978</v>
      </c>
      <c r="J263" s="42"/>
      <c r="K263" s="276" t="s">
        <v>9123</v>
      </c>
      <c r="L263" s="646" t="s">
        <v>12536</v>
      </c>
    </row>
    <row r="264" spans="1:12" s="14" customFormat="1" ht="22.5" x14ac:dyDescent="0.2">
      <c r="A264" s="1089"/>
      <c r="B264" s="988"/>
      <c r="C264" s="1081"/>
      <c r="D264" s="1114"/>
      <c r="E264" s="1149" t="s">
        <v>4108</v>
      </c>
      <c r="F264" s="1150"/>
      <c r="G264" s="8" t="s">
        <v>4111</v>
      </c>
      <c r="H264" s="316" t="s">
        <v>4105</v>
      </c>
      <c r="I264" s="316" t="s">
        <v>3581</v>
      </c>
      <c r="J264" s="22"/>
      <c r="K264" s="276" t="s">
        <v>9123</v>
      </c>
      <c r="L264" s="646" t="s">
        <v>12536</v>
      </c>
    </row>
    <row r="265" spans="1:12" s="14" customFormat="1" ht="21" customHeight="1" x14ac:dyDescent="0.2">
      <c r="A265" s="1089"/>
      <c r="B265" s="988"/>
      <c r="C265" s="1081"/>
      <c r="D265" s="1114"/>
      <c r="E265" s="1149" t="s">
        <v>4109</v>
      </c>
      <c r="F265" s="1150"/>
      <c r="G265" s="8" t="s">
        <v>4111</v>
      </c>
      <c r="H265" s="316" t="s">
        <v>4112</v>
      </c>
      <c r="I265" s="316" t="s">
        <v>3581</v>
      </c>
      <c r="J265" s="22"/>
      <c r="K265" s="276" t="s">
        <v>9123</v>
      </c>
      <c r="L265" s="646" t="s">
        <v>12536</v>
      </c>
    </row>
    <row r="266" spans="1:12" s="14" customFormat="1" ht="21" customHeight="1" x14ac:dyDescent="0.2">
      <c r="A266" s="1088"/>
      <c r="B266" s="976"/>
      <c r="C266" s="1122"/>
      <c r="D266" s="1123"/>
      <c r="E266" s="1149" t="s">
        <v>4110</v>
      </c>
      <c r="F266" s="1150"/>
      <c r="G266" s="8" t="s">
        <v>4111</v>
      </c>
      <c r="H266" s="316" t="s">
        <v>4113</v>
      </c>
      <c r="I266" s="316" t="s">
        <v>3581</v>
      </c>
      <c r="J266" s="22"/>
      <c r="K266" s="276" t="s">
        <v>9123</v>
      </c>
      <c r="L266" s="646" t="s">
        <v>12536</v>
      </c>
    </row>
    <row r="267" spans="1:12" s="14" customFormat="1" ht="36" customHeight="1" x14ac:dyDescent="0.2">
      <c r="A267" s="10" t="s">
        <v>2073</v>
      </c>
      <c r="B267" s="49" t="s">
        <v>3879</v>
      </c>
      <c r="C267" s="1090" t="s">
        <v>5745</v>
      </c>
      <c r="D267" s="1091"/>
      <c r="E267" s="18"/>
      <c r="F267" s="380" t="s">
        <v>4169</v>
      </c>
      <c r="G267" s="49" t="s">
        <v>2135</v>
      </c>
      <c r="H267" s="320" t="s">
        <v>3372</v>
      </c>
      <c r="I267" s="320">
        <v>1983</v>
      </c>
      <c r="J267" s="42"/>
      <c r="K267" s="276" t="s">
        <v>9123</v>
      </c>
      <c r="L267" s="646" t="s">
        <v>12536</v>
      </c>
    </row>
    <row r="268" spans="1:12" s="14" customFormat="1" ht="22.5" x14ac:dyDescent="0.2">
      <c r="A268" s="10" t="s">
        <v>5109</v>
      </c>
      <c r="B268" s="49" t="s">
        <v>5102</v>
      </c>
      <c r="C268" s="1081"/>
      <c r="D268" s="1114"/>
      <c r="E268" s="114"/>
      <c r="F268" s="114"/>
      <c r="G268" s="170"/>
      <c r="H268" s="320" t="s">
        <v>4716</v>
      </c>
      <c r="I268" s="320"/>
      <c r="J268" s="42"/>
      <c r="K268" s="276" t="s">
        <v>9123</v>
      </c>
      <c r="L268" s="646" t="s">
        <v>12536</v>
      </c>
    </row>
    <row r="269" spans="1:12" s="14" customFormat="1" ht="22.5" x14ac:dyDescent="0.2">
      <c r="A269" s="10" t="s">
        <v>5110</v>
      </c>
      <c r="B269" s="49" t="s">
        <v>5107</v>
      </c>
      <c r="C269" s="1081"/>
      <c r="D269" s="1114"/>
      <c r="E269" s="114"/>
      <c r="F269" s="114"/>
      <c r="G269" s="170"/>
      <c r="H269" s="320" t="s">
        <v>5104</v>
      </c>
      <c r="I269" s="320"/>
      <c r="J269" s="42"/>
      <c r="K269" s="276" t="s">
        <v>9123</v>
      </c>
      <c r="L269" s="646" t="s">
        <v>12536</v>
      </c>
    </row>
    <row r="270" spans="1:12" s="14" customFormat="1" ht="22.5" x14ac:dyDescent="0.2">
      <c r="A270" s="10" t="s">
        <v>5111</v>
      </c>
      <c r="B270" s="49" t="s">
        <v>5103</v>
      </c>
      <c r="C270" s="1081"/>
      <c r="D270" s="1114"/>
      <c r="E270" s="114"/>
      <c r="F270" s="114"/>
      <c r="G270" s="170"/>
      <c r="H270" s="320" t="s">
        <v>5105</v>
      </c>
      <c r="I270" s="320"/>
      <c r="J270" s="42"/>
      <c r="K270" s="276" t="s">
        <v>9123</v>
      </c>
      <c r="L270" s="646" t="s">
        <v>12536</v>
      </c>
    </row>
    <row r="271" spans="1:12" s="14" customFormat="1" ht="22.5" x14ac:dyDescent="0.2">
      <c r="A271" s="10" t="s">
        <v>5112</v>
      </c>
      <c r="B271" s="49" t="s">
        <v>5108</v>
      </c>
      <c r="C271" s="1122"/>
      <c r="D271" s="1123"/>
      <c r="E271" s="114"/>
      <c r="F271" s="114"/>
      <c r="G271" s="170"/>
      <c r="H271" s="320" t="s">
        <v>5106</v>
      </c>
      <c r="I271" s="320"/>
      <c r="J271" s="42"/>
      <c r="K271" s="276" t="s">
        <v>9123</v>
      </c>
      <c r="L271" s="646" t="s">
        <v>12536</v>
      </c>
    </row>
    <row r="272" spans="1:12" s="21" customFormat="1" ht="23.25" customHeight="1" x14ac:dyDescent="0.2">
      <c r="A272" s="10" t="s">
        <v>2358</v>
      </c>
      <c r="B272" s="19" t="s">
        <v>330</v>
      </c>
      <c r="C272" s="1077" t="s">
        <v>5744</v>
      </c>
      <c r="D272" s="1078"/>
      <c r="E272" s="97"/>
      <c r="F272" s="19"/>
      <c r="G272" s="19"/>
      <c r="H272" s="26"/>
      <c r="I272" s="26">
        <v>1996</v>
      </c>
      <c r="J272" s="50"/>
      <c r="K272" s="19" t="s">
        <v>297</v>
      </c>
      <c r="L272" s="19" t="s">
        <v>297</v>
      </c>
    </row>
    <row r="273" spans="1:12" s="21" customFormat="1" ht="22.5" x14ac:dyDescent="0.2">
      <c r="A273" s="10" t="s">
        <v>2074</v>
      </c>
      <c r="B273" s="19" t="s">
        <v>331</v>
      </c>
      <c r="C273" s="1077" t="s">
        <v>5744</v>
      </c>
      <c r="D273" s="1078"/>
      <c r="E273" s="97"/>
      <c r="F273" s="19"/>
      <c r="G273" s="19"/>
      <c r="H273" s="26"/>
      <c r="I273" s="26">
        <v>1996</v>
      </c>
      <c r="J273" s="50"/>
      <c r="K273" s="19" t="s">
        <v>296</v>
      </c>
      <c r="L273" s="19"/>
    </row>
    <row r="274" spans="1:12" s="14" customFormat="1" ht="48" customHeight="1" x14ac:dyDescent="0.2">
      <c r="A274" s="10" t="s">
        <v>3631</v>
      </c>
      <c r="B274" s="49" t="s">
        <v>2642</v>
      </c>
      <c r="C274" s="1111" t="s">
        <v>8867</v>
      </c>
      <c r="D274" s="1112"/>
      <c r="E274" s="18"/>
      <c r="F274" s="380" t="s">
        <v>4301</v>
      </c>
      <c r="G274" s="49" t="s">
        <v>2638</v>
      </c>
      <c r="H274" s="320" t="s">
        <v>3373</v>
      </c>
      <c r="I274" s="320">
        <v>1996</v>
      </c>
      <c r="J274" s="42"/>
      <c r="K274" s="8" t="s">
        <v>11166</v>
      </c>
      <c r="L274" s="1048" t="s">
        <v>14046</v>
      </c>
    </row>
    <row r="275" spans="1:12" s="14" customFormat="1" ht="36.75" customHeight="1" x14ac:dyDescent="0.2">
      <c r="A275" s="10" t="s">
        <v>3632</v>
      </c>
      <c r="B275" s="665" t="s">
        <v>3659</v>
      </c>
      <c r="C275" s="1111" t="s">
        <v>8868</v>
      </c>
      <c r="D275" s="1112"/>
      <c r="E275" s="12"/>
      <c r="F275" s="42"/>
      <c r="G275" s="48" t="s">
        <v>4080</v>
      </c>
      <c r="H275" s="28" t="s">
        <v>3496</v>
      </c>
      <c r="I275" s="28" t="s">
        <v>490</v>
      </c>
      <c r="J275" s="42"/>
      <c r="K275" s="8" t="s">
        <v>11166</v>
      </c>
      <c r="L275" s="1048"/>
    </row>
    <row r="276" spans="1:12" s="21" customFormat="1" ht="34.5" customHeight="1" x14ac:dyDescent="0.2">
      <c r="A276" s="10" t="s">
        <v>2075</v>
      </c>
      <c r="B276" s="19" t="s">
        <v>3479</v>
      </c>
      <c r="C276" s="1077" t="s">
        <v>5745</v>
      </c>
      <c r="D276" s="1078"/>
      <c r="E276" s="97"/>
      <c r="F276" s="19"/>
      <c r="G276" s="19"/>
      <c r="H276" s="26"/>
      <c r="I276" s="26">
        <v>1977</v>
      </c>
      <c r="J276" s="50"/>
      <c r="K276" s="8" t="s">
        <v>11180</v>
      </c>
      <c r="L276" s="8" t="s">
        <v>12530</v>
      </c>
    </row>
    <row r="277" spans="1:12" s="21" customFormat="1" ht="35.25" customHeight="1" x14ac:dyDescent="0.2">
      <c r="A277" s="1087" t="s">
        <v>2076</v>
      </c>
      <c r="B277" s="961" t="s">
        <v>4074</v>
      </c>
      <c r="C277" s="1090" t="s">
        <v>10865</v>
      </c>
      <c r="D277" s="1106"/>
      <c r="E277" s="97"/>
      <c r="F277" s="19" t="s">
        <v>4075</v>
      </c>
      <c r="G277" s="19" t="s">
        <v>10866</v>
      </c>
      <c r="H277" s="26" t="s">
        <v>3464</v>
      </c>
      <c r="I277" s="26">
        <v>1948</v>
      </c>
      <c r="J277" s="50"/>
      <c r="K277" s="646" t="s">
        <v>11180</v>
      </c>
      <c r="L277" s="975" t="s">
        <v>12530</v>
      </c>
    </row>
    <row r="278" spans="1:12" s="21" customFormat="1" ht="36.75" customHeight="1" x14ac:dyDescent="0.2">
      <c r="A278" s="947"/>
      <c r="B278" s="911"/>
      <c r="C278" s="1109"/>
      <c r="D278" s="1110"/>
      <c r="E278" s="1157" t="s">
        <v>3462</v>
      </c>
      <c r="F278" s="1158"/>
      <c r="G278" s="1159"/>
      <c r="H278" s="347" t="s">
        <v>3463</v>
      </c>
      <c r="I278" s="26">
        <v>2012</v>
      </c>
      <c r="J278" s="50"/>
      <c r="K278" s="646" t="s">
        <v>11180</v>
      </c>
      <c r="L278" s="911"/>
    </row>
    <row r="279" spans="1:12" s="21" customFormat="1" ht="35.25" customHeight="1" x14ac:dyDescent="0.2">
      <c r="A279" s="10" t="s">
        <v>2077</v>
      </c>
      <c r="B279" s="19" t="s">
        <v>2639</v>
      </c>
      <c r="C279" s="1077" t="s">
        <v>11325</v>
      </c>
      <c r="D279" s="1078"/>
      <c r="E279" s="97"/>
      <c r="F279" s="19"/>
      <c r="G279" s="19"/>
      <c r="H279" s="26"/>
      <c r="I279" s="26">
        <v>1948</v>
      </c>
      <c r="J279" s="50"/>
      <c r="K279" s="8" t="s">
        <v>11180</v>
      </c>
      <c r="L279" s="8" t="s">
        <v>12530</v>
      </c>
    </row>
    <row r="280" spans="1:12" s="21" customFormat="1" ht="35.25" customHeight="1" x14ac:dyDescent="0.2">
      <c r="A280" s="10" t="s">
        <v>2078</v>
      </c>
      <c r="B280" s="19" t="s">
        <v>2640</v>
      </c>
      <c r="C280" s="1077" t="s">
        <v>11326</v>
      </c>
      <c r="D280" s="1078"/>
      <c r="E280" s="97"/>
      <c r="F280" s="19"/>
      <c r="G280" s="19"/>
      <c r="H280" s="26"/>
      <c r="I280" s="26">
        <v>1962</v>
      </c>
      <c r="J280" s="50"/>
      <c r="K280" s="8" t="s">
        <v>11180</v>
      </c>
      <c r="L280" s="8" t="s">
        <v>12530</v>
      </c>
    </row>
    <row r="281" spans="1:12" s="21" customFormat="1" ht="35.25" customHeight="1" x14ac:dyDescent="0.2">
      <c r="A281" s="10" t="s">
        <v>2079</v>
      </c>
      <c r="B281" s="19" t="s">
        <v>2641</v>
      </c>
      <c r="C281" s="1077" t="s">
        <v>11326</v>
      </c>
      <c r="D281" s="1078"/>
      <c r="E281" s="97"/>
      <c r="F281" s="19"/>
      <c r="G281" s="19"/>
      <c r="H281" s="26"/>
      <c r="I281" s="26">
        <v>1957</v>
      </c>
      <c r="J281" s="50"/>
      <c r="K281" s="8" t="s">
        <v>11180</v>
      </c>
      <c r="L281" s="8" t="s">
        <v>12530</v>
      </c>
    </row>
    <row r="282" spans="1:12" s="21" customFormat="1" ht="35.25" customHeight="1" x14ac:dyDescent="0.2">
      <c r="A282" s="10" t="s">
        <v>2333</v>
      </c>
      <c r="B282" s="19" t="s">
        <v>11327</v>
      </c>
      <c r="C282" s="1077" t="s">
        <v>11326</v>
      </c>
      <c r="D282" s="1078"/>
      <c r="E282" s="97"/>
      <c r="F282" s="19"/>
      <c r="G282" s="19"/>
      <c r="H282" s="26"/>
      <c r="I282" s="26">
        <v>1948</v>
      </c>
      <c r="J282" s="50"/>
      <c r="K282" s="8" t="s">
        <v>11180</v>
      </c>
      <c r="L282" s="8" t="s">
        <v>12530</v>
      </c>
    </row>
    <row r="283" spans="1:12" s="21" customFormat="1" ht="35.25" customHeight="1" x14ac:dyDescent="0.2">
      <c r="A283" s="10" t="s">
        <v>2354</v>
      </c>
      <c r="B283" s="19" t="s">
        <v>11328</v>
      </c>
      <c r="C283" s="1077" t="s">
        <v>11326</v>
      </c>
      <c r="D283" s="1078"/>
      <c r="E283" s="97"/>
      <c r="F283" s="19"/>
      <c r="G283" s="19"/>
      <c r="H283" s="26"/>
      <c r="I283" s="26">
        <v>1948</v>
      </c>
      <c r="J283" s="50"/>
      <c r="K283" s="8" t="s">
        <v>11180</v>
      </c>
      <c r="L283" s="8" t="s">
        <v>12530</v>
      </c>
    </row>
    <row r="284" spans="1:12" s="21" customFormat="1" ht="35.25" customHeight="1" x14ac:dyDescent="0.2">
      <c r="A284" s="10" t="s">
        <v>2334</v>
      </c>
      <c r="B284" s="19" t="s">
        <v>11329</v>
      </c>
      <c r="C284" s="1077" t="s">
        <v>11326</v>
      </c>
      <c r="D284" s="1078"/>
      <c r="E284" s="97"/>
      <c r="F284" s="19"/>
      <c r="G284" s="19"/>
      <c r="H284" s="26"/>
      <c r="I284" s="26">
        <v>1948</v>
      </c>
      <c r="J284" s="50"/>
      <c r="K284" s="8" t="s">
        <v>11180</v>
      </c>
      <c r="L284" s="8" t="s">
        <v>12530</v>
      </c>
    </row>
    <row r="285" spans="1:12" s="21" customFormat="1" ht="35.25" customHeight="1" x14ac:dyDescent="0.2">
      <c r="A285" s="10" t="s">
        <v>2115</v>
      </c>
      <c r="B285" s="19" t="s">
        <v>11330</v>
      </c>
      <c r="C285" s="1077" t="s">
        <v>11326</v>
      </c>
      <c r="D285" s="1078"/>
      <c r="E285" s="97"/>
      <c r="F285" s="19"/>
      <c r="G285" s="19"/>
      <c r="H285" s="26"/>
      <c r="I285" s="26">
        <v>1948</v>
      </c>
      <c r="J285" s="50"/>
      <c r="K285" s="8" t="s">
        <v>11180</v>
      </c>
      <c r="L285" s="8" t="s">
        <v>12530</v>
      </c>
    </row>
    <row r="286" spans="1:12" s="21" customFormat="1" ht="35.25" customHeight="1" x14ac:dyDescent="0.2">
      <c r="A286" s="10" t="s">
        <v>2359</v>
      </c>
      <c r="B286" s="19" t="s">
        <v>11331</v>
      </c>
      <c r="C286" s="1077" t="s">
        <v>11326</v>
      </c>
      <c r="D286" s="1078"/>
      <c r="E286" s="97"/>
      <c r="F286" s="19"/>
      <c r="G286" s="19"/>
      <c r="H286" s="26"/>
      <c r="I286" s="26">
        <v>1948</v>
      </c>
      <c r="J286" s="50"/>
      <c r="K286" s="8" t="s">
        <v>11180</v>
      </c>
      <c r="L286" s="8" t="s">
        <v>12530</v>
      </c>
    </row>
    <row r="287" spans="1:12" s="21" customFormat="1" ht="35.25" customHeight="1" x14ac:dyDescent="0.2">
      <c r="A287" s="10" t="s">
        <v>2116</v>
      </c>
      <c r="B287" s="19" t="s">
        <v>11332</v>
      </c>
      <c r="C287" s="1077" t="s">
        <v>11326</v>
      </c>
      <c r="D287" s="1078"/>
      <c r="E287" s="97"/>
      <c r="F287" s="19"/>
      <c r="G287" s="19"/>
      <c r="H287" s="26"/>
      <c r="I287" s="26">
        <v>1948</v>
      </c>
      <c r="J287" s="50"/>
      <c r="K287" s="8" t="s">
        <v>11180</v>
      </c>
      <c r="L287" s="8" t="s">
        <v>12530</v>
      </c>
    </row>
    <row r="288" spans="1:12" s="21" customFormat="1" ht="35.25" customHeight="1" x14ac:dyDescent="0.2">
      <c r="A288" s="10" t="s">
        <v>2080</v>
      </c>
      <c r="B288" s="19" t="s">
        <v>11333</v>
      </c>
      <c r="C288" s="1077" t="s">
        <v>11326</v>
      </c>
      <c r="D288" s="1078"/>
      <c r="E288" s="97"/>
      <c r="F288" s="19"/>
      <c r="G288" s="19"/>
      <c r="H288" s="26"/>
      <c r="I288" s="26">
        <v>1948</v>
      </c>
      <c r="J288" s="50"/>
      <c r="K288" s="8" t="s">
        <v>11180</v>
      </c>
      <c r="L288" s="8" t="s">
        <v>12530</v>
      </c>
    </row>
    <row r="289" spans="1:12" s="21" customFormat="1" ht="35.25" customHeight="1" x14ac:dyDescent="0.2">
      <c r="A289" s="10" t="s">
        <v>2117</v>
      </c>
      <c r="B289" s="19" t="s">
        <v>11334</v>
      </c>
      <c r="C289" s="1077" t="s">
        <v>11326</v>
      </c>
      <c r="D289" s="1078"/>
      <c r="E289" s="97"/>
      <c r="F289" s="19"/>
      <c r="G289" s="19"/>
      <c r="H289" s="26"/>
      <c r="I289" s="26">
        <v>1948</v>
      </c>
      <c r="J289" s="50"/>
      <c r="K289" s="8" t="s">
        <v>11180</v>
      </c>
      <c r="L289" s="8" t="s">
        <v>12530</v>
      </c>
    </row>
    <row r="290" spans="1:12" s="21" customFormat="1" ht="35.25" customHeight="1" x14ac:dyDescent="0.2">
      <c r="A290" s="10" t="s">
        <v>2081</v>
      </c>
      <c r="B290" s="19" t="s">
        <v>11335</v>
      </c>
      <c r="C290" s="1077" t="s">
        <v>11326</v>
      </c>
      <c r="D290" s="1078"/>
      <c r="E290" s="97"/>
      <c r="F290" s="19"/>
      <c r="G290" s="19"/>
      <c r="H290" s="26"/>
      <c r="I290" s="26">
        <v>1948</v>
      </c>
      <c r="J290" s="50"/>
      <c r="K290" s="8" t="s">
        <v>11180</v>
      </c>
      <c r="L290" s="8" t="s">
        <v>12530</v>
      </c>
    </row>
    <row r="291" spans="1:12" s="14" customFormat="1" ht="48" customHeight="1" x14ac:dyDescent="0.2">
      <c r="A291" s="19" t="s">
        <v>2082</v>
      </c>
      <c r="B291" s="49" t="s">
        <v>2642</v>
      </c>
      <c r="C291" s="1077" t="s">
        <v>4102</v>
      </c>
      <c r="D291" s="1078"/>
      <c r="E291" s="18"/>
      <c r="F291" s="380" t="s">
        <v>4073</v>
      </c>
      <c r="G291" s="49" t="s">
        <v>2344</v>
      </c>
      <c r="H291" s="320" t="s">
        <v>3371</v>
      </c>
      <c r="I291" s="320">
        <v>1951</v>
      </c>
      <c r="J291" s="42"/>
      <c r="K291" s="8" t="s">
        <v>11166</v>
      </c>
      <c r="L291" s="728" t="s">
        <v>14046</v>
      </c>
    </row>
    <row r="292" spans="1:12" s="21" customFormat="1" ht="41.25" customHeight="1" x14ac:dyDescent="0.2">
      <c r="A292" s="10" t="s">
        <v>2083</v>
      </c>
      <c r="B292" s="19" t="s">
        <v>299</v>
      </c>
      <c r="C292" s="1077" t="s">
        <v>11326</v>
      </c>
      <c r="D292" s="1078"/>
      <c r="E292" s="97"/>
      <c r="F292" s="19"/>
      <c r="G292" s="19"/>
      <c r="H292" s="26"/>
      <c r="I292" s="26">
        <v>1994</v>
      </c>
      <c r="J292" s="50"/>
      <c r="K292" s="8" t="s">
        <v>11180</v>
      </c>
      <c r="L292" s="8" t="s">
        <v>12530</v>
      </c>
    </row>
    <row r="293" spans="1:12" s="14" customFormat="1" ht="37.5" customHeight="1" x14ac:dyDescent="0.2">
      <c r="A293" s="10" t="s">
        <v>3662</v>
      </c>
      <c r="B293" s="49" t="s">
        <v>3771</v>
      </c>
      <c r="C293" s="1077" t="s">
        <v>11199</v>
      </c>
      <c r="D293" s="1078"/>
      <c r="E293" s="18"/>
      <c r="F293" s="380" t="s">
        <v>6887</v>
      </c>
      <c r="G293" s="49" t="s">
        <v>2345</v>
      </c>
      <c r="H293" s="320" t="s">
        <v>3370</v>
      </c>
      <c r="I293" s="320" t="s">
        <v>534</v>
      </c>
      <c r="J293" s="42"/>
      <c r="K293" s="8" t="s">
        <v>11166</v>
      </c>
      <c r="L293" s="728" t="s">
        <v>14046</v>
      </c>
    </row>
    <row r="294" spans="1:12" s="14" customFormat="1" ht="57" customHeight="1" x14ac:dyDescent="0.2">
      <c r="A294" s="1087" t="s">
        <v>2084</v>
      </c>
      <c r="B294" s="961" t="s">
        <v>3876</v>
      </c>
      <c r="C294" s="1145" t="s">
        <v>5745</v>
      </c>
      <c r="D294" s="1146"/>
      <c r="E294" s="18"/>
      <c r="F294" s="380" t="s">
        <v>4168</v>
      </c>
      <c r="G294" s="49" t="s">
        <v>187</v>
      </c>
      <c r="H294" s="320" t="s">
        <v>3877</v>
      </c>
      <c r="I294" s="320">
        <v>1985</v>
      </c>
      <c r="J294" s="42"/>
      <c r="K294" s="276" t="s">
        <v>9123</v>
      </c>
      <c r="L294" s="646" t="s">
        <v>12531</v>
      </c>
    </row>
    <row r="295" spans="1:12" s="14" customFormat="1" ht="33.75" customHeight="1" x14ac:dyDescent="0.2">
      <c r="A295" s="1088"/>
      <c r="B295" s="962"/>
      <c r="C295" s="1147"/>
      <c r="D295" s="1148"/>
      <c r="E295" s="1149" t="s">
        <v>4106</v>
      </c>
      <c r="F295" s="1150"/>
      <c r="G295" s="8"/>
      <c r="H295" s="316" t="s">
        <v>4104</v>
      </c>
      <c r="I295" s="316" t="s">
        <v>3581</v>
      </c>
      <c r="J295" s="22"/>
      <c r="K295" s="276" t="s">
        <v>9123</v>
      </c>
      <c r="L295" s="646" t="s">
        <v>12531</v>
      </c>
    </row>
    <row r="296" spans="1:12" s="14" customFormat="1" ht="22.5" x14ac:dyDescent="0.2">
      <c r="A296" s="10" t="s">
        <v>3503</v>
      </c>
      <c r="B296" s="20" t="s">
        <v>2637</v>
      </c>
      <c r="C296" s="1077" t="s">
        <v>8869</v>
      </c>
      <c r="D296" s="1078"/>
      <c r="E296" s="18"/>
      <c r="F296" s="18"/>
      <c r="G296" s="49"/>
      <c r="H296" s="320" t="s">
        <v>3419</v>
      </c>
      <c r="I296" s="320">
        <v>2010</v>
      </c>
      <c r="J296" s="42"/>
      <c r="K296" s="276" t="s">
        <v>9123</v>
      </c>
      <c r="L296" s="646" t="s">
        <v>12531</v>
      </c>
    </row>
    <row r="297" spans="1:12" s="14" customFormat="1" ht="22.5" x14ac:dyDescent="0.2">
      <c r="A297" s="10" t="s">
        <v>3504</v>
      </c>
      <c r="B297" s="20" t="s">
        <v>2637</v>
      </c>
      <c r="C297" s="1077" t="s">
        <v>8870</v>
      </c>
      <c r="D297" s="1078"/>
      <c r="E297" s="18"/>
      <c r="F297" s="18"/>
      <c r="G297" s="49"/>
      <c r="H297" s="320" t="s">
        <v>3368</v>
      </c>
      <c r="I297" s="320">
        <v>2010</v>
      </c>
      <c r="J297" s="42"/>
      <c r="K297" s="276" t="s">
        <v>9123</v>
      </c>
      <c r="L297" s="646" t="s">
        <v>12531</v>
      </c>
    </row>
    <row r="298" spans="1:12" s="14" customFormat="1" ht="24.75" customHeight="1" x14ac:dyDescent="0.2">
      <c r="A298" s="10" t="s">
        <v>3505</v>
      </c>
      <c r="B298" s="20" t="s">
        <v>2643</v>
      </c>
      <c r="C298" s="1077" t="s">
        <v>8871</v>
      </c>
      <c r="D298" s="1078"/>
      <c r="E298" s="1077" t="s">
        <v>3322</v>
      </c>
      <c r="F298" s="1078"/>
      <c r="G298" s="49"/>
      <c r="H298" s="320" t="s">
        <v>3420</v>
      </c>
      <c r="I298" s="320">
        <v>2011</v>
      </c>
      <c r="J298" s="42"/>
      <c r="K298" s="276" t="s">
        <v>9123</v>
      </c>
      <c r="L298" s="646" t="s">
        <v>12531</v>
      </c>
    </row>
    <row r="299" spans="1:12" s="14" customFormat="1" ht="24.75" customHeight="1" x14ac:dyDescent="0.2">
      <c r="A299" s="10" t="s">
        <v>5121</v>
      </c>
      <c r="B299" s="20" t="s">
        <v>5127</v>
      </c>
      <c r="C299" s="1009" t="s">
        <v>8872</v>
      </c>
      <c r="D299" s="1009"/>
      <c r="E299" s="19"/>
      <c r="F299" s="19"/>
      <c r="G299" s="49"/>
      <c r="H299" s="320" t="s">
        <v>5126</v>
      </c>
      <c r="I299" s="320" t="s">
        <v>3581</v>
      </c>
      <c r="J299" s="42"/>
      <c r="K299" s="276" t="s">
        <v>9123</v>
      </c>
      <c r="L299" s="646" t="s">
        <v>12531</v>
      </c>
    </row>
    <row r="300" spans="1:12" s="14" customFormat="1" ht="24.75" customHeight="1" x14ac:dyDescent="0.2">
      <c r="A300" s="10" t="s">
        <v>5122</v>
      </c>
      <c r="B300" s="20" t="s">
        <v>5114</v>
      </c>
      <c r="C300" s="1090" t="s">
        <v>5745</v>
      </c>
      <c r="D300" s="1091"/>
      <c r="E300" s="19"/>
      <c r="F300" s="19"/>
      <c r="G300" s="49"/>
      <c r="H300" s="320" t="s">
        <v>5115</v>
      </c>
      <c r="I300" s="320"/>
      <c r="J300" s="42"/>
      <c r="K300" s="276" t="s">
        <v>9123</v>
      </c>
      <c r="L300" s="646" t="s">
        <v>12531</v>
      </c>
    </row>
    <row r="301" spans="1:12" s="14" customFormat="1" ht="24.75" customHeight="1" x14ac:dyDescent="0.2">
      <c r="A301" s="10" t="s">
        <v>5123</v>
      </c>
      <c r="B301" s="20" t="s">
        <v>5113</v>
      </c>
      <c r="C301" s="1090" t="s">
        <v>5745</v>
      </c>
      <c r="D301" s="1091"/>
      <c r="E301" s="19"/>
      <c r="F301" s="19"/>
      <c r="G301" s="49"/>
      <c r="H301" s="320" t="s">
        <v>5116</v>
      </c>
      <c r="I301" s="320"/>
      <c r="J301" s="42"/>
      <c r="K301" s="276" t="s">
        <v>9123</v>
      </c>
      <c r="L301" s="646" t="s">
        <v>12531</v>
      </c>
    </row>
    <row r="302" spans="1:12" s="14" customFormat="1" ht="24.75" customHeight="1" x14ac:dyDescent="0.2">
      <c r="A302" s="10" t="s">
        <v>5124</v>
      </c>
      <c r="B302" s="20" t="s">
        <v>5117</v>
      </c>
      <c r="C302" s="1090" t="s">
        <v>5745</v>
      </c>
      <c r="D302" s="1091"/>
      <c r="E302" s="19"/>
      <c r="F302" s="19"/>
      <c r="G302" s="49"/>
      <c r="H302" s="320" t="s">
        <v>5118</v>
      </c>
      <c r="I302" s="320"/>
      <c r="J302" s="42"/>
      <c r="K302" s="276" t="s">
        <v>9123</v>
      </c>
      <c r="L302" s="646" t="s">
        <v>12531</v>
      </c>
    </row>
    <row r="303" spans="1:12" s="14" customFormat="1" ht="24.75" customHeight="1" x14ac:dyDescent="0.2">
      <c r="A303" s="10" t="s">
        <v>5125</v>
      </c>
      <c r="B303" s="20" t="s">
        <v>5119</v>
      </c>
      <c r="C303" s="1090" t="s">
        <v>5745</v>
      </c>
      <c r="D303" s="1091"/>
      <c r="E303" s="19"/>
      <c r="F303" s="19"/>
      <c r="G303" s="49"/>
      <c r="H303" s="320" t="s">
        <v>5120</v>
      </c>
      <c r="I303" s="320"/>
      <c r="J303" s="42"/>
      <c r="K303" s="276" t="s">
        <v>9123</v>
      </c>
      <c r="L303" s="646" t="s">
        <v>12531</v>
      </c>
    </row>
    <row r="304" spans="1:12" s="14" customFormat="1" ht="22.5" x14ac:dyDescent="0.2">
      <c r="A304" s="10" t="s">
        <v>2085</v>
      </c>
      <c r="B304" s="49" t="s">
        <v>3885</v>
      </c>
      <c r="C304" s="1090" t="s">
        <v>5745</v>
      </c>
      <c r="D304" s="1091"/>
      <c r="E304" s="18"/>
      <c r="F304" s="1006" t="s">
        <v>4174</v>
      </c>
      <c r="G304" s="49" t="s">
        <v>2135</v>
      </c>
      <c r="H304" s="320" t="s">
        <v>3421</v>
      </c>
      <c r="I304" s="320">
        <v>1996</v>
      </c>
      <c r="J304" s="42"/>
      <c r="K304" s="276" t="s">
        <v>9123</v>
      </c>
      <c r="L304" s="646" t="s">
        <v>12531</v>
      </c>
    </row>
    <row r="305" spans="1:12" s="14" customFormat="1" ht="24.75" x14ac:dyDescent="0.2">
      <c r="A305" s="10" t="s">
        <v>5128</v>
      </c>
      <c r="B305" s="49" t="s">
        <v>8377</v>
      </c>
      <c r="C305" s="1090" t="s">
        <v>5745</v>
      </c>
      <c r="D305" s="1091"/>
      <c r="E305" s="18"/>
      <c r="F305" s="1007"/>
      <c r="G305" s="49"/>
      <c r="H305" s="320" t="s">
        <v>5130</v>
      </c>
      <c r="I305" s="320"/>
      <c r="J305" s="42"/>
      <c r="K305" s="276" t="s">
        <v>9123</v>
      </c>
      <c r="L305" s="646" t="s">
        <v>12531</v>
      </c>
    </row>
    <row r="306" spans="1:12" s="14" customFormat="1" ht="22.5" x14ac:dyDescent="0.2">
      <c r="A306" s="10" t="s">
        <v>5129</v>
      </c>
      <c r="B306" s="49" t="s">
        <v>8378</v>
      </c>
      <c r="C306" s="1090" t="s">
        <v>5745</v>
      </c>
      <c r="D306" s="1091"/>
      <c r="E306" s="18"/>
      <c r="F306" s="1008"/>
      <c r="G306" s="49"/>
      <c r="H306" s="320" t="s">
        <v>5131</v>
      </c>
      <c r="I306" s="320"/>
      <c r="J306" s="42"/>
      <c r="K306" s="276" t="s">
        <v>9123</v>
      </c>
      <c r="L306" s="646" t="s">
        <v>12531</v>
      </c>
    </row>
    <row r="307" spans="1:12" s="14" customFormat="1" ht="36.75" customHeight="1" x14ac:dyDescent="0.2">
      <c r="A307" s="1087" t="s">
        <v>2086</v>
      </c>
      <c r="B307" s="961" t="s">
        <v>3880</v>
      </c>
      <c r="C307" s="1090" t="s">
        <v>8873</v>
      </c>
      <c r="D307" s="1091"/>
      <c r="E307" s="18"/>
      <c r="F307" s="380" t="s">
        <v>4171</v>
      </c>
      <c r="G307" s="49" t="s">
        <v>2135</v>
      </c>
      <c r="H307" s="320" t="s">
        <v>4264</v>
      </c>
      <c r="I307" s="320">
        <v>1962</v>
      </c>
      <c r="J307" s="42"/>
      <c r="K307" s="276" t="s">
        <v>9123</v>
      </c>
      <c r="L307" s="646" t="s">
        <v>12531</v>
      </c>
    </row>
    <row r="308" spans="1:12" s="14" customFormat="1" ht="21.75" customHeight="1" x14ac:dyDescent="0.2">
      <c r="A308" s="1089"/>
      <c r="B308" s="963"/>
      <c r="C308" s="1081"/>
      <c r="D308" s="1114"/>
      <c r="E308" s="964" t="s">
        <v>3340</v>
      </c>
      <c r="F308" s="965"/>
      <c r="G308" s="49"/>
      <c r="H308" s="320" t="s">
        <v>3369</v>
      </c>
      <c r="I308" s="320">
        <v>2011</v>
      </c>
      <c r="J308" s="42"/>
      <c r="K308" s="276" t="s">
        <v>9123</v>
      </c>
      <c r="L308" s="646" t="s">
        <v>12531</v>
      </c>
    </row>
    <row r="309" spans="1:12" s="14" customFormat="1" ht="32.25" customHeight="1" x14ac:dyDescent="0.2">
      <c r="A309" s="1088"/>
      <c r="B309" s="962"/>
      <c r="C309" s="1122"/>
      <c r="D309" s="1123"/>
      <c r="E309" s="1149" t="s">
        <v>4114</v>
      </c>
      <c r="F309" s="1150"/>
      <c r="G309" s="8"/>
      <c r="H309" s="316" t="s">
        <v>4115</v>
      </c>
      <c r="I309" s="316" t="s">
        <v>3581</v>
      </c>
      <c r="J309" s="22"/>
      <c r="K309" s="276" t="s">
        <v>9123</v>
      </c>
      <c r="L309" s="646" t="s">
        <v>12531</v>
      </c>
    </row>
    <row r="310" spans="1:12" s="14" customFormat="1" ht="27.75" customHeight="1" x14ac:dyDescent="0.2">
      <c r="A310" s="29" t="s">
        <v>5149</v>
      </c>
      <c r="B310" s="665" t="s">
        <v>3769</v>
      </c>
      <c r="C310" s="1111" t="s">
        <v>8874</v>
      </c>
      <c r="D310" s="1112"/>
      <c r="E310" s="12"/>
      <c r="F310" s="48"/>
      <c r="G310" s="48"/>
      <c r="H310" s="673" t="s">
        <v>8379</v>
      </c>
      <c r="I310" s="28" t="s">
        <v>3581</v>
      </c>
      <c r="J310" s="42"/>
      <c r="K310" s="276" t="s">
        <v>9123</v>
      </c>
      <c r="L310" s="646" t="s">
        <v>12531</v>
      </c>
    </row>
    <row r="311" spans="1:12" s="14" customFormat="1" ht="38.25" customHeight="1" x14ac:dyDescent="0.2">
      <c r="A311" s="29" t="s">
        <v>5150</v>
      </c>
      <c r="B311" s="665" t="s">
        <v>3769</v>
      </c>
      <c r="C311" s="1111" t="s">
        <v>8875</v>
      </c>
      <c r="D311" s="1112"/>
      <c r="E311" s="12"/>
      <c r="F311" s="48"/>
      <c r="G311" s="48"/>
      <c r="H311" s="673" t="s">
        <v>5154</v>
      </c>
      <c r="I311" s="28" t="s">
        <v>3581</v>
      </c>
      <c r="J311" s="42"/>
      <c r="K311" s="276" t="s">
        <v>9123</v>
      </c>
      <c r="L311" s="646" t="s">
        <v>12531</v>
      </c>
    </row>
    <row r="312" spans="1:12" s="14" customFormat="1" ht="27.75" customHeight="1" x14ac:dyDescent="0.2">
      <c r="A312" s="29" t="s">
        <v>5151</v>
      </c>
      <c r="B312" s="665" t="s">
        <v>3769</v>
      </c>
      <c r="C312" s="1111" t="s">
        <v>8876</v>
      </c>
      <c r="D312" s="1112"/>
      <c r="E312" s="12"/>
      <c r="F312" s="48"/>
      <c r="G312" s="48"/>
      <c r="H312" s="673" t="s">
        <v>5052</v>
      </c>
      <c r="I312" s="28" t="s">
        <v>3581</v>
      </c>
      <c r="J312" s="42"/>
      <c r="K312" s="276" t="s">
        <v>9123</v>
      </c>
      <c r="L312" s="646" t="s">
        <v>12531</v>
      </c>
    </row>
    <row r="313" spans="1:12" s="14" customFormat="1" ht="27.75" customHeight="1" x14ac:dyDescent="0.2">
      <c r="A313" s="29" t="s">
        <v>5152</v>
      </c>
      <c r="B313" s="665" t="s">
        <v>3769</v>
      </c>
      <c r="C313" s="1111" t="s">
        <v>8877</v>
      </c>
      <c r="D313" s="1112"/>
      <c r="E313" s="12"/>
      <c r="F313" s="48"/>
      <c r="G313" s="48"/>
      <c r="H313" s="312" t="s">
        <v>8380</v>
      </c>
      <c r="I313" s="28" t="s">
        <v>3581</v>
      </c>
      <c r="J313" s="42"/>
      <c r="K313" s="276" t="s">
        <v>9123</v>
      </c>
      <c r="L313" s="646" t="s">
        <v>12531</v>
      </c>
    </row>
    <row r="314" spans="1:12" s="14" customFormat="1" ht="27.75" customHeight="1" x14ac:dyDescent="0.2">
      <c r="A314" s="29" t="s">
        <v>5153</v>
      </c>
      <c r="B314" s="665" t="s">
        <v>3769</v>
      </c>
      <c r="C314" s="1111" t="s">
        <v>8877</v>
      </c>
      <c r="D314" s="1112"/>
      <c r="E314" s="12"/>
      <c r="F314" s="48"/>
      <c r="G314" s="48"/>
      <c r="H314" s="312" t="s">
        <v>5051</v>
      </c>
      <c r="I314" s="28" t="s">
        <v>3581</v>
      </c>
      <c r="J314" s="42"/>
      <c r="K314" s="276" t="s">
        <v>9123</v>
      </c>
      <c r="L314" s="646" t="s">
        <v>12531</v>
      </c>
    </row>
    <row r="315" spans="1:12" s="14" customFormat="1" ht="37.5" customHeight="1" x14ac:dyDescent="0.2">
      <c r="A315" s="1087" t="s">
        <v>2087</v>
      </c>
      <c r="B315" s="975" t="s">
        <v>3881</v>
      </c>
      <c r="C315" s="1090" t="s">
        <v>5745</v>
      </c>
      <c r="D315" s="1091"/>
      <c r="E315" s="18"/>
      <c r="F315" s="142" t="s">
        <v>4181</v>
      </c>
      <c r="G315" s="49" t="s">
        <v>187</v>
      </c>
      <c r="H315" s="320" t="s">
        <v>3884</v>
      </c>
      <c r="I315" s="320">
        <v>1966</v>
      </c>
      <c r="J315" s="42"/>
      <c r="K315" s="276" t="s">
        <v>9123</v>
      </c>
      <c r="L315" s="646" t="s">
        <v>12531</v>
      </c>
    </row>
    <row r="316" spans="1:12" s="21" customFormat="1" ht="22.5" customHeight="1" x14ac:dyDescent="0.2">
      <c r="A316" s="1088"/>
      <c r="B316" s="976"/>
      <c r="C316" s="1122"/>
      <c r="D316" s="1123"/>
      <c r="E316" s="964" t="s">
        <v>6621</v>
      </c>
      <c r="F316" s="965"/>
      <c r="G316" s="19"/>
      <c r="H316" s="26"/>
      <c r="I316" s="26" t="s">
        <v>5783</v>
      </c>
      <c r="J316" s="50"/>
      <c r="K316" s="276" t="s">
        <v>9123</v>
      </c>
      <c r="L316" s="646" t="s">
        <v>12531</v>
      </c>
    </row>
    <row r="317" spans="1:12" s="14" customFormat="1" ht="36.75" customHeight="1" x14ac:dyDescent="0.2">
      <c r="A317" s="664" t="s">
        <v>5142</v>
      </c>
      <c r="B317" s="49" t="s">
        <v>5135</v>
      </c>
      <c r="C317" s="1090" t="s">
        <v>5745</v>
      </c>
      <c r="D317" s="1091"/>
      <c r="E317" s="172"/>
      <c r="F317" s="142"/>
      <c r="G317" s="8"/>
      <c r="H317" s="316" t="s">
        <v>5134</v>
      </c>
      <c r="I317" s="316"/>
      <c r="J317" s="42"/>
      <c r="K317" s="276" t="s">
        <v>9123</v>
      </c>
      <c r="L317" s="646" t="s">
        <v>12531</v>
      </c>
    </row>
    <row r="318" spans="1:12" s="14" customFormat="1" ht="29.25" customHeight="1" x14ac:dyDescent="0.2">
      <c r="A318" s="664" t="s">
        <v>5144</v>
      </c>
      <c r="B318" s="49" t="s">
        <v>5132</v>
      </c>
      <c r="C318" s="1090" t="s">
        <v>5745</v>
      </c>
      <c r="D318" s="1091"/>
      <c r="E318" s="172"/>
      <c r="F318" s="143"/>
      <c r="G318" s="8"/>
      <c r="H318" s="316" t="s">
        <v>5133</v>
      </c>
      <c r="I318" s="316"/>
      <c r="J318" s="42"/>
      <c r="K318" s="276" t="s">
        <v>9123</v>
      </c>
      <c r="L318" s="646" t="s">
        <v>12531</v>
      </c>
    </row>
    <row r="319" spans="1:12" s="14" customFormat="1" ht="26.25" customHeight="1" x14ac:dyDescent="0.2">
      <c r="A319" s="664" t="s">
        <v>5145</v>
      </c>
      <c r="B319" s="49" t="s">
        <v>5136</v>
      </c>
      <c r="C319" s="1090" t="s">
        <v>5745</v>
      </c>
      <c r="D319" s="1091"/>
      <c r="E319" s="172"/>
      <c r="F319" s="143"/>
      <c r="G319" s="8"/>
      <c r="H319" s="316" t="s">
        <v>4582</v>
      </c>
      <c r="I319" s="316"/>
      <c r="J319" s="42"/>
      <c r="K319" s="276" t="s">
        <v>9123</v>
      </c>
      <c r="L319" s="646" t="s">
        <v>12531</v>
      </c>
    </row>
    <row r="320" spans="1:12" s="14" customFormat="1" ht="25.5" customHeight="1" x14ac:dyDescent="0.2">
      <c r="A320" s="664" t="s">
        <v>5146</v>
      </c>
      <c r="B320" s="49" t="s">
        <v>5138</v>
      </c>
      <c r="C320" s="1090" t="s">
        <v>5745</v>
      </c>
      <c r="D320" s="1091"/>
      <c r="E320" s="172"/>
      <c r="F320" s="143"/>
      <c r="G320" s="8"/>
      <c r="H320" s="316" t="s">
        <v>5137</v>
      </c>
      <c r="I320" s="316"/>
      <c r="J320" s="42"/>
      <c r="K320" s="276" t="s">
        <v>9123</v>
      </c>
      <c r="L320" s="646" t="s">
        <v>12531</v>
      </c>
    </row>
    <row r="321" spans="1:12" s="14" customFormat="1" ht="26.25" customHeight="1" x14ac:dyDescent="0.2">
      <c r="A321" s="664" t="s">
        <v>5147</v>
      </c>
      <c r="B321" s="49" t="s">
        <v>5139</v>
      </c>
      <c r="C321" s="1090" t="s">
        <v>5745</v>
      </c>
      <c r="D321" s="1091"/>
      <c r="E321" s="172"/>
      <c r="F321" s="143"/>
      <c r="G321" s="8"/>
      <c r="H321" s="316" t="s">
        <v>5140</v>
      </c>
      <c r="I321" s="316"/>
      <c r="J321" s="42"/>
      <c r="K321" s="276" t="s">
        <v>9123</v>
      </c>
      <c r="L321" s="646" t="s">
        <v>12531</v>
      </c>
    </row>
    <row r="322" spans="1:12" s="14" customFormat="1" ht="31.5" customHeight="1" x14ac:dyDescent="0.2">
      <c r="A322" s="664" t="s">
        <v>5148</v>
      </c>
      <c r="B322" s="49" t="s">
        <v>5143</v>
      </c>
      <c r="C322" s="1090" t="s">
        <v>5745</v>
      </c>
      <c r="D322" s="1091"/>
      <c r="E322" s="172"/>
      <c r="F322" s="143"/>
      <c r="G322" s="8"/>
      <c r="H322" s="316" t="s">
        <v>5141</v>
      </c>
      <c r="I322" s="316"/>
      <c r="J322" s="42"/>
      <c r="K322" s="276" t="s">
        <v>9123</v>
      </c>
      <c r="L322" s="646" t="s">
        <v>12531</v>
      </c>
    </row>
    <row r="323" spans="1:12" s="14" customFormat="1" ht="34.5" customHeight="1" x14ac:dyDescent="0.2">
      <c r="A323" s="664" t="s">
        <v>8526</v>
      </c>
      <c r="B323" s="240" t="s">
        <v>5100</v>
      </c>
      <c r="C323" s="1090" t="s">
        <v>5745</v>
      </c>
      <c r="D323" s="1091"/>
      <c r="E323" s="114"/>
      <c r="F323" s="144"/>
      <c r="G323" s="170"/>
      <c r="H323" s="320" t="s">
        <v>5099</v>
      </c>
      <c r="I323" s="320"/>
      <c r="J323" s="42"/>
      <c r="K323" s="276" t="s">
        <v>9123</v>
      </c>
      <c r="L323" s="646" t="s">
        <v>12531</v>
      </c>
    </row>
    <row r="324" spans="1:12" s="14" customFormat="1" ht="36" customHeight="1" x14ac:dyDescent="0.2">
      <c r="A324" s="1087" t="s">
        <v>2335</v>
      </c>
      <c r="B324" s="975" t="s">
        <v>3882</v>
      </c>
      <c r="C324" s="1090" t="s">
        <v>5745</v>
      </c>
      <c r="D324" s="1091"/>
      <c r="E324" s="18"/>
      <c r="F324" s="380" t="s">
        <v>4172</v>
      </c>
      <c r="G324" s="49" t="s">
        <v>2135</v>
      </c>
      <c r="H324" s="320" t="s">
        <v>8444</v>
      </c>
      <c r="I324" s="320">
        <v>1971</v>
      </c>
      <c r="J324" s="42"/>
      <c r="K324" s="276" t="s">
        <v>9123</v>
      </c>
      <c r="L324" s="646" t="s">
        <v>12531</v>
      </c>
    </row>
    <row r="325" spans="1:12" s="14" customFormat="1" ht="27" customHeight="1" x14ac:dyDescent="0.2">
      <c r="A325" s="1088"/>
      <c r="B325" s="976"/>
      <c r="C325" s="1122"/>
      <c r="D325" s="1123"/>
      <c r="E325" s="964" t="s">
        <v>3341</v>
      </c>
      <c r="F325" s="965"/>
      <c r="G325" s="49"/>
      <c r="H325" s="320" t="s">
        <v>2646</v>
      </c>
      <c r="I325" s="320">
        <v>2011</v>
      </c>
      <c r="J325" s="42"/>
      <c r="K325" s="276" t="s">
        <v>9123</v>
      </c>
      <c r="L325" s="646" t="s">
        <v>12531</v>
      </c>
    </row>
    <row r="326" spans="1:12" s="14" customFormat="1" ht="33.75" customHeight="1" x14ac:dyDescent="0.2">
      <c r="A326" s="10" t="s">
        <v>3506</v>
      </c>
      <c r="B326" s="20" t="s">
        <v>2637</v>
      </c>
      <c r="C326" s="1077" t="s">
        <v>8878</v>
      </c>
      <c r="D326" s="1078"/>
      <c r="E326" s="964" t="s">
        <v>3341</v>
      </c>
      <c r="F326" s="965"/>
      <c r="G326" s="49"/>
      <c r="H326" s="320" t="s">
        <v>3367</v>
      </c>
      <c r="I326" s="320">
        <v>2010</v>
      </c>
      <c r="J326" s="42"/>
      <c r="K326" s="276" t="s">
        <v>9123</v>
      </c>
      <c r="L326" s="646" t="s">
        <v>12531</v>
      </c>
    </row>
    <row r="327" spans="1:12" s="14" customFormat="1" ht="35.25" customHeight="1" x14ac:dyDescent="0.2">
      <c r="A327" s="10" t="s">
        <v>5264</v>
      </c>
      <c r="B327" s="20" t="s">
        <v>5266</v>
      </c>
      <c r="C327" s="1090" t="s">
        <v>8879</v>
      </c>
      <c r="D327" s="1091"/>
      <c r="E327" s="642"/>
      <c r="F327" s="642"/>
      <c r="G327" s="49"/>
      <c r="H327" s="320" t="s">
        <v>5265</v>
      </c>
      <c r="I327" s="320"/>
      <c r="J327" s="42"/>
      <c r="K327" s="276" t="s">
        <v>9123</v>
      </c>
      <c r="L327" s="646" t="s">
        <v>12531</v>
      </c>
    </row>
    <row r="328" spans="1:12" s="14" customFormat="1" x14ac:dyDescent="0.2">
      <c r="A328" s="10" t="s">
        <v>2088</v>
      </c>
      <c r="B328" s="49" t="s">
        <v>300</v>
      </c>
      <c r="C328" s="1077"/>
      <c r="D328" s="1078"/>
      <c r="E328" s="18"/>
      <c r="F328" s="49"/>
      <c r="G328" s="49"/>
      <c r="H328" s="320"/>
      <c r="I328" s="320">
        <v>2001</v>
      </c>
      <c r="J328" s="42"/>
      <c r="K328" s="19"/>
      <c r="L328" s="49"/>
    </row>
    <row r="329" spans="1:12" s="21" customFormat="1" ht="36" customHeight="1" x14ac:dyDescent="0.2">
      <c r="A329" s="10" t="s">
        <v>2089</v>
      </c>
      <c r="B329" s="19" t="s">
        <v>2647</v>
      </c>
      <c r="C329" s="1077" t="s">
        <v>11267</v>
      </c>
      <c r="D329" s="1078"/>
      <c r="E329" s="97"/>
      <c r="F329" s="19"/>
      <c r="G329" s="19"/>
      <c r="H329" s="26"/>
      <c r="I329" s="26">
        <v>1968</v>
      </c>
      <c r="J329" s="50"/>
      <c r="K329" s="8" t="s">
        <v>11166</v>
      </c>
      <c r="L329" s="728" t="s">
        <v>14046</v>
      </c>
    </row>
    <row r="330" spans="1:12" s="21" customFormat="1" ht="36" customHeight="1" x14ac:dyDescent="0.2">
      <c r="A330" s="10" t="s">
        <v>2118</v>
      </c>
      <c r="B330" s="19" t="s">
        <v>2648</v>
      </c>
      <c r="C330" s="1077" t="s">
        <v>11265</v>
      </c>
      <c r="D330" s="1078"/>
      <c r="E330" s="97"/>
      <c r="F330" s="19"/>
      <c r="G330" s="19"/>
      <c r="H330" s="26"/>
      <c r="I330" s="26">
        <v>1968</v>
      </c>
      <c r="J330" s="50"/>
      <c r="K330" s="276" t="s">
        <v>9123</v>
      </c>
      <c r="L330" s="646" t="s">
        <v>12531</v>
      </c>
    </row>
    <row r="331" spans="1:12" s="231" customFormat="1" ht="34.5" customHeight="1" x14ac:dyDescent="0.2">
      <c r="A331" s="10" t="s">
        <v>2090</v>
      </c>
      <c r="B331" s="19" t="s">
        <v>2649</v>
      </c>
      <c r="C331" s="1077" t="s">
        <v>11265</v>
      </c>
      <c r="D331" s="1078"/>
      <c r="E331" s="97"/>
      <c r="F331" s="19"/>
      <c r="G331" s="19"/>
      <c r="H331" s="26"/>
      <c r="I331" s="26">
        <v>1968</v>
      </c>
      <c r="J331" s="50"/>
      <c r="K331" s="8" t="s">
        <v>11180</v>
      </c>
      <c r="L331" s="8" t="s">
        <v>12530</v>
      </c>
    </row>
    <row r="332" spans="1:12" s="21" customFormat="1" ht="36.75" customHeight="1" x14ac:dyDescent="0.2">
      <c r="A332" s="10" t="s">
        <v>2091</v>
      </c>
      <c r="B332" s="19" t="s">
        <v>2647</v>
      </c>
      <c r="C332" s="1077" t="s">
        <v>11266</v>
      </c>
      <c r="D332" s="1078"/>
      <c r="E332" s="97"/>
      <c r="F332" s="19"/>
      <c r="G332" s="19"/>
      <c r="H332" s="26"/>
      <c r="I332" s="26">
        <v>1969</v>
      </c>
      <c r="J332" s="50"/>
      <c r="K332" s="8" t="s">
        <v>11166</v>
      </c>
      <c r="L332" s="728" t="s">
        <v>14046</v>
      </c>
    </row>
    <row r="333" spans="1:12" s="231" customFormat="1" ht="35.25" customHeight="1" x14ac:dyDescent="0.2">
      <c r="A333" s="10" t="s">
        <v>2092</v>
      </c>
      <c r="B333" s="19" t="s">
        <v>2649</v>
      </c>
      <c r="C333" s="1077" t="s">
        <v>11266</v>
      </c>
      <c r="D333" s="1078"/>
      <c r="E333" s="97"/>
      <c r="F333" s="19"/>
      <c r="G333" s="19"/>
      <c r="H333" s="26"/>
      <c r="I333" s="26">
        <v>1969</v>
      </c>
      <c r="J333" s="50"/>
      <c r="K333" s="8" t="s">
        <v>11180</v>
      </c>
      <c r="L333" s="8" t="s">
        <v>12530</v>
      </c>
    </row>
    <row r="334" spans="1:12" s="21" customFormat="1" ht="35.25" customHeight="1" x14ac:dyDescent="0.2">
      <c r="A334" s="10" t="s">
        <v>2093</v>
      </c>
      <c r="B334" s="19" t="s">
        <v>2648</v>
      </c>
      <c r="C334" s="1077" t="s">
        <v>11266</v>
      </c>
      <c r="D334" s="1078"/>
      <c r="E334" s="97"/>
      <c r="F334" s="19"/>
      <c r="G334" s="19"/>
      <c r="H334" s="26"/>
      <c r="I334" s="26">
        <v>1969</v>
      </c>
      <c r="J334" s="50"/>
      <c r="K334" s="276" t="s">
        <v>9123</v>
      </c>
      <c r="L334" s="646" t="s">
        <v>12531</v>
      </c>
    </row>
    <row r="335" spans="1:12" s="21" customFormat="1" ht="34.5" customHeight="1" x14ac:dyDescent="0.2">
      <c r="A335" s="10" t="s">
        <v>2094</v>
      </c>
      <c r="B335" s="19" t="s">
        <v>2647</v>
      </c>
      <c r="C335" s="1077" t="s">
        <v>11264</v>
      </c>
      <c r="D335" s="1078"/>
      <c r="E335" s="97"/>
      <c r="F335" s="19"/>
      <c r="G335" s="19"/>
      <c r="H335" s="26"/>
      <c r="I335" s="26">
        <v>1964</v>
      </c>
      <c r="J335" s="50"/>
      <c r="K335" s="8" t="s">
        <v>11166</v>
      </c>
      <c r="L335" s="728" t="s">
        <v>14046</v>
      </c>
    </row>
    <row r="336" spans="1:12" s="231" customFormat="1" ht="36.75" customHeight="1" x14ac:dyDescent="0.2">
      <c r="A336" s="10" t="s">
        <v>2095</v>
      </c>
      <c r="B336" s="19" t="s">
        <v>2649</v>
      </c>
      <c r="C336" s="1077" t="s">
        <v>11264</v>
      </c>
      <c r="D336" s="1078"/>
      <c r="E336" s="97"/>
      <c r="F336" s="19"/>
      <c r="G336" s="19"/>
      <c r="H336" s="26"/>
      <c r="I336" s="26">
        <v>1964</v>
      </c>
      <c r="J336" s="50"/>
      <c r="K336" s="8" t="s">
        <v>11180</v>
      </c>
      <c r="L336" s="8" t="s">
        <v>12530</v>
      </c>
    </row>
    <row r="337" spans="1:12" s="21" customFormat="1" ht="33.75" customHeight="1" x14ac:dyDescent="0.2">
      <c r="A337" s="10" t="s">
        <v>2355</v>
      </c>
      <c r="B337" s="19" t="s">
        <v>2648</v>
      </c>
      <c r="C337" s="1077" t="s">
        <v>11264</v>
      </c>
      <c r="D337" s="1078"/>
      <c r="E337" s="97"/>
      <c r="F337" s="19"/>
      <c r="G337" s="19"/>
      <c r="H337" s="26"/>
      <c r="I337" s="26">
        <v>1964</v>
      </c>
      <c r="J337" s="50"/>
      <c r="K337" s="276" t="s">
        <v>9123</v>
      </c>
      <c r="L337" s="646" t="s">
        <v>12531</v>
      </c>
    </row>
    <row r="338" spans="1:12" s="14" customFormat="1" ht="23.25" customHeight="1" x14ac:dyDescent="0.2">
      <c r="A338" s="1087" t="s">
        <v>2096</v>
      </c>
      <c r="B338" s="1143" t="s">
        <v>2650</v>
      </c>
      <c r="C338" s="1090" t="s">
        <v>8880</v>
      </c>
      <c r="D338" s="1091"/>
      <c r="E338" s="18"/>
      <c r="F338" s="49"/>
      <c r="G338" s="49"/>
      <c r="H338" s="320" t="s">
        <v>2360</v>
      </c>
      <c r="I338" s="320">
        <v>1956</v>
      </c>
      <c r="J338" s="42"/>
      <c r="K338" s="966" t="s">
        <v>11180</v>
      </c>
      <c r="L338" s="966" t="s">
        <v>12530</v>
      </c>
    </row>
    <row r="339" spans="1:12" s="14" customFormat="1" ht="24.75" customHeight="1" x14ac:dyDescent="0.2">
      <c r="A339" s="1088"/>
      <c r="B339" s="1144"/>
      <c r="C339" s="1081"/>
      <c r="D339" s="1114"/>
      <c r="E339" s="1138" t="s">
        <v>3362</v>
      </c>
      <c r="F339" s="1139"/>
      <c r="G339" s="1140"/>
      <c r="H339" s="320"/>
      <c r="I339" s="320"/>
      <c r="J339" s="42"/>
      <c r="K339" s="968"/>
      <c r="L339" s="968"/>
    </row>
    <row r="340" spans="1:12" s="14" customFormat="1" ht="59.25" customHeight="1" x14ac:dyDescent="0.2">
      <c r="A340" s="10" t="s">
        <v>3507</v>
      </c>
      <c r="B340" s="48" t="s">
        <v>2651</v>
      </c>
      <c r="C340" s="1081"/>
      <c r="D340" s="1114"/>
      <c r="E340" s="18"/>
      <c r="F340" s="49"/>
      <c r="G340" s="49" t="s">
        <v>2309</v>
      </c>
      <c r="H340" s="320" t="s">
        <v>3365</v>
      </c>
      <c r="I340" s="320">
        <v>2010</v>
      </c>
      <c r="J340" s="42"/>
      <c r="K340" s="8" t="s">
        <v>11180</v>
      </c>
      <c r="L340" s="8" t="s">
        <v>12530</v>
      </c>
    </row>
    <row r="341" spans="1:12" s="14" customFormat="1" ht="33" customHeight="1" x14ac:dyDescent="0.2">
      <c r="A341" s="1087" t="s">
        <v>3508</v>
      </c>
      <c r="B341" s="1006" t="s">
        <v>186</v>
      </c>
      <c r="C341" s="1081"/>
      <c r="D341" s="1114"/>
      <c r="E341" s="18"/>
      <c r="F341" s="49"/>
      <c r="G341" s="49" t="s">
        <v>2652</v>
      </c>
      <c r="H341" s="320" t="s">
        <v>3366</v>
      </c>
      <c r="I341" s="320">
        <v>2010</v>
      </c>
      <c r="J341" s="42"/>
      <c r="K341" s="966" t="s">
        <v>11180</v>
      </c>
      <c r="L341" s="966" t="s">
        <v>12530</v>
      </c>
    </row>
    <row r="342" spans="1:12" s="14" customFormat="1" ht="21" customHeight="1" x14ac:dyDescent="0.2">
      <c r="A342" s="1088"/>
      <c r="B342" s="1008"/>
      <c r="C342" s="1122"/>
      <c r="D342" s="1123"/>
      <c r="E342" s="1119" t="s">
        <v>3655</v>
      </c>
      <c r="F342" s="1121"/>
      <c r="G342" s="49" t="s">
        <v>187</v>
      </c>
      <c r="H342" s="320" t="s">
        <v>3467</v>
      </c>
      <c r="I342" s="320" t="s">
        <v>512</v>
      </c>
      <c r="J342" s="42"/>
      <c r="K342" s="968"/>
      <c r="L342" s="968"/>
    </row>
    <row r="343" spans="1:12" s="14" customFormat="1" ht="33.75" x14ac:dyDescent="0.2">
      <c r="A343" s="10" t="s">
        <v>2097</v>
      </c>
      <c r="B343" s="49" t="s">
        <v>3780</v>
      </c>
      <c r="C343" s="1077" t="s">
        <v>11263</v>
      </c>
      <c r="D343" s="1078"/>
      <c r="E343" s="18"/>
      <c r="F343" s="49"/>
      <c r="G343" s="49" t="s">
        <v>3782</v>
      </c>
      <c r="H343" s="320" t="s">
        <v>3781</v>
      </c>
      <c r="I343" s="320">
        <v>1978</v>
      </c>
      <c r="J343" s="42"/>
      <c r="K343" s="19" t="s">
        <v>9409</v>
      </c>
      <c r="L343" s="49" t="s">
        <v>3235</v>
      </c>
    </row>
    <row r="344" spans="1:12" s="14" customFormat="1" ht="22.5" x14ac:dyDescent="0.2">
      <c r="A344" s="10" t="s">
        <v>2098</v>
      </c>
      <c r="B344" s="49" t="s">
        <v>2636</v>
      </c>
      <c r="C344" s="1077" t="s">
        <v>11336</v>
      </c>
      <c r="D344" s="1078"/>
      <c r="E344" s="18"/>
      <c r="F344" s="49"/>
      <c r="G344" s="49" t="s">
        <v>2131</v>
      </c>
      <c r="H344" s="320" t="s">
        <v>2361</v>
      </c>
      <c r="I344" s="320">
        <v>1996</v>
      </c>
      <c r="J344" s="42"/>
      <c r="K344" s="19" t="s">
        <v>3436</v>
      </c>
      <c r="L344" s="49" t="s">
        <v>3435</v>
      </c>
    </row>
    <row r="345" spans="1:12" s="14" customFormat="1" ht="22.5" x14ac:dyDescent="0.2">
      <c r="A345" s="1087" t="s">
        <v>2099</v>
      </c>
      <c r="B345" s="49" t="s">
        <v>2636</v>
      </c>
      <c r="C345" s="1077" t="s">
        <v>11337</v>
      </c>
      <c r="D345" s="1078"/>
      <c r="E345" s="18"/>
      <c r="F345" s="49"/>
      <c r="G345" s="49" t="s">
        <v>2131</v>
      </c>
      <c r="H345" s="320" t="s">
        <v>2362</v>
      </c>
      <c r="I345" s="320">
        <v>1996</v>
      </c>
      <c r="J345" s="42"/>
      <c r="K345" s="19" t="s">
        <v>3436</v>
      </c>
      <c r="L345" s="49" t="s">
        <v>3435</v>
      </c>
    </row>
    <row r="346" spans="1:12" s="14" customFormat="1" ht="26.25" customHeight="1" x14ac:dyDescent="0.2">
      <c r="A346" s="1088"/>
      <c r="B346" s="636"/>
      <c r="C346" s="1122"/>
      <c r="D346" s="1123"/>
      <c r="E346" s="1111" t="s">
        <v>3768</v>
      </c>
      <c r="F346" s="1112"/>
      <c r="G346" s="49" t="s">
        <v>3767</v>
      </c>
      <c r="H346" s="320"/>
      <c r="I346" s="320" t="s">
        <v>4433</v>
      </c>
      <c r="J346" s="42"/>
      <c r="K346" s="19" t="s">
        <v>3436</v>
      </c>
      <c r="L346" s="49" t="s">
        <v>3435</v>
      </c>
    </row>
    <row r="347" spans="1:12" s="14" customFormat="1" ht="22.5" x14ac:dyDescent="0.2">
      <c r="A347" s="10" t="s">
        <v>2100</v>
      </c>
      <c r="B347" s="49" t="s">
        <v>2653</v>
      </c>
      <c r="C347" s="1077" t="s">
        <v>11338</v>
      </c>
      <c r="D347" s="1078"/>
      <c r="E347" s="18"/>
      <c r="F347" s="49"/>
      <c r="G347" s="49" t="s">
        <v>2363</v>
      </c>
      <c r="H347" s="320" t="s">
        <v>2364</v>
      </c>
      <c r="I347" s="320">
        <v>1996</v>
      </c>
      <c r="J347" s="42"/>
      <c r="K347" s="19" t="s">
        <v>3436</v>
      </c>
      <c r="L347" s="49" t="s">
        <v>3435</v>
      </c>
    </row>
    <row r="348" spans="1:12" s="14" customFormat="1" ht="33.75" x14ac:dyDescent="0.2">
      <c r="A348" s="10" t="s">
        <v>3324</v>
      </c>
      <c r="B348" s="49" t="s">
        <v>2654</v>
      </c>
      <c r="C348" s="1077" t="s">
        <v>11259</v>
      </c>
      <c r="D348" s="1078"/>
      <c r="E348" s="18"/>
      <c r="F348" s="49"/>
      <c r="G348" s="49"/>
      <c r="H348" s="320"/>
      <c r="I348" s="320">
        <v>1995</v>
      </c>
      <c r="J348" s="42"/>
      <c r="K348" s="19" t="s">
        <v>3897</v>
      </c>
      <c r="L348" s="19" t="s">
        <v>3897</v>
      </c>
    </row>
    <row r="349" spans="1:12" s="14" customFormat="1" ht="22.5" x14ac:dyDescent="0.2">
      <c r="A349" s="10" t="s">
        <v>2101</v>
      </c>
      <c r="B349" s="49" t="s">
        <v>2655</v>
      </c>
      <c r="C349" s="1077" t="s">
        <v>5746</v>
      </c>
      <c r="D349" s="1078"/>
      <c r="E349" s="18"/>
      <c r="F349" s="49"/>
      <c r="G349" s="49"/>
      <c r="H349" s="320"/>
      <c r="I349" s="320">
        <v>1993</v>
      </c>
      <c r="J349" s="42"/>
      <c r="K349" s="19"/>
      <c r="L349" s="49"/>
    </row>
    <row r="350" spans="1:12" s="14" customFormat="1" ht="25.5" customHeight="1" x14ac:dyDescent="0.2">
      <c r="A350" s="10" t="s">
        <v>2336</v>
      </c>
      <c r="B350" s="19" t="s">
        <v>2656</v>
      </c>
      <c r="C350" s="1077" t="s">
        <v>11262</v>
      </c>
      <c r="D350" s="1078"/>
      <c r="E350" s="18"/>
      <c r="F350" s="49"/>
      <c r="G350" s="49"/>
      <c r="H350" s="320"/>
      <c r="I350" s="320">
        <v>1975</v>
      </c>
      <c r="J350" s="42"/>
      <c r="K350" s="19"/>
      <c r="L350" s="49"/>
    </row>
    <row r="351" spans="1:12" s="5" customFormat="1" ht="18" customHeight="1" x14ac:dyDescent="0.2">
      <c r="A351" s="664" t="s">
        <v>12547</v>
      </c>
      <c r="B351" s="631"/>
      <c r="C351" s="1122"/>
      <c r="D351" s="1123"/>
      <c r="E351" s="1094" t="s">
        <v>11065</v>
      </c>
      <c r="F351" s="1095"/>
      <c r="G351" s="1095"/>
      <c r="H351" s="1096"/>
      <c r="I351" s="312" t="s">
        <v>9380</v>
      </c>
      <c r="J351" s="65"/>
      <c r="K351" s="12"/>
      <c r="L351" s="12"/>
    </row>
    <row r="352" spans="1:12" s="21" customFormat="1" ht="33" customHeight="1" x14ac:dyDescent="0.2">
      <c r="A352" s="10" t="s">
        <v>2337</v>
      </c>
      <c r="B352" s="19" t="s">
        <v>2650</v>
      </c>
      <c r="C352" s="1077" t="s">
        <v>8881</v>
      </c>
      <c r="D352" s="1078"/>
      <c r="E352" s="97"/>
      <c r="F352" s="642" t="s">
        <v>4150</v>
      </c>
      <c r="G352" s="19" t="s">
        <v>187</v>
      </c>
      <c r="H352" s="26" t="s">
        <v>2365</v>
      </c>
      <c r="I352" s="26" t="s">
        <v>17</v>
      </c>
      <c r="J352" s="50"/>
      <c r="K352" s="8" t="s">
        <v>11180</v>
      </c>
      <c r="L352" s="8" t="s">
        <v>12530</v>
      </c>
    </row>
    <row r="353" spans="1:12" s="14" customFormat="1" ht="33.75" x14ac:dyDescent="0.2">
      <c r="A353" s="10" t="s">
        <v>2102</v>
      </c>
      <c r="B353" s="49" t="s">
        <v>2645</v>
      </c>
      <c r="C353" s="1077" t="s">
        <v>11261</v>
      </c>
      <c r="D353" s="1078"/>
      <c r="E353" s="18"/>
      <c r="F353" s="49"/>
      <c r="G353" s="49"/>
      <c r="H353" s="320" t="s">
        <v>2366</v>
      </c>
      <c r="I353" s="320">
        <v>1970</v>
      </c>
      <c r="J353" s="42"/>
      <c r="K353" s="19" t="s">
        <v>3896</v>
      </c>
      <c r="L353" s="19" t="s">
        <v>3896</v>
      </c>
    </row>
    <row r="354" spans="1:12" s="14" customFormat="1" ht="33.75" x14ac:dyDescent="0.2">
      <c r="A354" s="10" t="s">
        <v>2103</v>
      </c>
      <c r="B354" s="49" t="s">
        <v>3527</v>
      </c>
      <c r="C354" s="1077" t="s">
        <v>11260</v>
      </c>
      <c r="D354" s="1078"/>
      <c r="E354" s="18"/>
      <c r="F354" s="49"/>
      <c r="G354" s="49"/>
      <c r="H354" s="320" t="s">
        <v>2644</v>
      </c>
      <c r="I354" s="320">
        <v>2004</v>
      </c>
      <c r="J354" s="42"/>
      <c r="K354" s="19" t="s">
        <v>3896</v>
      </c>
      <c r="L354" s="19" t="s">
        <v>3896</v>
      </c>
    </row>
    <row r="355" spans="1:12" s="21" customFormat="1" ht="38.25" customHeight="1" x14ac:dyDescent="0.2">
      <c r="A355" s="10" t="s">
        <v>11787</v>
      </c>
      <c r="B355" s="632"/>
      <c r="C355" s="1081"/>
      <c r="D355" s="1082"/>
      <c r="E355" s="1077" t="s">
        <v>5556</v>
      </c>
      <c r="F355" s="1078"/>
      <c r="G355" s="19" t="s">
        <v>2131</v>
      </c>
      <c r="H355" s="26" t="s">
        <v>5557</v>
      </c>
      <c r="I355" s="26">
        <v>2004</v>
      </c>
      <c r="J355" s="50"/>
      <c r="K355" s="19" t="s">
        <v>3903</v>
      </c>
      <c r="L355" s="19" t="s">
        <v>3903</v>
      </c>
    </row>
    <row r="356" spans="1:12" s="5" customFormat="1" ht="39.75" customHeight="1" x14ac:dyDescent="0.2">
      <c r="A356" s="10" t="s">
        <v>8636</v>
      </c>
      <c r="B356" s="10" t="s">
        <v>8904</v>
      </c>
      <c r="C356" s="1113" t="s">
        <v>8903</v>
      </c>
      <c r="D356" s="1113"/>
      <c r="E356" s="12"/>
      <c r="F356" s="20" t="s">
        <v>8906</v>
      </c>
      <c r="G356" s="12"/>
      <c r="H356" s="348" t="s">
        <v>5275</v>
      </c>
      <c r="I356" s="336" t="s">
        <v>2830</v>
      </c>
      <c r="J356" s="65"/>
      <c r="K356" s="276" t="s">
        <v>9123</v>
      </c>
      <c r="L356" s="646" t="s">
        <v>12531</v>
      </c>
    </row>
    <row r="357" spans="1:12" s="14" customFormat="1" ht="42.75" customHeight="1" x14ac:dyDescent="0.2">
      <c r="A357" s="10" t="s">
        <v>5085</v>
      </c>
      <c r="B357" s="49" t="s">
        <v>5097</v>
      </c>
      <c r="C357" s="1090" t="s">
        <v>8532</v>
      </c>
      <c r="D357" s="1091"/>
      <c r="E357" s="97"/>
      <c r="F357" s="101" t="s">
        <v>5434</v>
      </c>
      <c r="G357" s="49" t="s">
        <v>2367</v>
      </c>
      <c r="H357" s="320" t="s">
        <v>3422</v>
      </c>
      <c r="I357" s="320">
        <v>1988</v>
      </c>
      <c r="J357" s="42">
        <v>364541.48</v>
      </c>
      <c r="K357" s="19" t="s">
        <v>3899</v>
      </c>
      <c r="L357" s="19" t="s">
        <v>3895</v>
      </c>
    </row>
    <row r="358" spans="1:12" s="14" customFormat="1" ht="43.5" customHeight="1" x14ac:dyDescent="0.2">
      <c r="A358" s="10" t="s">
        <v>5086</v>
      </c>
      <c r="B358" s="49" t="s">
        <v>5098</v>
      </c>
      <c r="C358" s="1092"/>
      <c r="D358" s="1093"/>
      <c r="E358" s="97"/>
      <c r="F358" s="138"/>
      <c r="G358" s="49" t="s">
        <v>2135</v>
      </c>
      <c r="H358" s="320" t="s">
        <v>5094</v>
      </c>
      <c r="I358" s="320" t="s">
        <v>2829</v>
      </c>
      <c r="J358" s="42"/>
      <c r="K358" s="276" t="s">
        <v>9123</v>
      </c>
      <c r="L358" s="646" t="s">
        <v>12531</v>
      </c>
    </row>
    <row r="359" spans="1:12" s="21" customFormat="1" ht="45.75" customHeight="1" x14ac:dyDescent="0.2">
      <c r="A359" s="10" t="s">
        <v>5087</v>
      </c>
      <c r="B359" s="19" t="s">
        <v>5276</v>
      </c>
      <c r="C359" s="1092"/>
      <c r="D359" s="1093"/>
      <c r="E359" s="97"/>
      <c r="F359" s="138"/>
      <c r="G359" s="19" t="s">
        <v>2135</v>
      </c>
      <c r="H359" s="26" t="s">
        <v>5095</v>
      </c>
      <c r="I359" s="26" t="s">
        <v>5090</v>
      </c>
      <c r="J359" s="50"/>
      <c r="K359" s="19"/>
      <c r="L359" s="19"/>
    </row>
    <row r="360" spans="1:12" s="21" customFormat="1" ht="26.25" customHeight="1" x14ac:dyDescent="0.2">
      <c r="A360" s="10" t="s">
        <v>5088</v>
      </c>
      <c r="B360" s="19" t="s">
        <v>5277</v>
      </c>
      <c r="C360" s="1092"/>
      <c r="D360" s="1093"/>
      <c r="E360" s="97"/>
      <c r="F360" s="156"/>
      <c r="G360" s="19" t="s">
        <v>2309</v>
      </c>
      <c r="H360" s="26" t="s">
        <v>5096</v>
      </c>
      <c r="I360" s="26" t="s">
        <v>83</v>
      </c>
      <c r="J360" s="50"/>
      <c r="K360" s="19"/>
      <c r="L360" s="19"/>
    </row>
    <row r="361" spans="1:12" s="14" customFormat="1" ht="37.5" customHeight="1" x14ac:dyDescent="0.2">
      <c r="A361" s="1087" t="s">
        <v>3774</v>
      </c>
      <c r="B361" s="630" t="s">
        <v>6675</v>
      </c>
      <c r="C361" s="1090" t="s">
        <v>8882</v>
      </c>
      <c r="D361" s="1091"/>
      <c r="E361" s="18"/>
      <c r="F361" s="380"/>
      <c r="G361" s="49"/>
      <c r="H361" s="26"/>
      <c r="I361" s="320"/>
      <c r="J361" s="149"/>
      <c r="K361" s="630" t="s">
        <v>11180</v>
      </c>
      <c r="L361" s="635" t="s">
        <v>12530</v>
      </c>
    </row>
    <row r="362" spans="1:12" s="14" customFormat="1" ht="36.75" customHeight="1" x14ac:dyDescent="0.2">
      <c r="A362" s="1088"/>
      <c r="B362" s="19" t="s">
        <v>3865</v>
      </c>
      <c r="C362" s="1077" t="s">
        <v>8882</v>
      </c>
      <c r="D362" s="1078"/>
      <c r="E362" s="18"/>
      <c r="F362" s="380" t="s">
        <v>4312</v>
      </c>
      <c r="G362" s="49" t="s">
        <v>2368</v>
      </c>
      <c r="H362" s="26" t="s">
        <v>4265</v>
      </c>
      <c r="I362" s="320" t="s">
        <v>8697</v>
      </c>
      <c r="J362" s="42"/>
      <c r="K362" s="647" t="s">
        <v>11180</v>
      </c>
      <c r="L362" s="975" t="s">
        <v>12530</v>
      </c>
    </row>
    <row r="363" spans="1:12" s="14" customFormat="1" ht="46.5" customHeight="1" x14ac:dyDescent="0.2">
      <c r="A363" s="1087" t="s">
        <v>3612</v>
      </c>
      <c r="B363" s="19" t="s">
        <v>4266</v>
      </c>
      <c r="C363" s="1077" t="s">
        <v>8882</v>
      </c>
      <c r="D363" s="1078"/>
      <c r="E363" s="18"/>
      <c r="F363" s="380" t="s">
        <v>4396</v>
      </c>
      <c r="G363" s="49" t="s">
        <v>3841</v>
      </c>
      <c r="H363" s="320" t="s">
        <v>11386</v>
      </c>
      <c r="I363" s="320" t="s">
        <v>6676</v>
      </c>
      <c r="J363" s="149"/>
      <c r="K363" s="647" t="s">
        <v>11180</v>
      </c>
      <c r="L363" s="988"/>
    </row>
    <row r="364" spans="1:12" s="14" customFormat="1" ht="33" customHeight="1" x14ac:dyDescent="0.2">
      <c r="A364" s="1088"/>
      <c r="B364" s="19" t="s">
        <v>3614</v>
      </c>
      <c r="C364" s="1077" t="s">
        <v>8883</v>
      </c>
      <c r="D364" s="1078"/>
      <c r="E364" s="1077" t="s">
        <v>3322</v>
      </c>
      <c r="F364" s="1078"/>
      <c r="G364" s="49"/>
      <c r="H364" s="26" t="s">
        <v>3359</v>
      </c>
      <c r="I364" s="320">
        <v>2011</v>
      </c>
      <c r="J364" s="1180"/>
      <c r="K364" s="647" t="s">
        <v>11180</v>
      </c>
      <c r="L364" s="171"/>
    </row>
    <row r="365" spans="1:12" s="14" customFormat="1" ht="33" customHeight="1" x14ac:dyDescent="0.2">
      <c r="A365" s="10" t="s">
        <v>3613</v>
      </c>
      <c r="B365" s="19" t="s">
        <v>3499</v>
      </c>
      <c r="C365" s="1077" t="s">
        <v>8884</v>
      </c>
      <c r="D365" s="1078"/>
      <c r="E365" s="1077" t="s">
        <v>3322</v>
      </c>
      <c r="F365" s="1078"/>
      <c r="G365" s="49"/>
      <c r="H365" s="26" t="s">
        <v>3360</v>
      </c>
      <c r="I365" s="320">
        <v>2011</v>
      </c>
      <c r="J365" s="1181"/>
      <c r="K365" s="647" t="s">
        <v>11180</v>
      </c>
      <c r="L365" s="171"/>
    </row>
    <row r="366" spans="1:12" s="14" customFormat="1" ht="33.75" customHeight="1" x14ac:dyDescent="0.2">
      <c r="A366" s="661" t="s">
        <v>3657</v>
      </c>
      <c r="B366" s="665" t="s">
        <v>186</v>
      </c>
      <c r="C366" s="1111" t="s">
        <v>8885</v>
      </c>
      <c r="D366" s="1112"/>
      <c r="E366" s="12"/>
      <c r="F366" s="48"/>
      <c r="G366" s="48" t="s">
        <v>3585</v>
      </c>
      <c r="H366" s="28" t="s">
        <v>3487</v>
      </c>
      <c r="I366" s="28" t="s">
        <v>490</v>
      </c>
      <c r="J366" s="42"/>
      <c r="K366" s="647" t="s">
        <v>11180</v>
      </c>
      <c r="L366" s="171"/>
    </row>
    <row r="367" spans="1:12" s="14" customFormat="1" ht="33" customHeight="1" x14ac:dyDescent="0.2">
      <c r="A367" s="661" t="s">
        <v>4047</v>
      </c>
      <c r="B367" s="662" t="s">
        <v>186</v>
      </c>
      <c r="C367" s="1083" t="s">
        <v>8886</v>
      </c>
      <c r="D367" s="1084"/>
      <c r="E367" s="222"/>
      <c r="F367" s="142"/>
      <c r="G367" s="48" t="s">
        <v>3585</v>
      </c>
      <c r="H367" s="284" t="s">
        <v>3497</v>
      </c>
      <c r="I367" s="28" t="s">
        <v>490</v>
      </c>
      <c r="J367" s="149"/>
      <c r="K367" s="647" t="s">
        <v>11180</v>
      </c>
      <c r="L367" s="171"/>
    </row>
    <row r="368" spans="1:12" s="14" customFormat="1" ht="22.5" x14ac:dyDescent="0.2">
      <c r="A368" s="661" t="s">
        <v>4067</v>
      </c>
      <c r="B368" s="662" t="s">
        <v>186</v>
      </c>
      <c r="C368" s="1111" t="s">
        <v>8887</v>
      </c>
      <c r="D368" s="1112"/>
      <c r="E368" s="12"/>
      <c r="F368" s="48"/>
      <c r="G368" s="48" t="s">
        <v>3585</v>
      </c>
      <c r="H368" s="28" t="s">
        <v>3485</v>
      </c>
      <c r="I368" s="284" t="s">
        <v>490</v>
      </c>
      <c r="J368" s="149"/>
      <c r="K368" s="647" t="s">
        <v>11180</v>
      </c>
      <c r="L368" s="171"/>
    </row>
    <row r="369" spans="1:12" s="14" customFormat="1" ht="22.5" x14ac:dyDescent="0.2">
      <c r="A369" s="661" t="s">
        <v>4068</v>
      </c>
      <c r="B369" s="662" t="s">
        <v>186</v>
      </c>
      <c r="C369" s="1083" t="s">
        <v>8888</v>
      </c>
      <c r="D369" s="1084"/>
      <c r="E369" s="222"/>
      <c r="F369" s="142"/>
      <c r="G369" s="142" t="s">
        <v>3585</v>
      </c>
      <c r="H369" s="284" t="s">
        <v>3490</v>
      </c>
      <c r="I369" s="284" t="s">
        <v>490</v>
      </c>
      <c r="J369" s="149"/>
      <c r="K369" s="647" t="s">
        <v>11180</v>
      </c>
      <c r="L369" s="241"/>
    </row>
    <row r="370" spans="1:12" s="14" customFormat="1" ht="38.25" customHeight="1" x14ac:dyDescent="0.2">
      <c r="A370" s="10" t="s">
        <v>4048</v>
      </c>
      <c r="B370" s="49" t="s">
        <v>3448</v>
      </c>
      <c r="C370" s="1077" t="s">
        <v>8889</v>
      </c>
      <c r="D370" s="1078"/>
      <c r="E370" s="18"/>
      <c r="F370" s="380" t="s">
        <v>4302</v>
      </c>
      <c r="G370" s="49" t="s">
        <v>4081</v>
      </c>
      <c r="H370" s="320" t="s">
        <v>3860</v>
      </c>
      <c r="I370" s="320" t="s">
        <v>3859</v>
      </c>
      <c r="J370" s="42"/>
      <c r="K370" s="646" t="s">
        <v>11166</v>
      </c>
      <c r="L370" s="975" t="s">
        <v>14046</v>
      </c>
    </row>
    <row r="371" spans="1:12" s="14" customFormat="1" ht="22.5" x14ac:dyDescent="0.2">
      <c r="A371" s="10" t="s">
        <v>3629</v>
      </c>
      <c r="B371" s="665" t="s">
        <v>3658</v>
      </c>
      <c r="C371" s="1111" t="s">
        <v>8890</v>
      </c>
      <c r="D371" s="1112"/>
      <c r="E371" s="12"/>
      <c r="F371" s="169"/>
      <c r="G371" s="48" t="s">
        <v>3585</v>
      </c>
      <c r="H371" s="28" t="s">
        <v>3481</v>
      </c>
      <c r="I371" s="28" t="s">
        <v>490</v>
      </c>
      <c r="J371" s="42"/>
      <c r="K371" s="646" t="s">
        <v>11166</v>
      </c>
      <c r="L371" s="988"/>
    </row>
    <row r="372" spans="1:12" s="14" customFormat="1" ht="22.5" x14ac:dyDescent="0.2">
      <c r="A372" s="10" t="s">
        <v>4049</v>
      </c>
      <c r="B372" s="665" t="s">
        <v>3659</v>
      </c>
      <c r="C372" s="1083" t="s">
        <v>8891</v>
      </c>
      <c r="D372" s="1084"/>
      <c r="E372" s="222"/>
      <c r="F372" s="169"/>
      <c r="G372" s="48" t="s">
        <v>3585</v>
      </c>
      <c r="H372" s="287" t="s">
        <v>3498</v>
      </c>
      <c r="I372" s="28" t="s">
        <v>490</v>
      </c>
      <c r="J372" s="42"/>
      <c r="K372" s="646" t="s">
        <v>11166</v>
      </c>
      <c r="L372" s="988"/>
    </row>
    <row r="373" spans="1:12" s="14" customFormat="1" ht="22.5" x14ac:dyDescent="0.2">
      <c r="A373" s="10" t="s">
        <v>4050</v>
      </c>
      <c r="B373" s="665" t="s">
        <v>3658</v>
      </c>
      <c r="C373" s="1111" t="s">
        <v>8892</v>
      </c>
      <c r="D373" s="1112"/>
      <c r="E373" s="12"/>
      <c r="F373" s="169"/>
      <c r="G373" s="48" t="s">
        <v>3585</v>
      </c>
      <c r="H373" s="28" t="s">
        <v>3493</v>
      </c>
      <c r="I373" s="28" t="s">
        <v>490</v>
      </c>
      <c r="J373" s="42"/>
      <c r="K373" s="646" t="s">
        <v>11166</v>
      </c>
      <c r="L373" s="976"/>
    </row>
    <row r="374" spans="1:12" s="14" customFormat="1" ht="24.75" customHeight="1" x14ac:dyDescent="0.2">
      <c r="A374" s="10" t="s">
        <v>2104</v>
      </c>
      <c r="B374" s="19" t="s">
        <v>2605</v>
      </c>
      <c r="C374" s="1090" t="s">
        <v>8893</v>
      </c>
      <c r="D374" s="1091"/>
      <c r="E374" s="18"/>
      <c r="F374" s="380" t="s">
        <v>5711</v>
      </c>
      <c r="G374" s="49" t="s">
        <v>2368</v>
      </c>
      <c r="H374" s="320" t="s">
        <v>3652</v>
      </c>
      <c r="I374" s="320" t="s">
        <v>3700</v>
      </c>
      <c r="J374" s="42"/>
      <c r="K374" s="961" t="s">
        <v>11180</v>
      </c>
      <c r="L374" s="975" t="s">
        <v>12530</v>
      </c>
    </row>
    <row r="375" spans="1:12" s="14" customFormat="1" ht="21.75" customHeight="1" x14ac:dyDescent="0.2">
      <c r="A375" s="1087" t="s">
        <v>4051</v>
      </c>
      <c r="B375" s="984" t="s">
        <v>2606</v>
      </c>
      <c r="C375" s="1081"/>
      <c r="D375" s="1114"/>
      <c r="E375" s="18"/>
      <c r="F375" s="49"/>
      <c r="G375" s="49" t="s">
        <v>2368</v>
      </c>
      <c r="H375" s="320" t="s">
        <v>3364</v>
      </c>
      <c r="I375" s="320">
        <v>2010</v>
      </c>
      <c r="J375" s="42"/>
      <c r="K375" s="963"/>
      <c r="L375" s="988"/>
    </row>
    <row r="376" spans="1:12" s="14" customFormat="1" ht="21.75" customHeight="1" x14ac:dyDescent="0.2">
      <c r="A376" s="1088"/>
      <c r="B376" s="986"/>
      <c r="C376" s="1122"/>
      <c r="D376" s="1123"/>
      <c r="E376" s="1141" t="s">
        <v>3654</v>
      </c>
      <c r="F376" s="1142"/>
      <c r="G376" s="49" t="s">
        <v>2368</v>
      </c>
      <c r="H376" s="320" t="s">
        <v>3468</v>
      </c>
      <c r="I376" s="320">
        <v>2010</v>
      </c>
      <c r="J376" s="42"/>
      <c r="K376" s="962"/>
      <c r="L376" s="976"/>
    </row>
    <row r="377" spans="1:12" s="21" customFormat="1" ht="45" x14ac:dyDescent="0.2">
      <c r="A377" s="10" t="s">
        <v>4052</v>
      </c>
      <c r="B377" s="19" t="s">
        <v>2605</v>
      </c>
      <c r="C377" s="1077" t="s">
        <v>8894</v>
      </c>
      <c r="D377" s="1078"/>
      <c r="E377" s="97"/>
      <c r="F377" s="642" t="s">
        <v>4164</v>
      </c>
      <c r="G377" s="19" t="s">
        <v>2368</v>
      </c>
      <c r="H377" s="26" t="s">
        <v>3653</v>
      </c>
      <c r="I377" s="26" t="s">
        <v>3700</v>
      </c>
      <c r="J377" s="50"/>
      <c r="K377" s="19" t="s">
        <v>3854</v>
      </c>
      <c r="L377" s="19" t="s">
        <v>3854</v>
      </c>
    </row>
    <row r="378" spans="1:12" s="14" customFormat="1" ht="33.75" x14ac:dyDescent="0.2">
      <c r="A378" s="10" t="s">
        <v>2105</v>
      </c>
      <c r="B378" s="49" t="s">
        <v>2602</v>
      </c>
      <c r="C378" s="1077" t="s">
        <v>11000</v>
      </c>
      <c r="D378" s="1078"/>
      <c r="E378" s="18"/>
      <c r="F378" s="49"/>
      <c r="G378" s="49" t="s">
        <v>2369</v>
      </c>
      <c r="H378" s="320" t="s">
        <v>10998</v>
      </c>
      <c r="I378" s="320">
        <v>2005</v>
      </c>
      <c r="J378" s="42"/>
      <c r="K378" s="19" t="s">
        <v>197</v>
      </c>
      <c r="L378" s="49"/>
    </row>
    <row r="379" spans="1:12" s="74" customFormat="1" ht="60.75" customHeight="1" x14ac:dyDescent="0.2">
      <c r="A379" s="19" t="s">
        <v>2106</v>
      </c>
      <c r="B379" s="19" t="s">
        <v>2602</v>
      </c>
      <c r="C379" s="1077" t="s">
        <v>5742</v>
      </c>
      <c r="D379" s="1078"/>
      <c r="E379" s="97"/>
      <c r="F379" s="19"/>
      <c r="G379" s="19"/>
      <c r="H379" s="26" t="s">
        <v>3427</v>
      </c>
      <c r="I379" s="26">
        <v>2008</v>
      </c>
      <c r="J379" s="50"/>
      <c r="K379" s="210" t="s">
        <v>508</v>
      </c>
      <c r="L379" s="210" t="s">
        <v>508</v>
      </c>
    </row>
    <row r="380" spans="1:12" s="14" customFormat="1" ht="22.5" x14ac:dyDescent="0.2">
      <c r="A380" s="10" t="s">
        <v>2107</v>
      </c>
      <c r="B380" s="49" t="s">
        <v>310</v>
      </c>
      <c r="C380" s="1077" t="s">
        <v>11284</v>
      </c>
      <c r="D380" s="1078"/>
      <c r="E380" s="18"/>
      <c r="F380" s="49"/>
      <c r="G380" s="49"/>
      <c r="H380" s="320"/>
      <c r="I380" s="320">
        <v>2009</v>
      </c>
      <c r="J380" s="42"/>
      <c r="K380" s="19"/>
      <c r="L380" s="49"/>
    </row>
    <row r="381" spans="1:12" s="21" customFormat="1" ht="36.75" customHeight="1" x14ac:dyDescent="0.2">
      <c r="A381" s="19" t="s">
        <v>2108</v>
      </c>
      <c r="B381" s="19" t="s">
        <v>8449</v>
      </c>
      <c r="C381" s="1077" t="s">
        <v>8450</v>
      </c>
      <c r="D381" s="1078"/>
      <c r="E381" s="97"/>
      <c r="F381" s="19" t="s">
        <v>8671</v>
      </c>
      <c r="G381" s="19"/>
      <c r="H381" s="26" t="s">
        <v>3426</v>
      </c>
      <c r="I381" s="26">
        <v>2009</v>
      </c>
      <c r="J381" s="50"/>
      <c r="K381" s="19"/>
      <c r="L381" s="19"/>
    </row>
    <row r="382" spans="1:12" s="21" customFormat="1" ht="41.25" customHeight="1" x14ac:dyDescent="0.2">
      <c r="A382" s="19" t="s">
        <v>2109</v>
      </c>
      <c r="B382" s="19" t="s">
        <v>11197</v>
      </c>
      <c r="C382" s="1077" t="s">
        <v>8450</v>
      </c>
      <c r="D382" s="1078"/>
      <c r="E382" s="97"/>
      <c r="F382" s="19" t="s">
        <v>11198</v>
      </c>
      <c r="G382" s="19"/>
      <c r="H382" s="26" t="s">
        <v>11149</v>
      </c>
      <c r="I382" s="26">
        <v>2009</v>
      </c>
      <c r="J382" s="50"/>
      <c r="K382" s="635" t="s">
        <v>11166</v>
      </c>
      <c r="L382" s="728" t="s">
        <v>14046</v>
      </c>
    </row>
    <row r="383" spans="1:12" s="14" customFormat="1" ht="22.5" x14ac:dyDescent="0.2">
      <c r="A383" s="10" t="s">
        <v>2110</v>
      </c>
      <c r="B383" s="48" t="s">
        <v>2604</v>
      </c>
      <c r="C383" s="1077" t="s">
        <v>11276</v>
      </c>
      <c r="D383" s="1078"/>
      <c r="E383" s="18"/>
      <c r="F383" s="49"/>
      <c r="G383" s="49"/>
      <c r="H383" s="320"/>
      <c r="I383" s="320">
        <v>2010</v>
      </c>
      <c r="J383" s="42"/>
      <c r="K383" s="19" t="s">
        <v>325</v>
      </c>
      <c r="L383" s="49"/>
    </row>
    <row r="384" spans="1:12" s="74" customFormat="1" ht="20.25" customHeight="1" x14ac:dyDescent="0.2">
      <c r="A384" s="20" t="s">
        <v>2111</v>
      </c>
      <c r="B384" s="20" t="s">
        <v>2603</v>
      </c>
      <c r="C384" s="1077" t="s">
        <v>11301</v>
      </c>
      <c r="D384" s="1078"/>
      <c r="E384" s="97"/>
      <c r="F384" s="19"/>
      <c r="G384" s="19"/>
      <c r="H384" s="26"/>
      <c r="I384" s="26">
        <v>2010</v>
      </c>
      <c r="J384" s="50"/>
      <c r="K384" s="19"/>
      <c r="L384" s="19"/>
    </row>
    <row r="385" spans="1:12" s="14" customFormat="1" ht="36" customHeight="1" x14ac:dyDescent="0.2">
      <c r="A385" s="10" t="s">
        <v>2112</v>
      </c>
      <c r="B385" s="48" t="s">
        <v>3337</v>
      </c>
      <c r="C385" s="1077" t="s">
        <v>11339</v>
      </c>
      <c r="D385" s="1078"/>
      <c r="E385" s="18"/>
      <c r="F385" s="17"/>
      <c r="G385" s="49" t="s">
        <v>2752</v>
      </c>
      <c r="H385" s="320" t="s">
        <v>3336</v>
      </c>
      <c r="I385" s="320">
        <v>2010</v>
      </c>
      <c r="J385" s="86"/>
      <c r="K385" s="8" t="s">
        <v>11180</v>
      </c>
      <c r="L385" s="8" t="s">
        <v>12530</v>
      </c>
    </row>
    <row r="386" spans="1:12" s="21" customFormat="1" ht="36" customHeight="1" x14ac:dyDescent="0.2">
      <c r="A386" s="10" t="s">
        <v>2113</v>
      </c>
      <c r="B386" s="20" t="s">
        <v>3258</v>
      </c>
      <c r="C386" s="1077" t="s">
        <v>11340</v>
      </c>
      <c r="D386" s="1078"/>
      <c r="E386" s="97"/>
      <c r="F386" s="232"/>
      <c r="G386" s="232"/>
      <c r="H386" s="349"/>
      <c r="I386" s="26">
        <v>2010</v>
      </c>
      <c r="J386" s="233"/>
      <c r="K386" s="8" t="s">
        <v>11180</v>
      </c>
      <c r="L386" s="8" t="s">
        <v>12530</v>
      </c>
    </row>
    <row r="387" spans="1:12" s="21" customFormat="1" ht="22.5" x14ac:dyDescent="0.2">
      <c r="A387" s="10" t="s">
        <v>2119</v>
      </c>
      <c r="B387" s="20" t="s">
        <v>3339</v>
      </c>
      <c r="C387" s="1077" t="s">
        <v>11341</v>
      </c>
      <c r="D387" s="1078"/>
      <c r="E387" s="97"/>
      <c r="F387" s="19"/>
      <c r="G387" s="19" t="s">
        <v>2342</v>
      </c>
      <c r="H387" s="26" t="s">
        <v>3338</v>
      </c>
      <c r="I387" s="26">
        <v>2010</v>
      </c>
      <c r="J387" s="50"/>
      <c r="K387" s="19" t="s">
        <v>3335</v>
      </c>
      <c r="L387" s="19"/>
    </row>
    <row r="388" spans="1:12" s="21" customFormat="1" ht="32.25" customHeight="1" x14ac:dyDescent="0.2">
      <c r="A388" s="20" t="s">
        <v>2121</v>
      </c>
      <c r="B388" s="20" t="s">
        <v>8451</v>
      </c>
      <c r="C388" s="1077" t="s">
        <v>4406</v>
      </c>
      <c r="D388" s="1078"/>
      <c r="E388" s="97"/>
      <c r="F388" s="19"/>
      <c r="G388" s="19"/>
      <c r="H388" s="26" t="s">
        <v>3425</v>
      </c>
      <c r="I388" s="26">
        <v>2010</v>
      </c>
      <c r="J388" s="50"/>
      <c r="K388" s="19" t="s">
        <v>6254</v>
      </c>
      <c r="L388" s="19" t="s">
        <v>6254</v>
      </c>
    </row>
    <row r="389" spans="1:12" s="21" customFormat="1" ht="41.25" customHeight="1" x14ac:dyDescent="0.2">
      <c r="A389" s="10" t="s">
        <v>2122</v>
      </c>
      <c r="B389" s="20" t="s">
        <v>186</v>
      </c>
      <c r="C389" s="1077" t="s">
        <v>8895</v>
      </c>
      <c r="D389" s="1078"/>
      <c r="E389" s="97"/>
      <c r="F389" s="19"/>
      <c r="G389" s="19" t="s">
        <v>3423</v>
      </c>
      <c r="H389" s="26" t="s">
        <v>3424</v>
      </c>
      <c r="I389" s="26">
        <v>2010</v>
      </c>
      <c r="J389" s="50"/>
      <c r="K389" s="8" t="s">
        <v>11180</v>
      </c>
      <c r="L389" s="8" t="s">
        <v>12530</v>
      </c>
    </row>
    <row r="390" spans="1:12" s="14" customFormat="1" ht="27.75" customHeight="1" x14ac:dyDescent="0.2">
      <c r="A390" s="640" t="s">
        <v>2123</v>
      </c>
      <c r="B390" s="645" t="s">
        <v>7990</v>
      </c>
      <c r="C390" s="1083" t="s">
        <v>8896</v>
      </c>
      <c r="D390" s="1084"/>
      <c r="E390" s="121"/>
      <c r="F390" s="636" t="s">
        <v>5794</v>
      </c>
      <c r="G390" s="49"/>
      <c r="H390" s="320"/>
      <c r="I390" s="320">
        <v>2011</v>
      </c>
      <c r="J390" s="674"/>
      <c r="K390" s="646" t="s">
        <v>11162</v>
      </c>
      <c r="L390" s="8" t="s">
        <v>12530</v>
      </c>
    </row>
    <row r="391" spans="1:12" s="14" customFormat="1" ht="21.75" customHeight="1" x14ac:dyDescent="0.2">
      <c r="A391" s="20" t="s">
        <v>4053</v>
      </c>
      <c r="B391" s="48" t="s">
        <v>3257</v>
      </c>
      <c r="C391" s="1171"/>
      <c r="D391" s="1172"/>
      <c r="E391" s="434"/>
      <c r="F391" s="636"/>
      <c r="G391" s="636" t="s">
        <v>3255</v>
      </c>
      <c r="H391" s="435" t="s">
        <v>3256</v>
      </c>
      <c r="I391" s="1186" t="s">
        <v>3250</v>
      </c>
      <c r="J391" s="436"/>
      <c r="K391" s="646" t="s">
        <v>11162</v>
      </c>
      <c r="L391" s="8" t="s">
        <v>12530</v>
      </c>
    </row>
    <row r="392" spans="1:12" s="14" customFormat="1" ht="21.75" customHeight="1" x14ac:dyDescent="0.2">
      <c r="A392" s="20" t="s">
        <v>4054</v>
      </c>
      <c r="B392" s="48" t="s">
        <v>3258</v>
      </c>
      <c r="C392" s="1171"/>
      <c r="D392" s="1172"/>
      <c r="E392" s="437"/>
      <c r="F392" s="636"/>
      <c r="G392" s="636" t="s">
        <v>3270</v>
      </c>
      <c r="H392" s="438">
        <v>7.5</v>
      </c>
      <c r="I392" s="1187"/>
      <c r="J392" s="675"/>
      <c r="K392" s="646" t="s">
        <v>11162</v>
      </c>
      <c r="L392" s="8" t="s">
        <v>12530</v>
      </c>
    </row>
    <row r="393" spans="1:12" s="14" customFormat="1" ht="21.75" customHeight="1" x14ac:dyDescent="0.2">
      <c r="A393" s="20" t="s">
        <v>4055</v>
      </c>
      <c r="B393" s="48" t="s">
        <v>3251</v>
      </c>
      <c r="C393" s="1171"/>
      <c r="D393" s="1172"/>
      <c r="E393" s="437"/>
      <c r="F393" s="636"/>
      <c r="G393" s="636"/>
      <c r="H393" s="435" t="s">
        <v>3259</v>
      </c>
      <c r="I393" s="1187"/>
      <c r="J393" s="675"/>
      <c r="K393" s="646" t="s">
        <v>11162</v>
      </c>
      <c r="L393" s="8" t="s">
        <v>12530</v>
      </c>
    </row>
    <row r="394" spans="1:12" s="14" customFormat="1" ht="21.75" customHeight="1" x14ac:dyDescent="0.2">
      <c r="A394" s="20" t="s">
        <v>4056</v>
      </c>
      <c r="B394" s="48" t="s">
        <v>3252</v>
      </c>
      <c r="C394" s="1171"/>
      <c r="D394" s="1172"/>
      <c r="E394" s="437"/>
      <c r="F394" s="636"/>
      <c r="G394" s="636"/>
      <c r="H394" s="435" t="s">
        <v>3260</v>
      </c>
      <c r="I394" s="1187"/>
      <c r="J394" s="675"/>
      <c r="K394" s="646" t="s">
        <v>11162</v>
      </c>
      <c r="L394" s="8" t="s">
        <v>12530</v>
      </c>
    </row>
    <row r="395" spans="1:12" s="14" customFormat="1" ht="24" customHeight="1" x14ac:dyDescent="0.2">
      <c r="A395" s="20" t="s">
        <v>4057</v>
      </c>
      <c r="B395" s="48" t="s">
        <v>3262</v>
      </c>
      <c r="C395" s="1171"/>
      <c r="D395" s="1172"/>
      <c r="E395" s="975" t="s">
        <v>11208</v>
      </c>
      <c r="F395" s="975" t="s">
        <v>11253</v>
      </c>
      <c r="G395" s="636" t="s">
        <v>3263</v>
      </c>
      <c r="H395" s="435" t="s">
        <v>3261</v>
      </c>
      <c r="I395" s="1187"/>
      <c r="J395" s="675"/>
      <c r="K395" s="646" t="s">
        <v>11162</v>
      </c>
      <c r="L395" s="8" t="s">
        <v>12530</v>
      </c>
    </row>
    <row r="396" spans="1:12" s="14" customFormat="1" ht="17.25" customHeight="1" x14ac:dyDescent="0.2">
      <c r="A396" s="984" t="s">
        <v>4058</v>
      </c>
      <c r="B396" s="1006" t="s">
        <v>5789</v>
      </c>
      <c r="C396" s="1171"/>
      <c r="D396" s="1172"/>
      <c r="E396" s="988"/>
      <c r="F396" s="988"/>
      <c r="G396" s="48" t="s">
        <v>11366</v>
      </c>
      <c r="H396" s="435" t="s">
        <v>3265</v>
      </c>
      <c r="I396" s="1187"/>
      <c r="J396" s="675"/>
      <c r="K396" s="646" t="s">
        <v>11162</v>
      </c>
      <c r="L396" s="8" t="s">
        <v>12530</v>
      </c>
    </row>
    <row r="397" spans="1:12" s="14" customFormat="1" ht="18.75" customHeight="1" x14ac:dyDescent="0.2">
      <c r="A397" s="986"/>
      <c r="B397" s="1008"/>
      <c r="C397" s="1171"/>
      <c r="D397" s="1172"/>
      <c r="E397" s="976"/>
      <c r="F397" s="976"/>
      <c r="G397" s="48" t="s">
        <v>3264</v>
      </c>
      <c r="H397" s="439" t="s">
        <v>3266</v>
      </c>
      <c r="I397" s="1187"/>
      <c r="J397" s="675"/>
      <c r="K397" s="646" t="s">
        <v>11162</v>
      </c>
      <c r="L397" s="8" t="s">
        <v>12530</v>
      </c>
    </row>
    <row r="398" spans="1:12" s="14" customFormat="1" ht="27" customHeight="1" x14ac:dyDescent="0.2">
      <c r="A398" s="20" t="s">
        <v>4059</v>
      </c>
      <c r="B398" s="48" t="s">
        <v>3268</v>
      </c>
      <c r="C398" s="1171"/>
      <c r="D398" s="1172"/>
      <c r="E398" s="437"/>
      <c r="F398" s="636"/>
      <c r="G398" s="636"/>
      <c r="H398" s="435"/>
      <c r="I398" s="1187"/>
      <c r="J398" s="675"/>
      <c r="K398" s="646" t="s">
        <v>11162</v>
      </c>
      <c r="L398" s="8" t="s">
        <v>12530</v>
      </c>
    </row>
    <row r="399" spans="1:12" s="14" customFormat="1" ht="21.75" customHeight="1" x14ac:dyDescent="0.2">
      <c r="A399" s="20" t="s">
        <v>4060</v>
      </c>
      <c r="B399" s="48" t="s">
        <v>3269</v>
      </c>
      <c r="C399" s="1171"/>
      <c r="D399" s="1172"/>
      <c r="E399" s="437"/>
      <c r="F399" s="636"/>
      <c r="G399" s="636"/>
      <c r="H399" s="435"/>
      <c r="I399" s="1187"/>
      <c r="J399" s="675"/>
      <c r="K399" s="646" t="s">
        <v>11162</v>
      </c>
      <c r="L399" s="8" t="s">
        <v>12530</v>
      </c>
    </row>
    <row r="400" spans="1:12" s="14" customFormat="1" ht="51" customHeight="1" x14ac:dyDescent="0.2">
      <c r="A400" s="20" t="s">
        <v>4061</v>
      </c>
      <c r="B400" s="48" t="s">
        <v>3267</v>
      </c>
      <c r="C400" s="1171"/>
      <c r="D400" s="1172"/>
      <c r="E400" s="437"/>
      <c r="F400" s="636"/>
      <c r="G400" s="636" t="s">
        <v>11365</v>
      </c>
      <c r="H400" s="435"/>
      <c r="I400" s="1187"/>
      <c r="J400" s="675"/>
      <c r="K400" s="646" t="s">
        <v>11162</v>
      </c>
      <c r="L400" s="8" t="s">
        <v>12530</v>
      </c>
    </row>
    <row r="401" spans="1:12" s="14" customFormat="1" ht="21.75" customHeight="1" x14ac:dyDescent="0.2">
      <c r="A401" s="20" t="s">
        <v>4062</v>
      </c>
      <c r="B401" s="48" t="s">
        <v>3253</v>
      </c>
      <c r="C401" s="1171"/>
      <c r="D401" s="1172"/>
      <c r="E401" s="48" t="s">
        <v>3274</v>
      </c>
      <c r="F401" s="636"/>
      <c r="G401" s="636"/>
      <c r="H401" s="435" t="s">
        <v>3271</v>
      </c>
      <c r="I401" s="1187"/>
      <c r="J401" s="675"/>
      <c r="K401" s="646" t="s">
        <v>11162</v>
      </c>
      <c r="L401" s="8" t="s">
        <v>12530</v>
      </c>
    </row>
    <row r="402" spans="1:12" s="14" customFormat="1" ht="27.75" customHeight="1" x14ac:dyDescent="0.2">
      <c r="A402" s="20" t="s">
        <v>4063</v>
      </c>
      <c r="B402" s="48" t="s">
        <v>3254</v>
      </c>
      <c r="C402" s="1171"/>
      <c r="D402" s="1172"/>
      <c r="E402" s="48" t="s">
        <v>3274</v>
      </c>
      <c r="F402" s="636"/>
      <c r="G402" s="636"/>
      <c r="H402" s="435" t="s">
        <v>3272</v>
      </c>
      <c r="I402" s="1187"/>
      <c r="J402" s="675"/>
      <c r="K402" s="646" t="s">
        <v>11162</v>
      </c>
      <c r="L402" s="8" t="s">
        <v>12530</v>
      </c>
    </row>
    <row r="403" spans="1:12" s="14" customFormat="1" ht="24" customHeight="1" x14ac:dyDescent="0.2">
      <c r="A403" s="20" t="s">
        <v>4064</v>
      </c>
      <c r="B403" s="48" t="s">
        <v>3273</v>
      </c>
      <c r="C403" s="1085"/>
      <c r="D403" s="1086"/>
      <c r="E403" s="48" t="s">
        <v>3274</v>
      </c>
      <c r="F403" s="636"/>
      <c r="G403" s="636"/>
      <c r="H403" s="435"/>
      <c r="I403" s="1188"/>
      <c r="J403" s="675"/>
      <c r="K403" s="646" t="s">
        <v>11162</v>
      </c>
      <c r="L403" s="8" t="s">
        <v>12530</v>
      </c>
    </row>
    <row r="404" spans="1:12" s="14" customFormat="1" ht="33.75" x14ac:dyDescent="0.2">
      <c r="A404" s="10" t="s">
        <v>2124</v>
      </c>
      <c r="B404" s="49" t="s">
        <v>11342</v>
      </c>
      <c r="C404" s="1111" t="s">
        <v>11233</v>
      </c>
      <c r="D404" s="1112"/>
      <c r="E404" s="18"/>
      <c r="F404" s="49"/>
      <c r="G404" s="49" t="s">
        <v>2341</v>
      </c>
      <c r="H404" s="320" t="s">
        <v>2340</v>
      </c>
      <c r="I404" s="320">
        <v>2006</v>
      </c>
      <c r="J404" s="42"/>
      <c r="K404" s="97"/>
      <c r="L404" s="49" t="s">
        <v>198</v>
      </c>
    </row>
    <row r="405" spans="1:12" s="21" customFormat="1" ht="26.25" customHeight="1" x14ac:dyDescent="0.2">
      <c r="A405" s="10" t="s">
        <v>2125</v>
      </c>
      <c r="B405" s="19" t="s">
        <v>3874</v>
      </c>
      <c r="C405" s="1077" t="s">
        <v>9352</v>
      </c>
      <c r="D405" s="1078"/>
      <c r="E405" s="97"/>
      <c r="F405" s="19" t="s">
        <v>3909</v>
      </c>
      <c r="G405" s="19" t="s">
        <v>2338</v>
      </c>
      <c r="H405" s="26" t="s">
        <v>2339</v>
      </c>
      <c r="I405" s="26">
        <v>2006</v>
      </c>
      <c r="J405" s="50"/>
      <c r="K405" s="41" t="s">
        <v>3898</v>
      </c>
      <c r="L405" s="41" t="s">
        <v>3898</v>
      </c>
    </row>
    <row r="406" spans="1:12" s="74" customFormat="1" x14ac:dyDescent="0.2">
      <c r="A406" s="1087" t="s">
        <v>2126</v>
      </c>
      <c r="B406" s="20" t="s">
        <v>43</v>
      </c>
      <c r="C406" s="1077" t="s">
        <v>5963</v>
      </c>
      <c r="D406" s="1078"/>
      <c r="E406" s="97"/>
      <c r="F406" s="19"/>
      <c r="G406" s="19"/>
      <c r="H406" s="26"/>
      <c r="I406" s="26">
        <v>2010</v>
      </c>
      <c r="J406" s="50"/>
      <c r="K406" s="20"/>
      <c r="L406" s="20"/>
    </row>
    <row r="407" spans="1:12" s="74" customFormat="1" ht="22.5" x14ac:dyDescent="0.2">
      <c r="A407" s="1088"/>
      <c r="B407" s="99" t="s">
        <v>522</v>
      </c>
      <c r="C407" s="1077" t="s">
        <v>5963</v>
      </c>
      <c r="D407" s="1078"/>
      <c r="E407" s="100"/>
      <c r="F407" s="101"/>
      <c r="G407" s="101"/>
      <c r="H407" s="338"/>
      <c r="I407" s="338">
        <v>2011</v>
      </c>
      <c r="J407" s="102"/>
      <c r="K407" s="20"/>
      <c r="L407" s="20"/>
    </row>
    <row r="408" spans="1:12" s="62" customFormat="1" ht="33.75" customHeight="1" x14ac:dyDescent="0.2">
      <c r="A408" s="19" t="s">
        <v>2127</v>
      </c>
      <c r="B408" s="84" t="s">
        <v>2599</v>
      </c>
      <c r="C408" s="1173" t="s">
        <v>9351</v>
      </c>
      <c r="D408" s="1174"/>
      <c r="E408" s="642"/>
      <c r="F408" s="642"/>
      <c r="G408" s="642" t="s">
        <v>2600</v>
      </c>
      <c r="H408" s="26"/>
      <c r="I408" s="26"/>
      <c r="J408" s="43"/>
      <c r="K408" s="34" t="s">
        <v>5573</v>
      </c>
      <c r="L408" s="34" t="s">
        <v>5918</v>
      </c>
    </row>
    <row r="409" spans="1:12" s="60" customFormat="1" ht="45" customHeight="1" x14ac:dyDescent="0.2">
      <c r="A409" s="646" t="s">
        <v>2128</v>
      </c>
      <c r="B409" s="646" t="s">
        <v>5940</v>
      </c>
      <c r="C409" s="1077" t="s">
        <v>9350</v>
      </c>
      <c r="D409" s="1078"/>
      <c r="E409" s="157" t="s">
        <v>5902</v>
      </c>
      <c r="F409" s="642" t="s">
        <v>5854</v>
      </c>
      <c r="G409" s="642"/>
      <c r="H409" s="327" t="s">
        <v>5784</v>
      </c>
      <c r="I409" s="26" t="s">
        <v>532</v>
      </c>
      <c r="J409" s="43"/>
      <c r="K409" s="961" t="s">
        <v>515</v>
      </c>
      <c r="L409" s="961" t="s">
        <v>515</v>
      </c>
    </row>
    <row r="410" spans="1:12" ht="33.75" x14ac:dyDescent="0.2">
      <c r="A410" s="646" t="s">
        <v>4065</v>
      </c>
      <c r="B410" s="646" t="s">
        <v>5937</v>
      </c>
      <c r="C410" s="1077" t="s">
        <v>9350</v>
      </c>
      <c r="D410" s="1078"/>
      <c r="E410" s="642" t="s">
        <v>5931</v>
      </c>
      <c r="F410" s="642" t="s">
        <v>5854</v>
      </c>
      <c r="G410" s="642" t="s">
        <v>2418</v>
      </c>
      <c r="H410" s="327">
        <v>146</v>
      </c>
      <c r="I410" s="26">
        <v>1973</v>
      </c>
      <c r="J410" s="43"/>
      <c r="K410" s="963"/>
      <c r="L410" s="963"/>
    </row>
    <row r="411" spans="1:12" ht="33.75" x14ac:dyDescent="0.2">
      <c r="A411" s="646" t="s">
        <v>4066</v>
      </c>
      <c r="B411" s="646" t="s">
        <v>5938</v>
      </c>
      <c r="C411" s="1077" t="s">
        <v>9350</v>
      </c>
      <c r="D411" s="1078"/>
      <c r="E411" s="642" t="s">
        <v>5931</v>
      </c>
      <c r="F411" s="642" t="s">
        <v>5854</v>
      </c>
      <c r="G411" s="642" t="s">
        <v>2409</v>
      </c>
      <c r="H411" s="327">
        <v>117.7</v>
      </c>
      <c r="I411" s="26">
        <v>1973</v>
      </c>
      <c r="J411" s="43"/>
      <c r="K411" s="962"/>
      <c r="L411" s="962"/>
    </row>
    <row r="412" spans="1:12" ht="33.75" x14ac:dyDescent="0.2">
      <c r="A412" s="646" t="s">
        <v>5932</v>
      </c>
      <c r="B412" s="646" t="s">
        <v>5939</v>
      </c>
      <c r="C412" s="1077" t="s">
        <v>11243</v>
      </c>
      <c r="D412" s="1078"/>
      <c r="E412" s="642" t="s">
        <v>5931</v>
      </c>
      <c r="F412" s="642" t="s">
        <v>5854</v>
      </c>
      <c r="G412" s="642" t="s">
        <v>2409</v>
      </c>
      <c r="H412" s="327">
        <v>30.9</v>
      </c>
      <c r="I412" s="26" t="s">
        <v>532</v>
      </c>
      <c r="J412" s="43"/>
      <c r="K412" s="631"/>
      <c r="L412" s="631"/>
    </row>
    <row r="413" spans="1:12" ht="84.75" customHeight="1" x14ac:dyDescent="0.2">
      <c r="A413" s="646" t="s">
        <v>10477</v>
      </c>
      <c r="B413" s="646" t="s">
        <v>10480</v>
      </c>
      <c r="C413" s="1077" t="s">
        <v>11243</v>
      </c>
      <c r="D413" s="1078"/>
      <c r="E413" s="642"/>
      <c r="F413" s="642"/>
      <c r="G413" s="642" t="s">
        <v>2418</v>
      </c>
      <c r="H413" s="327">
        <v>10675.7</v>
      </c>
      <c r="I413" s="26" t="s">
        <v>532</v>
      </c>
      <c r="J413" s="43"/>
      <c r="K413" s="647" t="s">
        <v>10482</v>
      </c>
      <c r="L413" s="32" t="s">
        <v>515</v>
      </c>
    </row>
    <row r="414" spans="1:12" ht="84" customHeight="1" x14ac:dyDescent="0.2">
      <c r="A414" s="646" t="s">
        <v>10478</v>
      </c>
      <c r="B414" s="646" t="s">
        <v>10480</v>
      </c>
      <c r="C414" s="1077" t="s">
        <v>11243</v>
      </c>
      <c r="D414" s="1078"/>
      <c r="E414" s="642"/>
      <c r="F414" s="642"/>
      <c r="G414" s="642" t="s">
        <v>2418</v>
      </c>
      <c r="H414" s="327">
        <v>10675.7</v>
      </c>
      <c r="I414" s="26" t="s">
        <v>532</v>
      </c>
      <c r="J414" s="43"/>
      <c r="K414" s="647" t="s">
        <v>10483</v>
      </c>
      <c r="L414" s="32" t="s">
        <v>515</v>
      </c>
    </row>
    <row r="415" spans="1:12" ht="84" customHeight="1" x14ac:dyDescent="0.2">
      <c r="A415" s="646" t="s">
        <v>10479</v>
      </c>
      <c r="B415" s="646" t="s">
        <v>10481</v>
      </c>
      <c r="C415" s="1077" t="s">
        <v>11243</v>
      </c>
      <c r="D415" s="1078"/>
      <c r="E415" s="642"/>
      <c r="F415" s="642"/>
      <c r="G415" s="642" t="s">
        <v>2418</v>
      </c>
      <c r="H415" s="327">
        <v>57.4</v>
      </c>
      <c r="I415" s="26" t="s">
        <v>532</v>
      </c>
      <c r="J415" s="43"/>
      <c r="K415" s="647" t="s">
        <v>10482</v>
      </c>
      <c r="L415" s="32" t="s">
        <v>515</v>
      </c>
    </row>
    <row r="416" spans="1:12" ht="84" customHeight="1" x14ac:dyDescent="0.2">
      <c r="A416" s="646" t="s">
        <v>10484</v>
      </c>
      <c r="B416" s="646" t="s">
        <v>10481</v>
      </c>
      <c r="C416" s="1077" t="s">
        <v>11243</v>
      </c>
      <c r="D416" s="1078"/>
      <c r="E416" s="642"/>
      <c r="F416" s="642"/>
      <c r="G416" s="642" t="s">
        <v>2418</v>
      </c>
      <c r="H416" s="327">
        <v>57.4</v>
      </c>
      <c r="I416" s="26" t="s">
        <v>532</v>
      </c>
      <c r="J416" s="43"/>
      <c r="K416" s="647" t="s">
        <v>10483</v>
      </c>
      <c r="L416" s="32" t="s">
        <v>515</v>
      </c>
    </row>
    <row r="417" spans="1:12" s="60" customFormat="1" ht="39" customHeight="1" x14ac:dyDescent="0.2">
      <c r="A417" s="29" t="s">
        <v>2129</v>
      </c>
      <c r="B417" s="29" t="s">
        <v>3625</v>
      </c>
      <c r="C417" s="1077" t="s">
        <v>11244</v>
      </c>
      <c r="D417" s="1078"/>
      <c r="E417" s="12"/>
      <c r="F417" s="12" t="s">
        <v>5709</v>
      </c>
      <c r="G417" s="12" t="s">
        <v>3912</v>
      </c>
      <c r="H417" s="327" t="s">
        <v>3914</v>
      </c>
      <c r="I417" s="339">
        <v>1996</v>
      </c>
      <c r="J417" s="50"/>
      <c r="K417" s="8" t="s">
        <v>11180</v>
      </c>
      <c r="L417" s="8" t="s">
        <v>12530</v>
      </c>
    </row>
    <row r="418" spans="1:12" s="60" customFormat="1" ht="36.75" customHeight="1" x14ac:dyDescent="0.2">
      <c r="A418" s="29" t="s">
        <v>3298</v>
      </c>
      <c r="B418" s="29" t="s">
        <v>3625</v>
      </c>
      <c r="C418" s="1077" t="s">
        <v>11244</v>
      </c>
      <c r="D418" s="1078"/>
      <c r="E418" s="12"/>
      <c r="F418" s="12" t="s">
        <v>5710</v>
      </c>
      <c r="G418" s="12" t="s">
        <v>3913</v>
      </c>
      <c r="H418" s="327" t="s">
        <v>3915</v>
      </c>
      <c r="I418" s="339">
        <v>1996</v>
      </c>
      <c r="J418" s="50"/>
      <c r="K418" s="8" t="s">
        <v>11180</v>
      </c>
      <c r="L418" s="8" t="s">
        <v>12530</v>
      </c>
    </row>
    <row r="419" spans="1:12" s="60" customFormat="1" ht="61.5" customHeight="1" x14ac:dyDescent="0.2">
      <c r="A419" s="29" t="s">
        <v>2384</v>
      </c>
      <c r="B419" s="29" t="s">
        <v>2598</v>
      </c>
      <c r="C419" s="1077" t="s">
        <v>9353</v>
      </c>
      <c r="D419" s="1078"/>
      <c r="E419" s="12"/>
      <c r="F419" s="12"/>
      <c r="G419" s="12" t="s">
        <v>11001</v>
      </c>
      <c r="H419" s="312"/>
      <c r="I419" s="339">
        <v>1978</v>
      </c>
      <c r="J419" s="50"/>
      <c r="K419" s="34" t="s">
        <v>5447</v>
      </c>
      <c r="L419" s="34" t="s">
        <v>5447</v>
      </c>
    </row>
    <row r="420" spans="1:12" s="87" customFormat="1" ht="36.75" customHeight="1" x14ac:dyDescent="0.2">
      <c r="A420" s="29" t="s">
        <v>4116</v>
      </c>
      <c r="B420" s="29" t="s">
        <v>2598</v>
      </c>
      <c r="C420" s="1169" t="s">
        <v>9354</v>
      </c>
      <c r="D420" s="1170"/>
      <c r="E420" s="1094" t="s">
        <v>4117</v>
      </c>
      <c r="F420" s="1096"/>
      <c r="G420" s="12" t="s">
        <v>4136</v>
      </c>
      <c r="H420" s="312" t="s">
        <v>4139</v>
      </c>
      <c r="I420" s="339">
        <v>2012</v>
      </c>
      <c r="J420" s="50"/>
      <c r="K420" s="1100" t="s">
        <v>4118</v>
      </c>
      <c r="L420" s="29"/>
    </row>
    <row r="421" spans="1:12" s="87" customFormat="1" ht="35.25" customHeight="1" x14ac:dyDescent="0.2">
      <c r="A421" s="29" t="s">
        <v>4119</v>
      </c>
      <c r="B421" s="29" t="s">
        <v>2598</v>
      </c>
      <c r="C421" s="1169" t="s">
        <v>9355</v>
      </c>
      <c r="D421" s="1170"/>
      <c r="E421" s="1094" t="s">
        <v>4117</v>
      </c>
      <c r="F421" s="1096"/>
      <c r="G421" s="114" t="s">
        <v>4137</v>
      </c>
      <c r="H421" s="350" t="s">
        <v>4142</v>
      </c>
      <c r="I421" s="339">
        <v>2012</v>
      </c>
      <c r="J421" s="50"/>
      <c r="K421" s="1179"/>
      <c r="L421" s="29"/>
    </row>
    <row r="422" spans="1:12" s="87" customFormat="1" ht="35.25" customHeight="1" x14ac:dyDescent="0.2">
      <c r="A422" s="29" t="s">
        <v>4120</v>
      </c>
      <c r="B422" s="29" t="s">
        <v>2598</v>
      </c>
      <c r="C422" s="1169" t="s">
        <v>9356</v>
      </c>
      <c r="D422" s="1170"/>
      <c r="E422" s="1094" t="s">
        <v>4117</v>
      </c>
      <c r="F422" s="1096"/>
      <c r="G422" s="114" t="s">
        <v>4137</v>
      </c>
      <c r="H422" s="350" t="s">
        <v>4148</v>
      </c>
      <c r="I422" s="339">
        <v>2012</v>
      </c>
      <c r="J422" s="50"/>
      <c r="K422" s="1179"/>
      <c r="L422" s="29"/>
    </row>
    <row r="423" spans="1:12" s="87" customFormat="1" ht="39.75" customHeight="1" x14ac:dyDescent="0.2">
      <c r="A423" s="29" t="s">
        <v>4121</v>
      </c>
      <c r="B423" s="29" t="s">
        <v>2598</v>
      </c>
      <c r="C423" s="1169" t="s">
        <v>9357</v>
      </c>
      <c r="D423" s="1170"/>
      <c r="E423" s="1094" t="s">
        <v>4117</v>
      </c>
      <c r="F423" s="1096"/>
      <c r="G423" s="114" t="s">
        <v>4133</v>
      </c>
      <c r="H423" s="350" t="s">
        <v>4143</v>
      </c>
      <c r="I423" s="339">
        <v>2012</v>
      </c>
      <c r="J423" s="50"/>
      <c r="K423" s="1101"/>
      <c r="L423" s="29"/>
    </row>
    <row r="424" spans="1:12" s="87" customFormat="1" ht="38.25" customHeight="1" x14ac:dyDescent="0.2">
      <c r="A424" s="29" t="s">
        <v>8701</v>
      </c>
      <c r="B424" s="29" t="s">
        <v>2598</v>
      </c>
      <c r="C424" s="1077" t="s">
        <v>9358</v>
      </c>
      <c r="D424" s="1078"/>
      <c r="E424" s="653"/>
      <c r="F424" s="668"/>
      <c r="G424" s="12" t="s">
        <v>8713</v>
      </c>
      <c r="H424" s="350"/>
      <c r="I424" s="339">
        <v>1978</v>
      </c>
      <c r="J424" s="50"/>
      <c r="K424" s="34" t="s">
        <v>5764</v>
      </c>
      <c r="L424" s="34" t="s">
        <v>5764</v>
      </c>
    </row>
    <row r="425" spans="1:12" s="60" customFormat="1" ht="24.75" customHeight="1" x14ac:dyDescent="0.2">
      <c r="A425" s="29" t="s">
        <v>2385</v>
      </c>
      <c r="B425" s="29" t="s">
        <v>2598</v>
      </c>
      <c r="C425" s="1077" t="s">
        <v>9359</v>
      </c>
      <c r="D425" s="1078"/>
      <c r="E425" s="12"/>
      <c r="F425" s="12"/>
      <c r="G425" s="12"/>
      <c r="H425" s="312"/>
      <c r="I425" s="339">
        <v>1982</v>
      </c>
      <c r="J425" s="50"/>
      <c r="K425" s="29" t="s">
        <v>34</v>
      </c>
      <c r="L425" s="29" t="s">
        <v>34</v>
      </c>
    </row>
    <row r="426" spans="1:12" s="60" customFormat="1" ht="27.75" customHeight="1" x14ac:dyDescent="0.2">
      <c r="A426" s="29" t="s">
        <v>2386</v>
      </c>
      <c r="B426" s="29" t="s">
        <v>2598</v>
      </c>
      <c r="C426" s="1077" t="s">
        <v>9360</v>
      </c>
      <c r="D426" s="1078"/>
      <c r="E426" s="12"/>
      <c r="F426" s="12"/>
      <c r="G426" s="12"/>
      <c r="H426" s="312"/>
      <c r="I426" s="339">
        <v>1979</v>
      </c>
      <c r="J426" s="50"/>
      <c r="K426" s="29" t="s">
        <v>34</v>
      </c>
      <c r="L426" s="29" t="s">
        <v>34</v>
      </c>
    </row>
    <row r="427" spans="1:12" s="60" customFormat="1" ht="45.75" customHeight="1" x14ac:dyDescent="0.2">
      <c r="A427" s="29" t="s">
        <v>4122</v>
      </c>
      <c r="B427" s="29" t="s">
        <v>4123</v>
      </c>
      <c r="C427" s="1077" t="s">
        <v>9361</v>
      </c>
      <c r="D427" s="1078"/>
      <c r="E427" s="1094" t="s">
        <v>4117</v>
      </c>
      <c r="F427" s="1096"/>
      <c r="G427" s="12" t="s">
        <v>4136</v>
      </c>
      <c r="H427" s="312" t="s">
        <v>4144</v>
      </c>
      <c r="I427" s="339">
        <v>2012</v>
      </c>
      <c r="J427" s="50"/>
      <c r="K427" s="29" t="s">
        <v>4118</v>
      </c>
      <c r="L427" s="29"/>
    </row>
    <row r="428" spans="1:12" s="60" customFormat="1" ht="24" customHeight="1" x14ac:dyDescent="0.2">
      <c r="A428" s="29" t="s">
        <v>2387</v>
      </c>
      <c r="B428" s="29" t="s">
        <v>2598</v>
      </c>
      <c r="C428" s="1077" t="s">
        <v>9359</v>
      </c>
      <c r="D428" s="1078"/>
      <c r="E428" s="12"/>
      <c r="F428" s="12"/>
      <c r="G428" s="12"/>
      <c r="H428" s="312"/>
      <c r="I428" s="339">
        <v>1978</v>
      </c>
      <c r="J428" s="50"/>
      <c r="K428" s="29" t="s">
        <v>34</v>
      </c>
      <c r="L428" s="29" t="s">
        <v>34</v>
      </c>
    </row>
    <row r="429" spans="1:12" s="60" customFormat="1" ht="33" customHeight="1" x14ac:dyDescent="0.2">
      <c r="A429" s="29" t="s">
        <v>4132</v>
      </c>
      <c r="B429" s="8" t="s">
        <v>4127</v>
      </c>
      <c r="C429" s="1097" t="s">
        <v>9362</v>
      </c>
      <c r="D429" s="1099"/>
      <c r="E429" s="1094" t="s">
        <v>4117</v>
      </c>
      <c r="F429" s="1096"/>
      <c r="G429" s="12" t="s">
        <v>4138</v>
      </c>
      <c r="H429" s="312" t="s">
        <v>4145</v>
      </c>
      <c r="I429" s="339">
        <v>2012</v>
      </c>
      <c r="J429" s="50"/>
      <c r="K429" s="29" t="s">
        <v>4118</v>
      </c>
      <c r="L429" s="29"/>
    </row>
    <row r="430" spans="1:12" s="60" customFormat="1" ht="18.75" customHeight="1" x14ac:dyDescent="0.2">
      <c r="A430" s="29" t="s">
        <v>2388</v>
      </c>
      <c r="B430" s="29" t="s">
        <v>2657</v>
      </c>
      <c r="C430" s="1077" t="s">
        <v>9363</v>
      </c>
      <c r="D430" s="1078"/>
      <c r="E430" s="12"/>
      <c r="F430" s="12"/>
      <c r="G430" s="12"/>
      <c r="H430" s="312"/>
      <c r="I430" s="339">
        <v>1978</v>
      </c>
      <c r="J430" s="50"/>
      <c r="K430" s="29" t="s">
        <v>34</v>
      </c>
      <c r="L430" s="29" t="s">
        <v>34</v>
      </c>
    </row>
    <row r="431" spans="1:12" s="60" customFormat="1" ht="33.75" customHeight="1" x14ac:dyDescent="0.2">
      <c r="A431" s="29" t="s">
        <v>2389</v>
      </c>
      <c r="B431" s="29" t="s">
        <v>3615</v>
      </c>
      <c r="C431" s="1077" t="s">
        <v>9363</v>
      </c>
      <c r="D431" s="1078"/>
      <c r="E431" s="12"/>
      <c r="F431" s="12"/>
      <c r="G431" s="12"/>
      <c r="H431" s="312"/>
      <c r="I431" s="339">
        <v>1948</v>
      </c>
      <c r="J431" s="50"/>
      <c r="K431" s="19" t="s">
        <v>3899</v>
      </c>
      <c r="L431" s="19" t="s">
        <v>3899</v>
      </c>
    </row>
    <row r="432" spans="1:12" s="60" customFormat="1" ht="33.75" customHeight="1" x14ac:dyDescent="0.2">
      <c r="A432" s="29" t="s">
        <v>2390</v>
      </c>
      <c r="B432" s="29" t="s">
        <v>3616</v>
      </c>
      <c r="C432" s="1077" t="s">
        <v>9363</v>
      </c>
      <c r="D432" s="1078"/>
      <c r="E432" s="12"/>
      <c r="F432" s="12"/>
      <c r="G432" s="12"/>
      <c r="H432" s="312"/>
      <c r="I432" s="339">
        <v>1961</v>
      </c>
      <c r="J432" s="50"/>
      <c r="K432" s="19" t="s">
        <v>3899</v>
      </c>
      <c r="L432" s="19" t="s">
        <v>3899</v>
      </c>
    </row>
    <row r="433" spans="1:12" s="60" customFormat="1" ht="26.25" customHeight="1" x14ac:dyDescent="0.2">
      <c r="A433" s="29" t="s">
        <v>2391</v>
      </c>
      <c r="B433" s="29" t="s">
        <v>3617</v>
      </c>
      <c r="C433" s="1077" t="s">
        <v>9363</v>
      </c>
      <c r="D433" s="1078"/>
      <c r="E433" s="12"/>
      <c r="F433" s="12"/>
      <c r="G433" s="12"/>
      <c r="H433" s="312"/>
      <c r="I433" s="339">
        <v>1997</v>
      </c>
      <c r="J433" s="50"/>
      <c r="K433" s="19" t="s">
        <v>3899</v>
      </c>
      <c r="L433" s="19" t="s">
        <v>3899</v>
      </c>
    </row>
    <row r="434" spans="1:12" s="60" customFormat="1" ht="33.75" customHeight="1" x14ac:dyDescent="0.2">
      <c r="A434" s="29" t="s">
        <v>2392</v>
      </c>
      <c r="B434" s="29" t="s">
        <v>298</v>
      </c>
      <c r="C434" s="1077" t="s">
        <v>5744</v>
      </c>
      <c r="D434" s="1078"/>
      <c r="E434" s="12"/>
      <c r="F434" s="12"/>
      <c r="G434" s="12"/>
      <c r="H434" s="312"/>
      <c r="I434" s="339">
        <v>1996</v>
      </c>
      <c r="J434" s="50"/>
      <c r="K434" s="19" t="s">
        <v>3899</v>
      </c>
      <c r="L434" s="19" t="s">
        <v>3899</v>
      </c>
    </row>
    <row r="435" spans="1:12" s="5" customFormat="1" ht="18.75" customHeight="1" x14ac:dyDescent="0.2">
      <c r="A435" s="29" t="s">
        <v>2393</v>
      </c>
      <c r="B435" s="29" t="s">
        <v>199</v>
      </c>
      <c r="C435" s="1077" t="s">
        <v>5744</v>
      </c>
      <c r="D435" s="1078"/>
      <c r="E435" s="12"/>
      <c r="F435" s="12"/>
      <c r="G435" s="12"/>
      <c r="H435" s="312"/>
      <c r="I435" s="339">
        <v>1996</v>
      </c>
      <c r="J435" s="50"/>
      <c r="K435" s="29" t="s">
        <v>487</v>
      </c>
      <c r="L435" s="29" t="s">
        <v>487</v>
      </c>
    </row>
    <row r="436" spans="1:12" s="5" customFormat="1" ht="18" customHeight="1" x14ac:dyDescent="0.2">
      <c r="A436" s="29" t="s">
        <v>2394</v>
      </c>
      <c r="B436" s="29" t="s">
        <v>199</v>
      </c>
      <c r="C436" s="1077" t="s">
        <v>5744</v>
      </c>
      <c r="D436" s="1078"/>
      <c r="E436" s="12"/>
      <c r="F436" s="12"/>
      <c r="G436" s="12"/>
      <c r="H436" s="312"/>
      <c r="I436" s="339">
        <v>1996</v>
      </c>
      <c r="J436" s="50"/>
      <c r="K436" s="29" t="s">
        <v>487</v>
      </c>
      <c r="L436" s="29" t="s">
        <v>487</v>
      </c>
    </row>
    <row r="437" spans="1:12" s="5" customFormat="1" ht="19.5" customHeight="1" x14ac:dyDescent="0.2">
      <c r="A437" s="29" t="s">
        <v>2395</v>
      </c>
      <c r="B437" s="29" t="s">
        <v>199</v>
      </c>
      <c r="C437" s="1077" t="s">
        <v>5744</v>
      </c>
      <c r="D437" s="1078"/>
      <c r="E437" s="12"/>
      <c r="F437" s="12"/>
      <c r="G437" s="12"/>
      <c r="H437" s="312"/>
      <c r="I437" s="339">
        <v>1996</v>
      </c>
      <c r="J437" s="50"/>
      <c r="K437" s="29" t="s">
        <v>487</v>
      </c>
      <c r="L437" s="29" t="s">
        <v>487</v>
      </c>
    </row>
    <row r="438" spans="1:12" s="90" customFormat="1" ht="45" customHeight="1" x14ac:dyDescent="0.2">
      <c r="A438" s="29" t="s">
        <v>2396</v>
      </c>
      <c r="B438" s="8" t="s">
        <v>4124</v>
      </c>
      <c r="C438" s="1097" t="s">
        <v>11343</v>
      </c>
      <c r="D438" s="1099"/>
      <c r="E438" s="1094" t="s">
        <v>4117</v>
      </c>
      <c r="F438" s="1096"/>
      <c r="G438" s="12" t="s">
        <v>4133</v>
      </c>
      <c r="H438" s="312" t="s">
        <v>4140</v>
      </c>
      <c r="I438" s="339">
        <v>2012</v>
      </c>
      <c r="J438" s="50"/>
      <c r="K438" s="29" t="s">
        <v>4118</v>
      </c>
      <c r="L438" s="29"/>
    </row>
    <row r="439" spans="1:12" s="90" customFormat="1" ht="33.75" x14ac:dyDescent="0.2">
      <c r="A439" s="29" t="s">
        <v>2397</v>
      </c>
      <c r="B439" s="8" t="s">
        <v>4125</v>
      </c>
      <c r="C439" s="1097" t="s">
        <v>11344</v>
      </c>
      <c r="D439" s="1099"/>
      <c r="E439" s="1094" t="s">
        <v>4117</v>
      </c>
      <c r="F439" s="1096"/>
      <c r="G439" s="12" t="s">
        <v>4134</v>
      </c>
      <c r="H439" s="312" t="s">
        <v>4146</v>
      </c>
      <c r="I439" s="339">
        <v>2012</v>
      </c>
      <c r="J439" s="50"/>
      <c r="K439" s="29" t="s">
        <v>4118</v>
      </c>
      <c r="L439" s="29"/>
    </row>
    <row r="440" spans="1:12" s="90" customFormat="1" ht="45" x14ac:dyDescent="0.2">
      <c r="A440" s="29" t="s">
        <v>2398</v>
      </c>
      <c r="B440" s="29" t="s">
        <v>4126</v>
      </c>
      <c r="C440" s="1097" t="s">
        <v>11345</v>
      </c>
      <c r="D440" s="1099"/>
      <c r="E440" s="1094" t="s">
        <v>4117</v>
      </c>
      <c r="F440" s="1096"/>
      <c r="G440" s="12" t="s">
        <v>4133</v>
      </c>
      <c r="H440" s="312" t="s">
        <v>4147</v>
      </c>
      <c r="I440" s="339">
        <v>2012</v>
      </c>
      <c r="J440" s="50"/>
      <c r="K440" s="29" t="s">
        <v>4118</v>
      </c>
      <c r="L440" s="29"/>
    </row>
    <row r="441" spans="1:12" s="90" customFormat="1" ht="51" customHeight="1" x14ac:dyDescent="0.2">
      <c r="A441" s="29" t="s">
        <v>2399</v>
      </c>
      <c r="B441" s="29" t="s">
        <v>4128</v>
      </c>
      <c r="C441" s="1097" t="s">
        <v>11346</v>
      </c>
      <c r="D441" s="1099"/>
      <c r="E441" s="1094" t="s">
        <v>4117</v>
      </c>
      <c r="F441" s="1096"/>
      <c r="G441" s="12" t="s">
        <v>4135</v>
      </c>
      <c r="H441" s="312" t="s">
        <v>4141</v>
      </c>
      <c r="I441" s="339">
        <v>2012</v>
      </c>
      <c r="J441" s="50"/>
      <c r="K441" s="29" t="s">
        <v>4118</v>
      </c>
      <c r="L441" s="29"/>
    </row>
    <row r="442" spans="1:12" s="5" customFormat="1" ht="33.75" customHeight="1" x14ac:dyDescent="0.2">
      <c r="A442" s="29" t="s">
        <v>2400</v>
      </c>
      <c r="B442" s="19" t="s">
        <v>3455</v>
      </c>
      <c r="C442" s="1077" t="s">
        <v>8897</v>
      </c>
      <c r="D442" s="1078"/>
      <c r="E442" s="12"/>
      <c r="F442" s="12"/>
      <c r="G442" s="12" t="s">
        <v>3255</v>
      </c>
      <c r="H442" s="312" t="s">
        <v>3766</v>
      </c>
      <c r="I442" s="312" t="s">
        <v>3581</v>
      </c>
      <c r="J442" s="65"/>
      <c r="K442" s="20"/>
      <c r="L442" s="20"/>
    </row>
    <row r="443" spans="1:12" ht="40.5" customHeight="1" x14ac:dyDescent="0.2">
      <c r="A443" s="12" t="s">
        <v>5155</v>
      </c>
      <c r="B443" s="8" t="s">
        <v>3044</v>
      </c>
      <c r="C443" s="1097" t="s">
        <v>11277</v>
      </c>
      <c r="D443" s="1099"/>
      <c r="E443" s="12" t="s">
        <v>2825</v>
      </c>
      <c r="F443" s="8" t="s">
        <v>4348</v>
      </c>
      <c r="G443" s="8"/>
      <c r="H443" s="673" t="s">
        <v>3474</v>
      </c>
      <c r="I443" s="673"/>
      <c r="J443" s="22"/>
      <c r="K443" s="276" t="s">
        <v>9123</v>
      </c>
      <c r="L443" s="646" t="s">
        <v>12531</v>
      </c>
    </row>
    <row r="444" spans="1:12" ht="40.5" customHeight="1" x14ac:dyDescent="0.2">
      <c r="A444" s="12" t="s">
        <v>2401</v>
      </c>
      <c r="B444" s="8" t="s">
        <v>3044</v>
      </c>
      <c r="C444" s="1097" t="s">
        <v>11278</v>
      </c>
      <c r="D444" s="1099"/>
      <c r="E444" s="12" t="s">
        <v>2825</v>
      </c>
      <c r="F444" s="8" t="s">
        <v>4347</v>
      </c>
      <c r="G444" s="8"/>
      <c r="H444" s="673" t="s">
        <v>3475</v>
      </c>
      <c r="I444" s="673"/>
      <c r="J444" s="22"/>
      <c r="K444" s="276" t="s">
        <v>9123</v>
      </c>
      <c r="L444" s="646" t="s">
        <v>12531</v>
      </c>
    </row>
    <row r="445" spans="1:12" ht="40.5" customHeight="1" x14ac:dyDescent="0.2">
      <c r="A445" s="12" t="s">
        <v>4129</v>
      </c>
      <c r="B445" s="105" t="s">
        <v>4728</v>
      </c>
      <c r="C445" s="1102" t="s">
        <v>4213</v>
      </c>
      <c r="D445" s="1103"/>
      <c r="E445" s="12"/>
      <c r="F445" s="142" t="s">
        <v>4217</v>
      </c>
      <c r="G445" s="1175" t="s">
        <v>4722</v>
      </c>
      <c r="H445" s="1176"/>
      <c r="I445" s="673"/>
      <c r="J445" s="22"/>
      <c r="K445" s="276" t="s">
        <v>9123</v>
      </c>
      <c r="L445" s="646" t="s">
        <v>12531</v>
      </c>
    </row>
    <row r="446" spans="1:12" ht="34.5" customHeight="1" x14ac:dyDescent="0.2">
      <c r="A446" s="29" t="s">
        <v>5156</v>
      </c>
      <c r="B446" s="8" t="s">
        <v>4740</v>
      </c>
      <c r="C446" s="1177"/>
      <c r="D446" s="1178"/>
      <c r="E446" s="12" t="s">
        <v>5297</v>
      </c>
      <c r="F446" s="143"/>
      <c r="G446" s="8" t="s">
        <v>4231</v>
      </c>
      <c r="H446" s="351">
        <v>81.900000000000006</v>
      </c>
      <c r="I446" s="673"/>
      <c r="J446" s="22"/>
      <c r="K446" s="276" t="s">
        <v>9123</v>
      </c>
      <c r="L446" s="646" t="s">
        <v>12531</v>
      </c>
    </row>
    <row r="447" spans="1:12" ht="35.25" customHeight="1" x14ac:dyDescent="0.2">
      <c r="A447" s="29" t="s">
        <v>5157</v>
      </c>
      <c r="B447" s="8" t="s">
        <v>4741</v>
      </c>
      <c r="C447" s="1177"/>
      <c r="D447" s="1178"/>
      <c r="E447" s="12" t="s">
        <v>5298</v>
      </c>
      <c r="F447" s="143"/>
      <c r="G447" s="8" t="s">
        <v>4232</v>
      </c>
      <c r="H447" s="351">
        <v>37.4</v>
      </c>
      <c r="I447" s="673"/>
      <c r="J447" s="119"/>
      <c r="K447" s="276" t="s">
        <v>9123</v>
      </c>
      <c r="L447" s="646" t="s">
        <v>12531</v>
      </c>
    </row>
    <row r="448" spans="1:12" s="5" customFormat="1" ht="35.25" customHeight="1" x14ac:dyDescent="0.2">
      <c r="A448" s="29" t="s">
        <v>5158</v>
      </c>
      <c r="B448" s="12" t="s">
        <v>10871</v>
      </c>
      <c r="C448" s="1177"/>
      <c r="D448" s="1178"/>
      <c r="E448" s="12" t="s">
        <v>5283</v>
      </c>
      <c r="F448" s="139"/>
      <c r="G448" s="12" t="s">
        <v>4231</v>
      </c>
      <c r="H448" s="352">
        <v>113</v>
      </c>
      <c r="I448" s="312"/>
      <c r="J448" s="65"/>
      <c r="K448" s="8" t="s">
        <v>11180</v>
      </c>
      <c r="L448" s="8" t="s">
        <v>12530</v>
      </c>
    </row>
    <row r="449" spans="1:12" s="5" customFormat="1" ht="33.75" customHeight="1" x14ac:dyDescent="0.2">
      <c r="A449" s="29" t="s">
        <v>5159</v>
      </c>
      <c r="B449" s="12" t="s">
        <v>4742</v>
      </c>
      <c r="C449" s="1177"/>
      <c r="D449" s="1178"/>
      <c r="E449" s="12" t="s">
        <v>5299</v>
      </c>
      <c r="F449" s="139"/>
      <c r="G449" s="12" t="s">
        <v>4235</v>
      </c>
      <c r="H449" s="312" t="s">
        <v>4236</v>
      </c>
      <c r="I449" s="312"/>
      <c r="J449" s="65"/>
      <c r="K449" s="276" t="s">
        <v>9123</v>
      </c>
      <c r="L449" s="646" t="s">
        <v>12531</v>
      </c>
    </row>
    <row r="450" spans="1:12" s="5" customFormat="1" ht="36" customHeight="1" x14ac:dyDescent="0.2">
      <c r="A450" s="29" t="s">
        <v>5160</v>
      </c>
      <c r="B450" s="12" t="s">
        <v>4743</v>
      </c>
      <c r="C450" s="1177"/>
      <c r="D450" s="1178"/>
      <c r="E450" s="12" t="s">
        <v>5300</v>
      </c>
      <c r="F450" s="139"/>
      <c r="G450" s="12" t="s">
        <v>4235</v>
      </c>
      <c r="H450" s="312" t="s">
        <v>4237</v>
      </c>
      <c r="I450" s="312"/>
      <c r="J450" s="129"/>
      <c r="K450" s="276" t="s">
        <v>9123</v>
      </c>
      <c r="L450" s="646" t="s">
        <v>12531</v>
      </c>
    </row>
    <row r="451" spans="1:12" s="5" customFormat="1" ht="38.25" customHeight="1" x14ac:dyDescent="0.2">
      <c r="A451" s="29" t="s">
        <v>5161</v>
      </c>
      <c r="B451" s="12" t="s">
        <v>4744</v>
      </c>
      <c r="C451" s="1177"/>
      <c r="D451" s="1178"/>
      <c r="E451" s="12" t="s">
        <v>5301</v>
      </c>
      <c r="F451" s="139"/>
      <c r="G451" s="12" t="s">
        <v>4234</v>
      </c>
      <c r="H451" s="353">
        <v>67.2</v>
      </c>
      <c r="I451" s="312"/>
      <c r="J451" s="65"/>
      <c r="K451" s="8" t="s">
        <v>11180</v>
      </c>
      <c r="L451" s="8" t="s">
        <v>12530</v>
      </c>
    </row>
    <row r="452" spans="1:12" s="5" customFormat="1" ht="41.25" customHeight="1" x14ac:dyDescent="0.2">
      <c r="A452" s="29" t="s">
        <v>5162</v>
      </c>
      <c r="B452" s="222" t="s">
        <v>4745</v>
      </c>
      <c r="C452" s="1177"/>
      <c r="D452" s="1178"/>
      <c r="E452" s="12" t="s">
        <v>5302</v>
      </c>
      <c r="F452" s="139"/>
      <c r="G452" s="222" t="s">
        <v>4233</v>
      </c>
      <c r="H452" s="354">
        <v>844.8</v>
      </c>
      <c r="I452" s="286"/>
      <c r="J452" s="65"/>
      <c r="K452" s="8" t="s">
        <v>11180</v>
      </c>
      <c r="L452" s="8" t="s">
        <v>12530</v>
      </c>
    </row>
    <row r="453" spans="1:12" ht="22.5" x14ac:dyDescent="0.2">
      <c r="A453" s="29" t="s">
        <v>5163</v>
      </c>
      <c r="B453" s="25" t="s">
        <v>4759</v>
      </c>
      <c r="C453" s="1177"/>
      <c r="D453" s="1178"/>
      <c r="E453" s="222" t="s">
        <v>5303</v>
      </c>
      <c r="F453" s="143"/>
      <c r="G453" s="8" t="s">
        <v>4231</v>
      </c>
      <c r="H453" s="351">
        <v>254.3</v>
      </c>
      <c r="I453" s="287"/>
      <c r="J453" s="22"/>
      <c r="K453" s="19" t="s">
        <v>5747</v>
      </c>
      <c r="L453" s="19" t="s">
        <v>5747</v>
      </c>
    </row>
    <row r="454" spans="1:12" ht="33.75" customHeight="1" x14ac:dyDescent="0.2">
      <c r="A454" s="29" t="s">
        <v>4130</v>
      </c>
      <c r="B454" s="8" t="s">
        <v>4210</v>
      </c>
      <c r="C454" s="1097" t="s">
        <v>4200</v>
      </c>
      <c r="D454" s="1099"/>
      <c r="E454" s="12" t="s">
        <v>5304</v>
      </c>
      <c r="F454" s="380" t="s">
        <v>4211</v>
      </c>
      <c r="G454" s="8" t="s">
        <v>4775</v>
      </c>
      <c r="H454" s="673" t="s">
        <v>4212</v>
      </c>
      <c r="I454" s="673"/>
      <c r="J454" s="22"/>
      <c r="K454" s="8" t="s">
        <v>11166</v>
      </c>
      <c r="L454" s="728" t="s">
        <v>14046</v>
      </c>
    </row>
    <row r="455" spans="1:12" ht="54" customHeight="1" x14ac:dyDescent="0.2">
      <c r="A455" s="29" t="s">
        <v>4131</v>
      </c>
      <c r="B455" s="8" t="s">
        <v>4209</v>
      </c>
      <c r="C455" s="1097" t="s">
        <v>4200</v>
      </c>
      <c r="D455" s="1099"/>
      <c r="E455" s="12" t="s">
        <v>5305</v>
      </c>
      <c r="F455" s="380" t="s">
        <v>4208</v>
      </c>
      <c r="G455" s="266" t="s">
        <v>4761</v>
      </c>
      <c r="H455" s="351">
        <v>28.3</v>
      </c>
      <c r="I455" s="673"/>
      <c r="J455" s="22"/>
      <c r="K455" s="8" t="s">
        <v>11166</v>
      </c>
      <c r="L455" s="728" t="s">
        <v>14046</v>
      </c>
    </row>
    <row r="456" spans="1:12" ht="37.5" customHeight="1" x14ac:dyDescent="0.2">
      <c r="A456" s="29" t="s">
        <v>4184</v>
      </c>
      <c r="B456" s="8" t="s">
        <v>4207</v>
      </c>
      <c r="C456" s="1097" t="s">
        <v>4200</v>
      </c>
      <c r="D456" s="1099"/>
      <c r="E456" s="12" t="s">
        <v>5306</v>
      </c>
      <c r="F456" s="380" t="s">
        <v>4206</v>
      </c>
      <c r="G456" s="8"/>
      <c r="H456" s="351">
        <v>117.8</v>
      </c>
      <c r="I456" s="673"/>
      <c r="J456" s="22"/>
      <c r="K456" s="8" t="s">
        <v>11166</v>
      </c>
      <c r="L456" s="728" t="s">
        <v>14046</v>
      </c>
    </row>
    <row r="457" spans="1:12" ht="36.75" customHeight="1" x14ac:dyDescent="0.2">
      <c r="A457" s="29" t="s">
        <v>4185</v>
      </c>
      <c r="B457" s="158" t="s">
        <v>4726</v>
      </c>
      <c r="C457" s="1102" t="s">
        <v>4406</v>
      </c>
      <c r="D457" s="1103"/>
      <c r="E457" s="12"/>
      <c r="F457" s="1006" t="s">
        <v>4500</v>
      </c>
      <c r="G457" s="1175" t="s">
        <v>4723</v>
      </c>
      <c r="H457" s="1176"/>
      <c r="I457" s="673"/>
      <c r="J457" s="22"/>
      <c r="K457" s="276" t="s">
        <v>9123</v>
      </c>
      <c r="L457" s="646" t="s">
        <v>12531</v>
      </c>
    </row>
    <row r="458" spans="1:12" ht="27.75" customHeight="1" x14ac:dyDescent="0.2">
      <c r="A458" s="29" t="s">
        <v>5164</v>
      </c>
      <c r="B458" s="25" t="s">
        <v>3455</v>
      </c>
      <c r="C458" s="1177"/>
      <c r="D458" s="1178"/>
      <c r="E458" s="12" t="s">
        <v>5307</v>
      </c>
      <c r="F458" s="1007"/>
      <c r="G458" s="8" t="s">
        <v>187</v>
      </c>
      <c r="H458" s="673" t="s">
        <v>4503</v>
      </c>
      <c r="I458" s="673" t="s">
        <v>3551</v>
      </c>
      <c r="J458" s="22"/>
      <c r="K458" s="276" t="s">
        <v>9123</v>
      </c>
      <c r="L458" s="646" t="s">
        <v>12531</v>
      </c>
    </row>
    <row r="459" spans="1:12" ht="22.5" x14ac:dyDescent="0.2">
      <c r="A459" s="29" t="s">
        <v>5165</v>
      </c>
      <c r="B459" s="25" t="s">
        <v>3455</v>
      </c>
      <c r="C459" s="1177"/>
      <c r="D459" s="1178"/>
      <c r="E459" s="12" t="s">
        <v>5284</v>
      </c>
      <c r="F459" s="1007"/>
      <c r="G459" s="8" t="s">
        <v>187</v>
      </c>
      <c r="H459" s="673" t="s">
        <v>4504</v>
      </c>
      <c r="I459" s="673" t="s">
        <v>552</v>
      </c>
      <c r="J459" s="22"/>
      <c r="K459" s="276" t="s">
        <v>9123</v>
      </c>
      <c r="L459" s="646" t="s">
        <v>12531</v>
      </c>
    </row>
    <row r="460" spans="1:12" ht="24" customHeight="1" x14ac:dyDescent="0.2">
      <c r="A460" s="29" t="s">
        <v>5166</v>
      </c>
      <c r="B460" s="25" t="s">
        <v>3455</v>
      </c>
      <c r="C460" s="1177"/>
      <c r="D460" s="1178"/>
      <c r="E460" s="12" t="s">
        <v>5285</v>
      </c>
      <c r="F460" s="1007"/>
      <c r="G460" s="8" t="s">
        <v>187</v>
      </c>
      <c r="H460" s="673" t="s">
        <v>4505</v>
      </c>
      <c r="I460" s="673" t="s">
        <v>552</v>
      </c>
      <c r="J460" s="22"/>
      <c r="K460" s="276" t="s">
        <v>9123</v>
      </c>
      <c r="L460" s="646" t="s">
        <v>12531</v>
      </c>
    </row>
    <row r="461" spans="1:12" ht="36" customHeight="1" x14ac:dyDescent="0.2">
      <c r="A461" s="29" t="s">
        <v>5167</v>
      </c>
      <c r="B461" s="25" t="s">
        <v>3455</v>
      </c>
      <c r="C461" s="1177"/>
      <c r="D461" s="1178"/>
      <c r="E461" s="12" t="s">
        <v>5286</v>
      </c>
      <c r="F461" s="1007"/>
      <c r="G461" s="8" t="s">
        <v>187</v>
      </c>
      <c r="H461" s="673" t="s">
        <v>4506</v>
      </c>
      <c r="I461" s="673" t="s">
        <v>552</v>
      </c>
      <c r="J461" s="22"/>
      <c r="K461" s="276" t="s">
        <v>9123</v>
      </c>
      <c r="L461" s="646" t="s">
        <v>12531</v>
      </c>
    </row>
    <row r="462" spans="1:12" ht="35.25" customHeight="1" x14ac:dyDescent="0.2">
      <c r="A462" s="29" t="s">
        <v>5168</v>
      </c>
      <c r="B462" s="25" t="s">
        <v>3455</v>
      </c>
      <c r="C462" s="1177"/>
      <c r="D462" s="1178"/>
      <c r="E462" s="12" t="s">
        <v>5287</v>
      </c>
      <c r="F462" s="1007"/>
      <c r="G462" s="8" t="s">
        <v>187</v>
      </c>
      <c r="H462" s="673" t="s">
        <v>4508</v>
      </c>
      <c r="I462" s="673" t="s">
        <v>4507</v>
      </c>
      <c r="J462" s="22"/>
      <c r="K462" s="276" t="s">
        <v>9123</v>
      </c>
      <c r="L462" s="646" t="s">
        <v>12531</v>
      </c>
    </row>
    <row r="463" spans="1:12" ht="35.25" customHeight="1" x14ac:dyDescent="0.2">
      <c r="A463" s="29" t="s">
        <v>5169</v>
      </c>
      <c r="B463" s="25" t="s">
        <v>3455</v>
      </c>
      <c r="C463" s="1177"/>
      <c r="D463" s="1178"/>
      <c r="E463" s="8" t="s">
        <v>5288</v>
      </c>
      <c r="F463" s="1007"/>
      <c r="G463" s="8" t="s">
        <v>187</v>
      </c>
      <c r="H463" s="673" t="s">
        <v>4509</v>
      </c>
      <c r="I463" s="673" t="s">
        <v>3551</v>
      </c>
      <c r="J463" s="22"/>
      <c r="K463" s="276" t="s">
        <v>9123</v>
      </c>
      <c r="L463" s="646" t="s">
        <v>12531</v>
      </c>
    </row>
    <row r="464" spans="1:12" ht="22.5" x14ac:dyDescent="0.2">
      <c r="A464" s="29" t="s">
        <v>5170</v>
      </c>
      <c r="B464" s="25" t="s">
        <v>3455</v>
      </c>
      <c r="C464" s="1177"/>
      <c r="D464" s="1178"/>
      <c r="E464" s="8" t="s">
        <v>5289</v>
      </c>
      <c r="F464" s="1007"/>
      <c r="G464" s="8" t="s">
        <v>187</v>
      </c>
      <c r="H464" s="673" t="s">
        <v>4510</v>
      </c>
      <c r="I464" s="673" t="s">
        <v>4507</v>
      </c>
      <c r="J464" s="22"/>
      <c r="K464" s="276" t="s">
        <v>9123</v>
      </c>
      <c r="L464" s="646" t="s">
        <v>12531</v>
      </c>
    </row>
    <row r="465" spans="1:12" ht="22.5" x14ac:dyDescent="0.2">
      <c r="A465" s="29" t="s">
        <v>5171</v>
      </c>
      <c r="B465" s="25" t="s">
        <v>3455</v>
      </c>
      <c r="C465" s="1177"/>
      <c r="D465" s="1178"/>
      <c r="E465" s="8" t="s">
        <v>5290</v>
      </c>
      <c r="F465" s="1007"/>
      <c r="G465" s="8" t="s">
        <v>187</v>
      </c>
      <c r="H465" s="673" t="s">
        <v>4511</v>
      </c>
      <c r="I465" s="673" t="s">
        <v>3610</v>
      </c>
      <c r="J465" s="22"/>
      <c r="K465" s="276" t="s">
        <v>9123</v>
      </c>
      <c r="L465" s="646" t="s">
        <v>12531</v>
      </c>
    </row>
    <row r="466" spans="1:12" ht="38.25" customHeight="1" x14ac:dyDescent="0.2">
      <c r="A466" s="29" t="s">
        <v>5172</v>
      </c>
      <c r="B466" s="25" t="s">
        <v>3455</v>
      </c>
      <c r="C466" s="1177"/>
      <c r="D466" s="1178"/>
      <c r="E466" s="8" t="s">
        <v>5291</v>
      </c>
      <c r="F466" s="1007"/>
      <c r="G466" s="8" t="s">
        <v>187</v>
      </c>
      <c r="H466" s="673" t="s">
        <v>4512</v>
      </c>
      <c r="I466" s="673" t="s">
        <v>4507</v>
      </c>
      <c r="J466" s="22"/>
      <c r="K466" s="276" t="s">
        <v>9123</v>
      </c>
      <c r="L466" s="646" t="s">
        <v>12531</v>
      </c>
    </row>
    <row r="467" spans="1:12" ht="35.25" customHeight="1" x14ac:dyDescent="0.2">
      <c r="A467" s="29" t="s">
        <v>5173</v>
      </c>
      <c r="B467" s="25" t="s">
        <v>3455</v>
      </c>
      <c r="C467" s="1177"/>
      <c r="D467" s="1178"/>
      <c r="E467" s="8" t="s">
        <v>5292</v>
      </c>
      <c r="F467" s="1007"/>
      <c r="G467" s="8" t="s">
        <v>187</v>
      </c>
      <c r="H467" s="673" t="s">
        <v>4513</v>
      </c>
      <c r="I467" s="673" t="s">
        <v>3701</v>
      </c>
      <c r="J467" s="22"/>
      <c r="K467" s="276" t="s">
        <v>9123</v>
      </c>
      <c r="L467" s="646" t="s">
        <v>12531</v>
      </c>
    </row>
    <row r="468" spans="1:12" ht="22.5" x14ac:dyDescent="0.2">
      <c r="A468" s="29" t="s">
        <v>5174</v>
      </c>
      <c r="B468" s="25" t="s">
        <v>3455</v>
      </c>
      <c r="C468" s="1177"/>
      <c r="D468" s="1178"/>
      <c r="E468" s="8" t="s">
        <v>5293</v>
      </c>
      <c r="F468" s="1007"/>
      <c r="G468" s="8" t="s">
        <v>187</v>
      </c>
      <c r="H468" s="673" t="s">
        <v>4514</v>
      </c>
      <c r="I468" s="673" t="s">
        <v>3701</v>
      </c>
      <c r="J468" s="22"/>
      <c r="K468" s="276" t="s">
        <v>9123</v>
      </c>
      <c r="L468" s="646" t="s">
        <v>12531</v>
      </c>
    </row>
    <row r="469" spans="1:12" ht="35.25" customHeight="1" x14ac:dyDescent="0.2">
      <c r="A469" s="29" t="s">
        <v>5175</v>
      </c>
      <c r="B469" s="25" t="s">
        <v>3455</v>
      </c>
      <c r="C469" s="1177"/>
      <c r="D469" s="1178"/>
      <c r="E469" s="8" t="s">
        <v>5294</v>
      </c>
      <c r="F469" s="1007"/>
      <c r="G469" s="8" t="s">
        <v>187</v>
      </c>
      <c r="H469" s="673" t="s">
        <v>4758</v>
      </c>
      <c r="I469" s="673" t="s">
        <v>3551</v>
      </c>
      <c r="J469" s="22"/>
      <c r="K469" s="276" t="s">
        <v>9123</v>
      </c>
      <c r="L469" s="646" t="s">
        <v>12531</v>
      </c>
    </row>
    <row r="470" spans="1:12" ht="24" customHeight="1" x14ac:dyDescent="0.2">
      <c r="A470" s="29" t="s">
        <v>4186</v>
      </c>
      <c r="B470" s="105" t="s">
        <v>4762</v>
      </c>
      <c r="C470" s="1102" t="s">
        <v>4406</v>
      </c>
      <c r="D470" s="1103"/>
      <c r="E470" s="8"/>
      <c r="F470" s="981" t="s">
        <v>4542</v>
      </c>
      <c r="G470" s="1196" t="s">
        <v>4548</v>
      </c>
      <c r="H470" s="1197"/>
      <c r="I470" s="673"/>
      <c r="J470" s="22"/>
      <c r="K470" s="961" t="s">
        <v>11180</v>
      </c>
      <c r="L470" s="961" t="s">
        <v>12530</v>
      </c>
    </row>
    <row r="471" spans="1:12" ht="34.5" customHeight="1" x14ac:dyDescent="0.2">
      <c r="A471" s="29" t="s">
        <v>5176</v>
      </c>
      <c r="B471" s="8" t="s">
        <v>4544</v>
      </c>
      <c r="C471" s="1104"/>
      <c r="D471" s="1105"/>
      <c r="E471" s="8" t="s">
        <v>5296</v>
      </c>
      <c r="F471" s="983"/>
      <c r="G471" s="8" t="s">
        <v>2307</v>
      </c>
      <c r="H471" s="673" t="s">
        <v>4547</v>
      </c>
      <c r="I471" s="673" t="s">
        <v>4507</v>
      </c>
      <c r="J471" s="22"/>
      <c r="K471" s="962"/>
      <c r="L471" s="962"/>
    </row>
    <row r="472" spans="1:12" ht="25.5" customHeight="1" x14ac:dyDescent="0.2">
      <c r="A472" s="29" t="s">
        <v>4187</v>
      </c>
      <c r="B472" s="105" t="s">
        <v>4746</v>
      </c>
      <c r="C472" s="1102" t="s">
        <v>4406</v>
      </c>
      <c r="D472" s="1103"/>
      <c r="E472" s="8" t="s">
        <v>5295</v>
      </c>
      <c r="F472" s="981" t="s">
        <v>4586</v>
      </c>
      <c r="G472" s="1175" t="s">
        <v>4587</v>
      </c>
      <c r="H472" s="1176"/>
      <c r="I472" s="673"/>
      <c r="J472" s="22"/>
      <c r="K472" s="981" t="s">
        <v>11166</v>
      </c>
      <c r="L472" s="961" t="s">
        <v>14046</v>
      </c>
    </row>
    <row r="473" spans="1:12" ht="11.25" customHeight="1" x14ac:dyDescent="0.2">
      <c r="A473" s="29" t="s">
        <v>5177</v>
      </c>
      <c r="B473" s="8" t="s">
        <v>4594</v>
      </c>
      <c r="C473" s="1177"/>
      <c r="D473" s="1178"/>
      <c r="E473" s="8" t="s">
        <v>5308</v>
      </c>
      <c r="F473" s="982"/>
      <c r="G473" s="8" t="s">
        <v>4625</v>
      </c>
      <c r="H473" s="673" t="s">
        <v>4626</v>
      </c>
      <c r="I473" s="673" t="s">
        <v>517</v>
      </c>
      <c r="J473" s="22"/>
      <c r="K473" s="946"/>
      <c r="L473" s="963"/>
    </row>
    <row r="474" spans="1:12" ht="12.75" customHeight="1" x14ac:dyDescent="0.2">
      <c r="A474" s="29" t="s">
        <v>5178</v>
      </c>
      <c r="B474" s="8" t="s">
        <v>4595</v>
      </c>
      <c r="C474" s="1177"/>
      <c r="D474" s="1178"/>
      <c r="E474" s="8" t="s">
        <v>5309</v>
      </c>
      <c r="F474" s="982"/>
      <c r="G474" s="8" t="s">
        <v>4625</v>
      </c>
      <c r="H474" s="673" t="s">
        <v>554</v>
      </c>
      <c r="I474" s="673" t="s">
        <v>517</v>
      </c>
      <c r="J474" s="22"/>
      <c r="K474" s="946"/>
      <c r="L474" s="963"/>
    </row>
    <row r="475" spans="1:12" ht="11.25" customHeight="1" x14ac:dyDescent="0.2">
      <c r="A475" s="29" t="s">
        <v>5179</v>
      </c>
      <c r="B475" s="8" t="s">
        <v>4210</v>
      </c>
      <c r="C475" s="1177"/>
      <c r="D475" s="1178"/>
      <c r="E475" s="8" t="s">
        <v>5310</v>
      </c>
      <c r="F475" s="982"/>
      <c r="G475" s="8" t="s">
        <v>2307</v>
      </c>
      <c r="H475" s="673" t="s">
        <v>4627</v>
      </c>
      <c r="I475" s="673" t="s">
        <v>517</v>
      </c>
      <c r="J475" s="22"/>
      <c r="K475" s="946"/>
      <c r="L475" s="963"/>
    </row>
    <row r="476" spans="1:12" ht="11.25" customHeight="1" x14ac:dyDescent="0.2">
      <c r="A476" s="29" t="s">
        <v>5180</v>
      </c>
      <c r="B476" s="8" t="s">
        <v>4628</v>
      </c>
      <c r="C476" s="1177"/>
      <c r="D476" s="1178"/>
      <c r="E476" s="8" t="s">
        <v>5311</v>
      </c>
      <c r="F476" s="982"/>
      <c r="G476" s="8" t="s">
        <v>4629</v>
      </c>
      <c r="H476" s="673" t="s">
        <v>4630</v>
      </c>
      <c r="I476" s="673" t="s">
        <v>517</v>
      </c>
      <c r="J476" s="22"/>
      <c r="K476" s="946"/>
      <c r="L476" s="963"/>
    </row>
    <row r="477" spans="1:12" ht="11.25" customHeight="1" x14ac:dyDescent="0.2">
      <c r="A477" s="29" t="s">
        <v>5181</v>
      </c>
      <c r="B477" s="8" t="s">
        <v>4596</v>
      </c>
      <c r="C477" s="1177"/>
      <c r="D477" s="1178"/>
      <c r="E477" s="8" t="s">
        <v>5312</v>
      </c>
      <c r="F477" s="982"/>
      <c r="G477" s="8" t="s">
        <v>4625</v>
      </c>
      <c r="H477" s="673" t="s">
        <v>4626</v>
      </c>
      <c r="I477" s="673" t="s">
        <v>517</v>
      </c>
      <c r="J477" s="22"/>
      <c r="K477" s="946"/>
      <c r="L477" s="963"/>
    </row>
    <row r="478" spans="1:12" ht="11.25" customHeight="1" x14ac:dyDescent="0.2">
      <c r="A478" s="29" t="s">
        <v>5182</v>
      </c>
      <c r="B478" s="8" t="s">
        <v>4597</v>
      </c>
      <c r="C478" s="1177"/>
      <c r="D478" s="1178"/>
      <c r="E478" s="8" t="s">
        <v>5313</v>
      </c>
      <c r="F478" s="982"/>
      <c r="G478" s="8" t="s">
        <v>4631</v>
      </c>
      <c r="H478" s="673" t="s">
        <v>4632</v>
      </c>
      <c r="I478" s="673" t="s">
        <v>517</v>
      </c>
      <c r="J478" s="22"/>
      <c r="K478" s="946"/>
      <c r="L478" s="963"/>
    </row>
    <row r="479" spans="1:12" ht="11.25" customHeight="1" x14ac:dyDescent="0.2">
      <c r="A479" s="29" t="s">
        <v>5183</v>
      </c>
      <c r="B479" s="8" t="s">
        <v>4598</v>
      </c>
      <c r="C479" s="1177"/>
      <c r="D479" s="1178"/>
      <c r="E479" s="8" t="s">
        <v>5314</v>
      </c>
      <c r="F479" s="982"/>
      <c r="G479" s="8" t="s">
        <v>4634</v>
      </c>
      <c r="H479" s="673" t="s">
        <v>4633</v>
      </c>
      <c r="I479" s="673" t="s">
        <v>517</v>
      </c>
      <c r="J479" s="22"/>
      <c r="K479" s="946"/>
      <c r="L479" s="963"/>
    </row>
    <row r="480" spans="1:12" ht="11.25" customHeight="1" x14ac:dyDescent="0.2">
      <c r="A480" s="29" t="s">
        <v>5184</v>
      </c>
      <c r="B480" s="8" t="s">
        <v>4599</v>
      </c>
      <c r="C480" s="1177"/>
      <c r="D480" s="1178"/>
      <c r="E480" s="8" t="s">
        <v>5315</v>
      </c>
      <c r="F480" s="982"/>
      <c r="G480" s="8" t="s">
        <v>4625</v>
      </c>
      <c r="H480" s="673" t="s">
        <v>4635</v>
      </c>
      <c r="I480" s="673" t="s">
        <v>517</v>
      </c>
      <c r="J480" s="22"/>
      <c r="K480" s="946"/>
      <c r="L480" s="963"/>
    </row>
    <row r="481" spans="1:12" ht="22.5" customHeight="1" x14ac:dyDescent="0.2">
      <c r="A481" s="29" t="s">
        <v>5185</v>
      </c>
      <c r="B481" s="8" t="s">
        <v>4600</v>
      </c>
      <c r="C481" s="1177"/>
      <c r="D481" s="1178"/>
      <c r="E481" s="8" t="s">
        <v>5317</v>
      </c>
      <c r="F481" s="982"/>
      <c r="G481" s="8" t="s">
        <v>2307</v>
      </c>
      <c r="H481" s="673" t="s">
        <v>4642</v>
      </c>
      <c r="I481" s="673" t="s">
        <v>85</v>
      </c>
      <c r="J481" s="22"/>
      <c r="K481" s="946"/>
      <c r="L481" s="963"/>
    </row>
    <row r="482" spans="1:12" ht="22.5" customHeight="1" x14ac:dyDescent="0.2">
      <c r="A482" s="29" t="s">
        <v>5186</v>
      </c>
      <c r="B482" s="8" t="s">
        <v>10655</v>
      </c>
      <c r="C482" s="1177"/>
      <c r="D482" s="1178"/>
      <c r="E482" s="8" t="s">
        <v>5318</v>
      </c>
      <c r="F482" s="982"/>
      <c r="G482" s="8" t="s">
        <v>2307</v>
      </c>
      <c r="H482" s="673" t="s">
        <v>4636</v>
      </c>
      <c r="I482" s="673" t="s">
        <v>85</v>
      </c>
      <c r="J482" s="22"/>
      <c r="K482" s="946"/>
      <c r="L482" s="963"/>
    </row>
    <row r="483" spans="1:12" ht="22.5" customHeight="1" x14ac:dyDescent="0.2">
      <c r="A483" s="29" t="s">
        <v>5187</v>
      </c>
      <c r="B483" s="8" t="s">
        <v>330</v>
      </c>
      <c r="C483" s="1177"/>
      <c r="D483" s="1178"/>
      <c r="E483" s="8" t="s">
        <v>5319</v>
      </c>
      <c r="F483" s="982"/>
      <c r="G483" s="8" t="s">
        <v>4638</v>
      </c>
      <c r="H483" s="673" t="s">
        <v>4637</v>
      </c>
      <c r="I483" s="673" t="s">
        <v>517</v>
      </c>
      <c r="J483" s="22"/>
      <c r="K483" s="946"/>
      <c r="L483" s="963"/>
    </row>
    <row r="484" spans="1:12" ht="11.25" customHeight="1" x14ac:dyDescent="0.2">
      <c r="A484" s="29" t="s">
        <v>5188</v>
      </c>
      <c r="B484" s="8" t="s">
        <v>4601</v>
      </c>
      <c r="C484" s="1177"/>
      <c r="D484" s="1178"/>
      <c r="E484" s="8" t="s">
        <v>5321</v>
      </c>
      <c r="F484" s="982"/>
      <c r="G484" s="8" t="s">
        <v>187</v>
      </c>
      <c r="H484" s="673" t="s">
        <v>4654</v>
      </c>
      <c r="I484" s="673" t="s">
        <v>85</v>
      </c>
      <c r="J484" s="22"/>
      <c r="K484" s="946"/>
      <c r="L484" s="963"/>
    </row>
    <row r="485" spans="1:12" ht="11.25" customHeight="1" x14ac:dyDescent="0.2">
      <c r="A485" s="29" t="s">
        <v>5189</v>
      </c>
      <c r="B485" s="8" t="s">
        <v>2643</v>
      </c>
      <c r="C485" s="1177"/>
      <c r="D485" s="1178"/>
      <c r="E485" s="8" t="s">
        <v>5322</v>
      </c>
      <c r="F485" s="982"/>
      <c r="G485" s="8" t="s">
        <v>187</v>
      </c>
      <c r="H485" s="673" t="s">
        <v>4655</v>
      </c>
      <c r="I485" s="673" t="s">
        <v>517</v>
      </c>
      <c r="J485" s="22"/>
      <c r="K485" s="946"/>
      <c r="L485" s="963"/>
    </row>
    <row r="486" spans="1:12" ht="11.25" customHeight="1" x14ac:dyDescent="0.2">
      <c r="A486" s="29" t="s">
        <v>5190</v>
      </c>
      <c r="B486" s="8" t="s">
        <v>4602</v>
      </c>
      <c r="C486" s="1177"/>
      <c r="D486" s="1178"/>
      <c r="E486" s="8" t="s">
        <v>5323</v>
      </c>
      <c r="F486" s="982"/>
      <c r="G486" s="8" t="s">
        <v>187</v>
      </c>
      <c r="H486" s="673" t="s">
        <v>4644</v>
      </c>
      <c r="I486" s="673" t="s">
        <v>85</v>
      </c>
      <c r="J486" s="22"/>
      <c r="K486" s="946"/>
      <c r="L486" s="963"/>
    </row>
    <row r="487" spans="1:12" ht="11.25" customHeight="1" x14ac:dyDescent="0.2">
      <c r="A487" s="29" t="s">
        <v>5191</v>
      </c>
      <c r="B487" s="8" t="s">
        <v>4603</v>
      </c>
      <c r="C487" s="1177"/>
      <c r="D487" s="1178"/>
      <c r="E487" s="8" t="s">
        <v>5324</v>
      </c>
      <c r="F487" s="982"/>
      <c r="G487" s="8" t="s">
        <v>4643</v>
      </c>
      <c r="H487" s="673" t="s">
        <v>4645</v>
      </c>
      <c r="I487" s="673" t="s">
        <v>517</v>
      </c>
      <c r="J487" s="22"/>
      <c r="K487" s="946"/>
      <c r="L487" s="963"/>
    </row>
    <row r="488" spans="1:12" ht="11.25" customHeight="1" x14ac:dyDescent="0.2">
      <c r="A488" s="29" t="s">
        <v>5192</v>
      </c>
      <c r="B488" s="8" t="s">
        <v>4604</v>
      </c>
      <c r="C488" s="1177"/>
      <c r="D488" s="1178"/>
      <c r="E488" s="8" t="s">
        <v>5325</v>
      </c>
      <c r="F488" s="982"/>
      <c r="G488" s="8" t="s">
        <v>187</v>
      </c>
      <c r="H488" s="673" t="s">
        <v>4646</v>
      </c>
      <c r="I488" s="673" t="s">
        <v>517</v>
      </c>
      <c r="J488" s="22"/>
      <c r="K488" s="946"/>
      <c r="L488" s="963"/>
    </row>
    <row r="489" spans="1:12" ht="11.25" customHeight="1" x14ac:dyDescent="0.2">
      <c r="A489" s="29" t="s">
        <v>5193</v>
      </c>
      <c r="B489" s="8" t="s">
        <v>4605</v>
      </c>
      <c r="C489" s="1177"/>
      <c r="D489" s="1178"/>
      <c r="E489" s="8" t="s">
        <v>5326</v>
      </c>
      <c r="F489" s="982"/>
      <c r="G489" s="8" t="s">
        <v>187</v>
      </c>
      <c r="H489" s="673" t="s">
        <v>4647</v>
      </c>
      <c r="I489" s="673" t="s">
        <v>3609</v>
      </c>
      <c r="J489" s="22"/>
      <c r="K489" s="946"/>
      <c r="L489" s="963"/>
    </row>
    <row r="490" spans="1:12" ht="11.25" customHeight="1" x14ac:dyDescent="0.2">
      <c r="A490" s="29" t="s">
        <v>5194</v>
      </c>
      <c r="B490" s="8" t="s">
        <v>4606</v>
      </c>
      <c r="C490" s="1177"/>
      <c r="D490" s="1178"/>
      <c r="E490" s="8" t="s">
        <v>5327</v>
      </c>
      <c r="F490" s="982"/>
      <c r="G490" s="8" t="s">
        <v>187</v>
      </c>
      <c r="H490" s="673" t="s">
        <v>4648</v>
      </c>
      <c r="I490" s="673" t="s">
        <v>3551</v>
      </c>
      <c r="J490" s="22"/>
      <c r="K490" s="946"/>
      <c r="L490" s="963"/>
    </row>
    <row r="491" spans="1:12" ht="11.25" customHeight="1" x14ac:dyDescent="0.2">
      <c r="A491" s="29" t="s">
        <v>5195</v>
      </c>
      <c r="B491" s="8" t="s">
        <v>4607</v>
      </c>
      <c r="C491" s="1177"/>
      <c r="D491" s="1178"/>
      <c r="E491" s="8" t="s">
        <v>5328</v>
      </c>
      <c r="F491" s="982"/>
      <c r="G491" s="8" t="s">
        <v>187</v>
      </c>
      <c r="H491" s="673" t="s">
        <v>4649</v>
      </c>
      <c r="I491" s="673" t="s">
        <v>552</v>
      </c>
      <c r="J491" s="22"/>
      <c r="K491" s="946"/>
      <c r="L491" s="963"/>
    </row>
    <row r="492" spans="1:12" ht="11.25" customHeight="1" x14ac:dyDescent="0.2">
      <c r="A492" s="29" t="s">
        <v>5196</v>
      </c>
      <c r="B492" s="8" t="s">
        <v>4608</v>
      </c>
      <c r="C492" s="1177"/>
      <c r="D492" s="1178"/>
      <c r="E492" s="8" t="s">
        <v>5329</v>
      </c>
      <c r="F492" s="982"/>
      <c r="G492" s="8" t="s">
        <v>187</v>
      </c>
      <c r="H492" s="673" t="s">
        <v>4650</v>
      </c>
      <c r="I492" s="673" t="s">
        <v>169</v>
      </c>
      <c r="J492" s="22"/>
      <c r="K492" s="946"/>
      <c r="L492" s="963"/>
    </row>
    <row r="493" spans="1:12" ht="11.25" customHeight="1" x14ac:dyDescent="0.2">
      <c r="A493" s="29" t="s">
        <v>5197</v>
      </c>
      <c r="B493" s="8" t="s">
        <v>4609</v>
      </c>
      <c r="C493" s="1177"/>
      <c r="D493" s="1178"/>
      <c r="E493" s="8" t="s">
        <v>5330</v>
      </c>
      <c r="F493" s="982"/>
      <c r="G493" s="8" t="s">
        <v>187</v>
      </c>
      <c r="H493" s="673" t="s">
        <v>4585</v>
      </c>
      <c r="I493" s="673" t="s">
        <v>3994</v>
      </c>
      <c r="J493" s="22"/>
      <c r="K493" s="946"/>
      <c r="L493" s="963"/>
    </row>
    <row r="494" spans="1:12" ht="11.25" customHeight="1" x14ac:dyDescent="0.2">
      <c r="A494" s="29" t="s">
        <v>5198</v>
      </c>
      <c r="B494" s="8" t="s">
        <v>4610</v>
      </c>
      <c r="C494" s="1177"/>
      <c r="D494" s="1178"/>
      <c r="E494" s="8" t="s">
        <v>5331</v>
      </c>
      <c r="F494" s="982"/>
      <c r="G494" s="8" t="s">
        <v>187</v>
      </c>
      <c r="H494" s="673" t="s">
        <v>4582</v>
      </c>
      <c r="I494" s="673" t="s">
        <v>79</v>
      </c>
      <c r="J494" s="22"/>
      <c r="K494" s="946"/>
      <c r="L494" s="963"/>
    </row>
    <row r="495" spans="1:12" ht="11.25" customHeight="1" x14ac:dyDescent="0.2">
      <c r="A495" s="29" t="s">
        <v>5199</v>
      </c>
      <c r="B495" s="8" t="s">
        <v>4611</v>
      </c>
      <c r="C495" s="1177"/>
      <c r="D495" s="1178"/>
      <c r="E495" s="8" t="s">
        <v>5332</v>
      </c>
      <c r="F495" s="982"/>
      <c r="G495" s="8" t="s">
        <v>187</v>
      </c>
      <c r="H495" s="673" t="s">
        <v>4651</v>
      </c>
      <c r="I495" s="673" t="s">
        <v>552</v>
      </c>
      <c r="J495" s="22"/>
      <c r="K495" s="946"/>
      <c r="L495" s="963"/>
    </row>
    <row r="496" spans="1:12" ht="11.25" customHeight="1" x14ac:dyDescent="0.2">
      <c r="A496" s="29" t="s">
        <v>5200</v>
      </c>
      <c r="B496" s="8" t="s">
        <v>4612</v>
      </c>
      <c r="C496" s="1177"/>
      <c r="D496" s="1178"/>
      <c r="E496" s="8" t="s">
        <v>5333</v>
      </c>
      <c r="F496" s="982"/>
      <c r="G496" s="8" t="s">
        <v>187</v>
      </c>
      <c r="H496" s="673" t="s">
        <v>4585</v>
      </c>
      <c r="I496" s="673" t="s">
        <v>504</v>
      </c>
      <c r="J496" s="22"/>
      <c r="K496" s="946"/>
      <c r="L496" s="963"/>
    </row>
    <row r="497" spans="1:12" ht="11.25" customHeight="1" x14ac:dyDescent="0.2">
      <c r="A497" s="29" t="s">
        <v>5201</v>
      </c>
      <c r="B497" s="8" t="s">
        <v>4613</v>
      </c>
      <c r="C497" s="1177"/>
      <c r="D497" s="1178"/>
      <c r="E497" s="8" t="s">
        <v>5334</v>
      </c>
      <c r="F497" s="982"/>
      <c r="G497" s="8" t="s">
        <v>187</v>
      </c>
      <c r="H497" s="673" t="s">
        <v>3465</v>
      </c>
      <c r="I497" s="673" t="s">
        <v>83</v>
      </c>
      <c r="J497" s="22"/>
      <c r="K497" s="946"/>
      <c r="L497" s="963"/>
    </row>
    <row r="498" spans="1:12" ht="11.25" customHeight="1" x14ac:dyDescent="0.2">
      <c r="A498" s="29" t="s">
        <v>5202</v>
      </c>
      <c r="B498" s="8" t="s">
        <v>4608</v>
      </c>
      <c r="C498" s="1177"/>
      <c r="D498" s="1178"/>
      <c r="E498" s="8" t="s">
        <v>5335</v>
      </c>
      <c r="F498" s="982"/>
      <c r="G498" s="8" t="s">
        <v>187</v>
      </c>
      <c r="H498" s="673" t="s">
        <v>4652</v>
      </c>
      <c r="I498" s="673" t="s">
        <v>2829</v>
      </c>
      <c r="J498" s="22"/>
      <c r="K498" s="946"/>
      <c r="L498" s="963"/>
    </row>
    <row r="499" spans="1:12" ht="11.25" customHeight="1" x14ac:dyDescent="0.2">
      <c r="A499" s="29" t="s">
        <v>5203</v>
      </c>
      <c r="B499" s="8" t="s">
        <v>4614</v>
      </c>
      <c r="C499" s="1177"/>
      <c r="D499" s="1178"/>
      <c r="E499" s="8" t="s">
        <v>5336</v>
      </c>
      <c r="F499" s="982"/>
      <c r="G499" s="8" t="s">
        <v>187</v>
      </c>
      <c r="H499" s="673" t="s">
        <v>4653</v>
      </c>
      <c r="I499" s="673" t="s">
        <v>3609</v>
      </c>
      <c r="J499" s="22"/>
      <c r="K499" s="946"/>
      <c r="L499" s="963"/>
    </row>
    <row r="500" spans="1:12" ht="11.25" customHeight="1" x14ac:dyDescent="0.2">
      <c r="A500" s="29" t="s">
        <v>5204</v>
      </c>
      <c r="B500" s="8" t="s">
        <v>4615</v>
      </c>
      <c r="C500" s="1177"/>
      <c r="D500" s="1178"/>
      <c r="E500" s="8" t="s">
        <v>5337</v>
      </c>
      <c r="F500" s="982"/>
      <c r="G500" s="8" t="s">
        <v>187</v>
      </c>
      <c r="H500" s="673" t="s">
        <v>4656</v>
      </c>
      <c r="I500" s="673" t="s">
        <v>70</v>
      </c>
      <c r="J500" s="22"/>
      <c r="K500" s="946"/>
      <c r="L500" s="963"/>
    </row>
    <row r="501" spans="1:12" ht="11.25" customHeight="1" x14ac:dyDescent="0.2">
      <c r="A501" s="29" t="s">
        <v>5205</v>
      </c>
      <c r="B501" s="8" t="s">
        <v>4616</v>
      </c>
      <c r="C501" s="1177"/>
      <c r="D501" s="1178"/>
      <c r="E501" s="8" t="s">
        <v>5338</v>
      </c>
      <c r="F501" s="982"/>
      <c r="G501" s="8" t="s">
        <v>4625</v>
      </c>
      <c r="H501" s="673" t="s">
        <v>4657</v>
      </c>
      <c r="I501" s="465" t="s">
        <v>4507</v>
      </c>
      <c r="J501" s="22"/>
      <c r="K501" s="946"/>
      <c r="L501" s="963"/>
    </row>
    <row r="502" spans="1:12" ht="11.25" customHeight="1" x14ac:dyDescent="0.2">
      <c r="A502" s="29" t="s">
        <v>5206</v>
      </c>
      <c r="B502" s="8" t="s">
        <v>4617</v>
      </c>
      <c r="C502" s="1177"/>
      <c r="D502" s="1178"/>
      <c r="E502" s="8" t="s">
        <v>5339</v>
      </c>
      <c r="F502" s="982"/>
      <c r="G502" s="8" t="s">
        <v>187</v>
      </c>
      <c r="H502" s="673" t="s">
        <v>4658</v>
      </c>
      <c r="I502" s="673" t="s">
        <v>3609</v>
      </c>
      <c r="J502" s="22"/>
      <c r="K502" s="946"/>
      <c r="L502" s="963"/>
    </row>
    <row r="503" spans="1:12" ht="11.25" customHeight="1" x14ac:dyDescent="0.2">
      <c r="A503" s="29" t="s">
        <v>5207</v>
      </c>
      <c r="B503" s="8" t="s">
        <v>4611</v>
      </c>
      <c r="C503" s="1177"/>
      <c r="D503" s="1178"/>
      <c r="E503" s="8" t="s">
        <v>5340</v>
      </c>
      <c r="F503" s="982"/>
      <c r="G503" s="8" t="s">
        <v>187</v>
      </c>
      <c r="H503" s="673" t="s">
        <v>3463</v>
      </c>
      <c r="I503" s="673" t="s">
        <v>85</v>
      </c>
      <c r="J503" s="22"/>
      <c r="K503" s="946"/>
      <c r="L503" s="963"/>
    </row>
    <row r="504" spans="1:12" ht="11.25" customHeight="1" x14ac:dyDescent="0.2">
      <c r="A504" s="29" t="s">
        <v>5208</v>
      </c>
      <c r="B504" s="8" t="s">
        <v>4618</v>
      </c>
      <c r="C504" s="1177"/>
      <c r="D504" s="1178"/>
      <c r="E504" s="8" t="s">
        <v>5341</v>
      </c>
      <c r="F504" s="982"/>
      <c r="G504" s="8" t="s">
        <v>187</v>
      </c>
      <c r="H504" s="673" t="s">
        <v>3463</v>
      </c>
      <c r="I504" s="673" t="s">
        <v>4343</v>
      </c>
      <c r="J504" s="22"/>
      <c r="K504" s="946"/>
      <c r="L504" s="963"/>
    </row>
    <row r="505" spans="1:12" ht="11.25" customHeight="1" x14ac:dyDescent="0.2">
      <c r="A505" s="29" t="s">
        <v>5209</v>
      </c>
      <c r="B505" s="8" t="s">
        <v>4619</v>
      </c>
      <c r="C505" s="1177"/>
      <c r="D505" s="1178"/>
      <c r="E505" s="8" t="s">
        <v>5342</v>
      </c>
      <c r="F505" s="982"/>
      <c r="G505" s="8" t="s">
        <v>187</v>
      </c>
      <c r="H505" s="673" t="s">
        <v>3465</v>
      </c>
      <c r="I505" s="673" t="s">
        <v>3701</v>
      </c>
      <c r="J505" s="22"/>
      <c r="K505" s="946"/>
      <c r="L505" s="963"/>
    </row>
    <row r="506" spans="1:12" ht="11.25" customHeight="1" x14ac:dyDescent="0.2">
      <c r="A506" s="29" t="s">
        <v>5210</v>
      </c>
      <c r="B506" s="8" t="s">
        <v>4620</v>
      </c>
      <c r="C506" s="1177"/>
      <c r="D506" s="1178"/>
      <c r="E506" s="8" t="s">
        <v>5343</v>
      </c>
      <c r="F506" s="982"/>
      <c r="G506" s="8" t="s">
        <v>187</v>
      </c>
      <c r="H506" s="673" t="s">
        <v>4647</v>
      </c>
      <c r="I506" s="673" t="s">
        <v>4343</v>
      </c>
      <c r="J506" s="22"/>
      <c r="K506" s="946"/>
      <c r="L506" s="963"/>
    </row>
    <row r="507" spans="1:12" ht="11.25" customHeight="1" x14ac:dyDescent="0.2">
      <c r="A507" s="29" t="s">
        <v>5211</v>
      </c>
      <c r="B507" s="8" t="s">
        <v>4621</v>
      </c>
      <c r="C507" s="1177"/>
      <c r="D507" s="1178"/>
      <c r="E507" s="8" t="s">
        <v>5344</v>
      </c>
      <c r="F507" s="982"/>
      <c r="G507" s="8" t="s">
        <v>187</v>
      </c>
      <c r="H507" s="673" t="s">
        <v>3465</v>
      </c>
      <c r="I507" s="673" t="s">
        <v>513</v>
      </c>
      <c r="J507" s="22"/>
      <c r="K507" s="946"/>
      <c r="L507" s="963"/>
    </row>
    <row r="508" spans="1:12" ht="11.25" customHeight="1" x14ac:dyDescent="0.2">
      <c r="A508" s="29" t="s">
        <v>5212</v>
      </c>
      <c r="B508" s="8" t="s">
        <v>4622</v>
      </c>
      <c r="C508" s="1177"/>
      <c r="D508" s="1178"/>
      <c r="E508" s="8" t="s">
        <v>5345</v>
      </c>
      <c r="F508" s="982"/>
      <c r="G508" s="8" t="s">
        <v>187</v>
      </c>
      <c r="H508" s="673" t="s">
        <v>4650</v>
      </c>
      <c r="I508" s="673" t="s">
        <v>3994</v>
      </c>
      <c r="J508" s="22"/>
      <c r="K508" s="947"/>
      <c r="L508" s="962"/>
    </row>
    <row r="509" spans="1:12" ht="11.25" customHeight="1" x14ac:dyDescent="0.2">
      <c r="A509" s="29" t="s">
        <v>5213</v>
      </c>
      <c r="B509" s="8" t="s">
        <v>4639</v>
      </c>
      <c r="C509" s="1177"/>
      <c r="D509" s="1178"/>
      <c r="E509" s="8" t="s">
        <v>5320</v>
      </c>
      <c r="F509" s="982"/>
      <c r="G509" s="8" t="s">
        <v>4699</v>
      </c>
      <c r="H509" s="673" t="s">
        <v>4640</v>
      </c>
      <c r="I509" s="673" t="s">
        <v>65</v>
      </c>
      <c r="J509" s="22"/>
      <c r="K509" s="98"/>
      <c r="L509" s="19"/>
    </row>
    <row r="510" spans="1:12" ht="11.25" customHeight="1" x14ac:dyDescent="0.2">
      <c r="A510" s="29" t="s">
        <v>5214</v>
      </c>
      <c r="B510" s="8" t="s">
        <v>4641</v>
      </c>
      <c r="C510" s="1104"/>
      <c r="D510" s="1105"/>
      <c r="E510" s="8" t="s">
        <v>5316</v>
      </c>
      <c r="F510" s="983"/>
      <c r="G510" s="8" t="s">
        <v>2307</v>
      </c>
      <c r="H510" s="673" t="s">
        <v>4636</v>
      </c>
      <c r="I510" s="673" t="s">
        <v>85</v>
      </c>
      <c r="J510" s="22"/>
      <c r="K510" s="98"/>
      <c r="L510" s="8"/>
    </row>
    <row r="511" spans="1:12" ht="37.5" customHeight="1" x14ac:dyDescent="0.2">
      <c r="A511" s="29" t="s">
        <v>4188</v>
      </c>
      <c r="B511" s="105" t="s">
        <v>4729</v>
      </c>
      <c r="C511" s="1048" t="s">
        <v>4406</v>
      </c>
      <c r="D511" s="1048"/>
      <c r="E511" s="8" t="s">
        <v>5295</v>
      </c>
      <c r="F511" s="984" t="s">
        <v>4479</v>
      </c>
      <c r="G511" s="1175" t="s">
        <v>4724</v>
      </c>
      <c r="H511" s="1176"/>
      <c r="I511" s="673"/>
      <c r="J511" s="22"/>
      <c r="K511" s="276" t="s">
        <v>9123</v>
      </c>
      <c r="L511" s="646" t="s">
        <v>12531</v>
      </c>
    </row>
    <row r="512" spans="1:12" ht="22.5" x14ac:dyDescent="0.2">
      <c r="A512" s="29" t="s">
        <v>4776</v>
      </c>
      <c r="B512" s="8" t="s">
        <v>4515</v>
      </c>
      <c r="C512" s="1048"/>
      <c r="D512" s="1048"/>
      <c r="E512" s="8" t="s">
        <v>5346</v>
      </c>
      <c r="F512" s="985"/>
      <c r="G512" s="8" t="s">
        <v>2306</v>
      </c>
      <c r="H512" s="326" t="s">
        <v>4565</v>
      </c>
      <c r="I512" s="673" t="s">
        <v>171</v>
      </c>
      <c r="J512" s="22"/>
      <c r="K512" s="276" t="s">
        <v>9123</v>
      </c>
      <c r="L512" s="646" t="s">
        <v>12531</v>
      </c>
    </row>
    <row r="513" spans="1:12" ht="22.5" x14ac:dyDescent="0.2">
      <c r="A513" s="29" t="s">
        <v>4777</v>
      </c>
      <c r="B513" s="8" t="s">
        <v>4516</v>
      </c>
      <c r="C513" s="1048"/>
      <c r="D513" s="1048"/>
      <c r="E513" s="8" t="s">
        <v>5347</v>
      </c>
      <c r="F513" s="985"/>
      <c r="G513" s="8" t="s">
        <v>4725</v>
      </c>
      <c r="H513" s="326" t="s">
        <v>4566</v>
      </c>
      <c r="I513" s="673" t="s">
        <v>85</v>
      </c>
      <c r="J513" s="22"/>
      <c r="K513" s="276" t="s">
        <v>9123</v>
      </c>
      <c r="L513" s="646" t="s">
        <v>12531</v>
      </c>
    </row>
    <row r="514" spans="1:12" ht="22.5" x14ac:dyDescent="0.2">
      <c r="A514" s="29" t="s">
        <v>4778</v>
      </c>
      <c r="B514" s="8" t="s">
        <v>4517</v>
      </c>
      <c r="C514" s="1048"/>
      <c r="D514" s="1048"/>
      <c r="E514" s="8" t="s">
        <v>5348</v>
      </c>
      <c r="F514" s="985"/>
      <c r="G514" s="8"/>
      <c r="H514" s="326" t="s">
        <v>4567</v>
      </c>
      <c r="I514" s="673" t="s">
        <v>504</v>
      </c>
      <c r="J514" s="22"/>
      <c r="K514" s="276" t="s">
        <v>9123</v>
      </c>
      <c r="L514" s="646" t="s">
        <v>12531</v>
      </c>
    </row>
    <row r="515" spans="1:12" ht="22.5" x14ac:dyDescent="0.2">
      <c r="A515" s="29" t="s">
        <v>4779</v>
      </c>
      <c r="B515" s="8" t="s">
        <v>4518</v>
      </c>
      <c r="C515" s="1048"/>
      <c r="D515" s="1048"/>
      <c r="E515" s="8" t="s">
        <v>5349</v>
      </c>
      <c r="F515" s="985"/>
      <c r="G515" s="8" t="s">
        <v>2306</v>
      </c>
      <c r="H515" s="326" t="s">
        <v>4568</v>
      </c>
      <c r="I515" s="673" t="s">
        <v>502</v>
      </c>
      <c r="J515" s="22"/>
      <c r="K515" s="276" t="s">
        <v>9123</v>
      </c>
      <c r="L515" s="646" t="s">
        <v>12531</v>
      </c>
    </row>
    <row r="516" spans="1:12" ht="22.5" x14ac:dyDescent="0.2">
      <c r="A516" s="29" t="s">
        <v>4780</v>
      </c>
      <c r="B516" s="8" t="s">
        <v>3323</v>
      </c>
      <c r="C516" s="1048"/>
      <c r="D516" s="1048"/>
      <c r="E516" s="8" t="s">
        <v>5350</v>
      </c>
      <c r="F516" s="985"/>
      <c r="G516" s="8" t="s">
        <v>2306</v>
      </c>
      <c r="H516" s="326" t="s">
        <v>4568</v>
      </c>
      <c r="I516" s="673" t="s">
        <v>85</v>
      </c>
      <c r="J516" s="22"/>
      <c r="K516" s="276" t="s">
        <v>9123</v>
      </c>
      <c r="L516" s="646" t="s">
        <v>12531</v>
      </c>
    </row>
    <row r="517" spans="1:12" ht="22.5" x14ac:dyDescent="0.2">
      <c r="A517" s="29" t="s">
        <v>4781</v>
      </c>
      <c r="B517" s="8" t="s">
        <v>4519</v>
      </c>
      <c r="C517" s="1048"/>
      <c r="D517" s="1048"/>
      <c r="E517" s="8" t="s">
        <v>5351</v>
      </c>
      <c r="F517" s="985"/>
      <c r="G517" s="8" t="s">
        <v>2306</v>
      </c>
      <c r="H517" s="326">
        <v>12</v>
      </c>
      <c r="I517" s="673" t="s">
        <v>504</v>
      </c>
      <c r="J517" s="22"/>
      <c r="K517" s="276" t="s">
        <v>9123</v>
      </c>
      <c r="L517" s="646" t="s">
        <v>12531</v>
      </c>
    </row>
    <row r="518" spans="1:12" ht="22.5" x14ac:dyDescent="0.2">
      <c r="A518" s="29" t="s">
        <v>4782</v>
      </c>
      <c r="B518" s="8" t="s">
        <v>4520</v>
      </c>
      <c r="C518" s="1048"/>
      <c r="D518" s="1048"/>
      <c r="E518" s="8" t="s">
        <v>5352</v>
      </c>
      <c r="F518" s="985"/>
      <c r="G518" s="8" t="s">
        <v>2306</v>
      </c>
      <c r="H518" s="673" t="s">
        <v>4569</v>
      </c>
      <c r="I518" s="673" t="s">
        <v>504</v>
      </c>
      <c r="J518" s="22"/>
      <c r="K518" s="276" t="s">
        <v>9123</v>
      </c>
      <c r="L518" s="646" t="s">
        <v>12531</v>
      </c>
    </row>
    <row r="519" spans="1:12" ht="22.5" x14ac:dyDescent="0.2">
      <c r="A519" s="29" t="s">
        <v>4783</v>
      </c>
      <c r="B519" s="8" t="s">
        <v>4521</v>
      </c>
      <c r="C519" s="1048"/>
      <c r="D519" s="1048"/>
      <c r="E519" s="8" t="s">
        <v>5353</v>
      </c>
      <c r="F519" s="985"/>
      <c r="G519" s="8" t="s">
        <v>2306</v>
      </c>
      <c r="H519" s="673" t="s">
        <v>4569</v>
      </c>
      <c r="I519" s="673" t="s">
        <v>504</v>
      </c>
      <c r="J519" s="22"/>
      <c r="K519" s="276" t="s">
        <v>9123</v>
      </c>
      <c r="L519" s="646" t="s">
        <v>12531</v>
      </c>
    </row>
    <row r="520" spans="1:12" ht="22.5" x14ac:dyDescent="0.2">
      <c r="A520" s="29" t="s">
        <v>4784</v>
      </c>
      <c r="B520" s="8" t="s">
        <v>4522</v>
      </c>
      <c r="C520" s="1048"/>
      <c r="D520" s="1048"/>
      <c r="E520" s="8" t="s">
        <v>5354</v>
      </c>
      <c r="F520" s="985"/>
      <c r="G520" s="8" t="s">
        <v>187</v>
      </c>
      <c r="H520" s="673" t="s">
        <v>4570</v>
      </c>
      <c r="I520" s="673" t="s">
        <v>3609</v>
      </c>
      <c r="J520" s="22"/>
      <c r="K520" s="276" t="s">
        <v>9123</v>
      </c>
      <c r="L520" s="646" t="s">
        <v>12531</v>
      </c>
    </row>
    <row r="521" spans="1:12" ht="22.5" x14ac:dyDescent="0.2">
      <c r="A521" s="29" t="s">
        <v>4785</v>
      </c>
      <c r="B521" s="8" t="s">
        <v>4523</v>
      </c>
      <c r="C521" s="1048"/>
      <c r="D521" s="1048"/>
      <c r="E521" s="8" t="s">
        <v>5355</v>
      </c>
      <c r="F521" s="985"/>
      <c r="G521" s="8" t="s">
        <v>187</v>
      </c>
      <c r="H521" s="673" t="s">
        <v>3463</v>
      </c>
      <c r="I521" s="673" t="s">
        <v>3609</v>
      </c>
      <c r="J521" s="22"/>
      <c r="K521" s="276" t="s">
        <v>9123</v>
      </c>
      <c r="L521" s="646" t="s">
        <v>12531</v>
      </c>
    </row>
    <row r="522" spans="1:12" ht="22.5" x14ac:dyDescent="0.2">
      <c r="A522" s="29" t="s">
        <v>4786</v>
      </c>
      <c r="B522" s="8" t="s">
        <v>4524</v>
      </c>
      <c r="C522" s="1048"/>
      <c r="D522" s="1048"/>
      <c r="E522" s="8" t="s">
        <v>5356</v>
      </c>
      <c r="F522" s="985"/>
      <c r="G522" s="8" t="s">
        <v>187</v>
      </c>
      <c r="H522" s="673" t="s">
        <v>4572</v>
      </c>
      <c r="I522" s="673" t="s">
        <v>3609</v>
      </c>
      <c r="J522" s="22"/>
      <c r="K522" s="276" t="s">
        <v>9123</v>
      </c>
      <c r="L522" s="646" t="s">
        <v>12531</v>
      </c>
    </row>
    <row r="523" spans="1:12" ht="22.5" x14ac:dyDescent="0.2">
      <c r="A523" s="29" t="s">
        <v>4787</v>
      </c>
      <c r="B523" s="8" t="s">
        <v>4525</v>
      </c>
      <c r="C523" s="1048"/>
      <c r="D523" s="1048"/>
      <c r="E523" s="8" t="s">
        <v>5357</v>
      </c>
      <c r="F523" s="985"/>
      <c r="G523" s="8" t="s">
        <v>187</v>
      </c>
      <c r="H523" s="673" t="s">
        <v>4571</v>
      </c>
      <c r="I523" s="673" t="s">
        <v>3609</v>
      </c>
      <c r="J523" s="22"/>
      <c r="K523" s="276" t="s">
        <v>9123</v>
      </c>
      <c r="L523" s="646" t="s">
        <v>12531</v>
      </c>
    </row>
    <row r="524" spans="1:12" ht="22.5" x14ac:dyDescent="0.2">
      <c r="A524" s="29" t="s">
        <v>4788</v>
      </c>
      <c r="B524" s="8" t="s">
        <v>3455</v>
      </c>
      <c r="C524" s="1048"/>
      <c r="D524" s="1048"/>
      <c r="E524" s="8" t="s">
        <v>5358</v>
      </c>
      <c r="F524" s="985"/>
      <c r="G524" s="8" t="s">
        <v>187</v>
      </c>
      <c r="H524" s="673" t="s">
        <v>4573</v>
      </c>
      <c r="I524" s="673" t="s">
        <v>2889</v>
      </c>
      <c r="J524" s="22"/>
      <c r="K524" s="276" t="s">
        <v>9123</v>
      </c>
      <c r="L524" s="646" t="s">
        <v>12531</v>
      </c>
    </row>
    <row r="525" spans="1:12" ht="22.5" x14ac:dyDescent="0.2">
      <c r="A525" s="29" t="s">
        <v>5215</v>
      </c>
      <c r="B525" s="8" t="s">
        <v>4525</v>
      </c>
      <c r="C525" s="1048"/>
      <c r="D525" s="1048"/>
      <c r="E525" s="8" t="s">
        <v>5359</v>
      </c>
      <c r="F525" s="985"/>
      <c r="G525" s="8" t="s">
        <v>187</v>
      </c>
      <c r="H525" s="673" t="s">
        <v>4574</v>
      </c>
      <c r="I525" s="673" t="s">
        <v>4343</v>
      </c>
      <c r="J525" s="22"/>
      <c r="K525" s="276" t="s">
        <v>9123</v>
      </c>
      <c r="L525" s="646" t="s">
        <v>12531</v>
      </c>
    </row>
    <row r="526" spans="1:12" ht="22.5" x14ac:dyDescent="0.2">
      <c r="A526" s="29" t="s">
        <v>5216</v>
      </c>
      <c r="B526" s="8" t="s">
        <v>4526</v>
      </c>
      <c r="C526" s="1048"/>
      <c r="D526" s="1048"/>
      <c r="E526" s="8" t="s">
        <v>5360</v>
      </c>
      <c r="F526" s="985"/>
      <c r="G526" s="8" t="s">
        <v>187</v>
      </c>
      <c r="H526" s="673" t="s">
        <v>4575</v>
      </c>
      <c r="I526" s="673" t="s">
        <v>171</v>
      </c>
      <c r="J526" s="22"/>
      <c r="K526" s="276" t="s">
        <v>9123</v>
      </c>
      <c r="L526" s="646" t="s">
        <v>12531</v>
      </c>
    </row>
    <row r="527" spans="1:12" ht="34.5" customHeight="1" x14ac:dyDescent="0.2">
      <c r="A527" s="29" t="s">
        <v>5217</v>
      </c>
      <c r="B527" s="8" t="s">
        <v>4527</v>
      </c>
      <c r="C527" s="1048"/>
      <c r="D527" s="1048"/>
      <c r="E527" s="8" t="s">
        <v>5361</v>
      </c>
      <c r="F527" s="985"/>
      <c r="G527" s="8" t="s">
        <v>187</v>
      </c>
      <c r="H527" s="673" t="s">
        <v>4576</v>
      </c>
      <c r="I527" s="673" t="s">
        <v>3609</v>
      </c>
      <c r="J527" s="22"/>
      <c r="K527" s="276" t="s">
        <v>9123</v>
      </c>
      <c r="L527" s="646" t="s">
        <v>12531</v>
      </c>
    </row>
    <row r="528" spans="1:12" ht="22.5" x14ac:dyDescent="0.2">
      <c r="A528" s="29" t="s">
        <v>5218</v>
      </c>
      <c r="B528" s="8" t="s">
        <v>3455</v>
      </c>
      <c r="C528" s="1048"/>
      <c r="D528" s="1048"/>
      <c r="E528" s="8" t="s">
        <v>5362</v>
      </c>
      <c r="F528" s="985"/>
      <c r="G528" s="8" t="s">
        <v>187</v>
      </c>
      <c r="H528" s="673" t="s">
        <v>4577</v>
      </c>
      <c r="I528" s="673" t="s">
        <v>3994</v>
      </c>
      <c r="J528" s="22"/>
      <c r="K528" s="276" t="s">
        <v>9123</v>
      </c>
      <c r="L528" s="646" t="s">
        <v>12531</v>
      </c>
    </row>
    <row r="529" spans="1:12" ht="22.5" x14ac:dyDescent="0.2">
      <c r="A529" s="29" t="s">
        <v>5219</v>
      </c>
      <c r="B529" s="8" t="s">
        <v>4528</v>
      </c>
      <c r="C529" s="1048"/>
      <c r="D529" s="1048"/>
      <c r="E529" s="8" t="s">
        <v>5363</v>
      </c>
      <c r="F529" s="985"/>
      <c r="G529" s="8" t="s">
        <v>187</v>
      </c>
      <c r="H529" s="673" t="s">
        <v>4573</v>
      </c>
      <c r="I529" s="673" t="s">
        <v>4343</v>
      </c>
      <c r="J529" s="22"/>
      <c r="K529" s="276" t="s">
        <v>9123</v>
      </c>
      <c r="L529" s="646" t="s">
        <v>12531</v>
      </c>
    </row>
    <row r="530" spans="1:12" ht="22.5" x14ac:dyDescent="0.2">
      <c r="A530" s="29" t="s">
        <v>5220</v>
      </c>
      <c r="B530" s="8" t="s">
        <v>3455</v>
      </c>
      <c r="C530" s="1048"/>
      <c r="D530" s="1048"/>
      <c r="E530" s="8" t="s">
        <v>5364</v>
      </c>
      <c r="F530" s="985"/>
      <c r="G530" s="8" t="s">
        <v>187</v>
      </c>
      <c r="H530" s="673" t="s">
        <v>4578</v>
      </c>
      <c r="I530" s="673" t="s">
        <v>83</v>
      </c>
      <c r="J530" s="22"/>
      <c r="K530" s="276" t="s">
        <v>9123</v>
      </c>
      <c r="L530" s="646" t="s">
        <v>12531</v>
      </c>
    </row>
    <row r="531" spans="1:12" ht="22.5" x14ac:dyDescent="0.2">
      <c r="A531" s="29" t="s">
        <v>5221</v>
      </c>
      <c r="B531" s="8" t="s">
        <v>4529</v>
      </c>
      <c r="C531" s="1048"/>
      <c r="D531" s="1048"/>
      <c r="E531" s="8" t="s">
        <v>5365</v>
      </c>
      <c r="F531" s="985"/>
      <c r="G531" s="8" t="s">
        <v>187</v>
      </c>
      <c r="H531" s="673" t="s">
        <v>4579</v>
      </c>
      <c r="I531" s="673" t="s">
        <v>532</v>
      </c>
      <c r="J531" s="22"/>
      <c r="K531" s="276" t="s">
        <v>9123</v>
      </c>
      <c r="L531" s="646" t="s">
        <v>12531</v>
      </c>
    </row>
    <row r="532" spans="1:12" ht="22.5" x14ac:dyDescent="0.2">
      <c r="A532" s="29" t="s">
        <v>5222</v>
      </c>
      <c r="B532" s="8" t="s">
        <v>4530</v>
      </c>
      <c r="C532" s="1048"/>
      <c r="D532" s="1048"/>
      <c r="E532" s="8" t="s">
        <v>5366</v>
      </c>
      <c r="F532" s="985"/>
      <c r="G532" s="8" t="s">
        <v>187</v>
      </c>
      <c r="H532" s="673" t="s">
        <v>4580</v>
      </c>
      <c r="I532" s="673" t="s">
        <v>513</v>
      </c>
      <c r="J532" s="22"/>
      <c r="K532" s="276" t="s">
        <v>9123</v>
      </c>
      <c r="L532" s="646" t="s">
        <v>12531</v>
      </c>
    </row>
    <row r="533" spans="1:12" ht="22.5" x14ac:dyDescent="0.2">
      <c r="A533" s="29" t="s">
        <v>5223</v>
      </c>
      <c r="B533" s="8" t="s">
        <v>4531</v>
      </c>
      <c r="C533" s="1048"/>
      <c r="D533" s="1048"/>
      <c r="E533" s="8" t="s">
        <v>5367</v>
      </c>
      <c r="F533" s="985"/>
      <c r="G533" s="8" t="s">
        <v>187</v>
      </c>
      <c r="H533" s="673" t="s">
        <v>4581</v>
      </c>
      <c r="I533" s="673" t="s">
        <v>85</v>
      </c>
      <c r="J533" s="22"/>
      <c r="K533" s="276" t="s">
        <v>9123</v>
      </c>
      <c r="L533" s="646" t="s">
        <v>12531</v>
      </c>
    </row>
    <row r="534" spans="1:12" ht="22.5" x14ac:dyDescent="0.2">
      <c r="A534" s="29" t="s">
        <v>5224</v>
      </c>
      <c r="B534" s="8" t="s">
        <v>3455</v>
      </c>
      <c r="C534" s="1048"/>
      <c r="D534" s="1048"/>
      <c r="E534" s="8" t="s">
        <v>5368</v>
      </c>
      <c r="F534" s="985"/>
      <c r="G534" s="8" t="s">
        <v>187</v>
      </c>
      <c r="H534" s="673" t="s">
        <v>4576</v>
      </c>
      <c r="I534" s="673" t="s">
        <v>504</v>
      </c>
      <c r="J534" s="22"/>
      <c r="K534" s="276" t="s">
        <v>9123</v>
      </c>
      <c r="L534" s="646" t="s">
        <v>12531</v>
      </c>
    </row>
    <row r="535" spans="1:12" ht="22.5" x14ac:dyDescent="0.2">
      <c r="A535" s="29" t="s">
        <v>5225</v>
      </c>
      <c r="B535" s="8" t="s">
        <v>4532</v>
      </c>
      <c r="C535" s="1048"/>
      <c r="D535" s="1048"/>
      <c r="E535" s="8" t="s">
        <v>5369</v>
      </c>
      <c r="F535" s="985"/>
      <c r="G535" s="8" t="s">
        <v>187</v>
      </c>
      <c r="H535" s="673" t="s">
        <v>4571</v>
      </c>
      <c r="I535" s="673" t="s">
        <v>166</v>
      </c>
      <c r="J535" s="22"/>
      <c r="K535" s="276" t="s">
        <v>9123</v>
      </c>
      <c r="L535" s="646" t="s">
        <v>12531</v>
      </c>
    </row>
    <row r="536" spans="1:12" ht="22.5" x14ac:dyDescent="0.2">
      <c r="A536" s="29" t="s">
        <v>5226</v>
      </c>
      <c r="B536" s="8" t="s">
        <v>3455</v>
      </c>
      <c r="C536" s="1048"/>
      <c r="D536" s="1048"/>
      <c r="E536" s="8" t="s">
        <v>5370</v>
      </c>
      <c r="F536" s="985"/>
      <c r="G536" s="8" t="s">
        <v>187</v>
      </c>
      <c r="H536" s="673" t="s">
        <v>4582</v>
      </c>
      <c r="I536" s="673" t="s">
        <v>2829</v>
      </c>
      <c r="J536" s="22"/>
      <c r="K536" s="276" t="s">
        <v>9123</v>
      </c>
      <c r="L536" s="646" t="s">
        <v>12531</v>
      </c>
    </row>
    <row r="537" spans="1:12" ht="22.5" x14ac:dyDescent="0.2">
      <c r="A537" s="29" t="s">
        <v>5227</v>
      </c>
      <c r="B537" s="8" t="s">
        <v>4533</v>
      </c>
      <c r="C537" s="1048"/>
      <c r="D537" s="1048"/>
      <c r="E537" s="8" t="s">
        <v>5371</v>
      </c>
      <c r="F537" s="985"/>
      <c r="G537" s="8" t="s">
        <v>187</v>
      </c>
      <c r="H537" s="673" t="s">
        <v>4582</v>
      </c>
      <c r="I537" s="673" t="s">
        <v>169</v>
      </c>
      <c r="J537" s="22"/>
      <c r="K537" s="276" t="s">
        <v>9123</v>
      </c>
      <c r="L537" s="646" t="s">
        <v>12531</v>
      </c>
    </row>
    <row r="538" spans="1:12" ht="22.5" x14ac:dyDescent="0.2">
      <c r="A538" s="29" t="s">
        <v>5228</v>
      </c>
      <c r="B538" s="8" t="s">
        <v>4534</v>
      </c>
      <c r="C538" s="1048"/>
      <c r="D538" s="1048"/>
      <c r="E538" s="8" t="s">
        <v>5372</v>
      </c>
      <c r="F538" s="985"/>
      <c r="G538" s="8" t="s">
        <v>187</v>
      </c>
      <c r="H538" s="673" t="s">
        <v>4582</v>
      </c>
      <c r="I538" s="673" t="s">
        <v>169</v>
      </c>
      <c r="J538" s="22"/>
      <c r="K538" s="276" t="s">
        <v>9123</v>
      </c>
      <c r="L538" s="646" t="s">
        <v>12531</v>
      </c>
    </row>
    <row r="539" spans="1:12" ht="22.5" x14ac:dyDescent="0.2">
      <c r="A539" s="29" t="s">
        <v>5229</v>
      </c>
      <c r="B539" s="8" t="s">
        <v>3455</v>
      </c>
      <c r="C539" s="1048"/>
      <c r="D539" s="1048"/>
      <c r="E539" s="8" t="s">
        <v>5373</v>
      </c>
      <c r="F539" s="985"/>
      <c r="G539" s="8" t="s">
        <v>187</v>
      </c>
      <c r="H539" s="673" t="s">
        <v>4583</v>
      </c>
      <c r="I539" s="673" t="s">
        <v>79</v>
      </c>
      <c r="J539" s="22"/>
      <c r="K539" s="276" t="s">
        <v>9123</v>
      </c>
      <c r="L539" s="646" t="s">
        <v>12531</v>
      </c>
    </row>
    <row r="540" spans="1:12" ht="22.5" x14ac:dyDescent="0.2">
      <c r="A540" s="29" t="s">
        <v>5230</v>
      </c>
      <c r="B540" s="8" t="s">
        <v>4535</v>
      </c>
      <c r="C540" s="1048"/>
      <c r="D540" s="1048"/>
      <c r="E540" s="8" t="s">
        <v>5374</v>
      </c>
      <c r="F540" s="985"/>
      <c r="G540" s="8" t="s">
        <v>187</v>
      </c>
      <c r="H540" s="673" t="s">
        <v>4584</v>
      </c>
      <c r="I540" s="673" t="s">
        <v>76</v>
      </c>
      <c r="J540" s="22"/>
      <c r="K540" s="276" t="s">
        <v>9123</v>
      </c>
      <c r="L540" s="646" t="s">
        <v>12531</v>
      </c>
    </row>
    <row r="541" spans="1:12" ht="36" customHeight="1" x14ac:dyDescent="0.2">
      <c r="A541" s="29" t="s">
        <v>5231</v>
      </c>
      <c r="B541" s="8" t="s">
        <v>4536</v>
      </c>
      <c r="C541" s="1048"/>
      <c r="D541" s="1048"/>
      <c r="E541" s="8" t="s">
        <v>5375</v>
      </c>
      <c r="F541" s="986"/>
      <c r="G541" s="8" t="s">
        <v>187</v>
      </c>
      <c r="H541" s="673" t="s">
        <v>4585</v>
      </c>
      <c r="I541" s="673" t="s">
        <v>85</v>
      </c>
      <c r="J541" s="22"/>
      <c r="K541" s="276" t="s">
        <v>9123</v>
      </c>
      <c r="L541" s="646" t="s">
        <v>12531</v>
      </c>
    </row>
    <row r="542" spans="1:12" ht="24.75" customHeight="1" x14ac:dyDescent="0.2">
      <c r="A542" s="29" t="s">
        <v>4749</v>
      </c>
      <c r="B542" s="105" t="s">
        <v>4757</v>
      </c>
      <c r="C542" s="1048" t="s">
        <v>4406</v>
      </c>
      <c r="D542" s="1048"/>
      <c r="E542" s="8"/>
      <c r="F542" s="12" t="s">
        <v>11524</v>
      </c>
      <c r="G542" s="1175" t="s">
        <v>4687</v>
      </c>
      <c r="H542" s="1176"/>
      <c r="I542" s="673"/>
      <c r="J542" s="22"/>
      <c r="K542" s="981" t="s">
        <v>11180</v>
      </c>
      <c r="L542" s="966" t="s">
        <v>12530</v>
      </c>
    </row>
    <row r="543" spans="1:12" ht="33.75" customHeight="1" x14ac:dyDescent="0.2">
      <c r="A543" s="29" t="s">
        <v>4789</v>
      </c>
      <c r="B543" s="8" t="s">
        <v>4672</v>
      </c>
      <c r="C543" s="1048"/>
      <c r="D543" s="1048"/>
      <c r="E543" s="8" t="s">
        <v>5395</v>
      </c>
      <c r="F543" s="12" t="s">
        <v>11524</v>
      </c>
      <c r="G543" s="8" t="s">
        <v>4693</v>
      </c>
      <c r="H543" s="673" t="s">
        <v>4689</v>
      </c>
      <c r="I543" s="673" t="s">
        <v>39</v>
      </c>
      <c r="J543" s="22"/>
      <c r="K543" s="982"/>
      <c r="L543" s="967"/>
    </row>
    <row r="544" spans="1:12" ht="33.75" x14ac:dyDescent="0.2">
      <c r="A544" s="29" t="s">
        <v>5232</v>
      </c>
      <c r="B544" s="8" t="s">
        <v>4673</v>
      </c>
      <c r="C544" s="1048"/>
      <c r="D544" s="1048"/>
      <c r="E544" s="8" t="s">
        <v>5396</v>
      </c>
      <c r="F544" s="12" t="s">
        <v>11524</v>
      </c>
      <c r="G544" s="8" t="s">
        <v>4692</v>
      </c>
      <c r="H544" s="673" t="s">
        <v>4689</v>
      </c>
      <c r="I544" s="673" t="s">
        <v>39</v>
      </c>
      <c r="J544" s="22"/>
      <c r="K544" s="982"/>
      <c r="L544" s="967"/>
    </row>
    <row r="545" spans="1:12" ht="33.75" x14ac:dyDescent="0.2">
      <c r="A545" s="29" t="s">
        <v>5233</v>
      </c>
      <c r="B545" s="8" t="s">
        <v>6831</v>
      </c>
      <c r="C545" s="1048"/>
      <c r="D545" s="1048"/>
      <c r="E545" s="8" t="s">
        <v>5397</v>
      </c>
      <c r="F545" s="12" t="s">
        <v>11524</v>
      </c>
      <c r="G545" s="8" t="s">
        <v>4694</v>
      </c>
      <c r="H545" s="673" t="s">
        <v>4690</v>
      </c>
      <c r="I545" s="673" t="s">
        <v>532</v>
      </c>
      <c r="J545" s="22"/>
      <c r="K545" s="982"/>
      <c r="L545" s="967"/>
    </row>
    <row r="546" spans="1:12" x14ac:dyDescent="0.2">
      <c r="A546" s="29" t="s">
        <v>5234</v>
      </c>
      <c r="B546" s="8" t="s">
        <v>342</v>
      </c>
      <c r="C546" s="1048"/>
      <c r="D546" s="1048"/>
      <c r="E546" s="8" t="s">
        <v>5376</v>
      </c>
      <c r="F546" s="12" t="s">
        <v>11524</v>
      </c>
      <c r="G546" s="8" t="s">
        <v>4701</v>
      </c>
      <c r="H546" s="673" t="s">
        <v>4697</v>
      </c>
      <c r="I546" s="673" t="s">
        <v>171</v>
      </c>
      <c r="J546" s="22"/>
      <c r="K546" s="982"/>
      <c r="L546" s="967"/>
    </row>
    <row r="547" spans="1:12" x14ac:dyDescent="0.2">
      <c r="A547" s="29" t="s">
        <v>5235</v>
      </c>
      <c r="B547" s="8" t="s">
        <v>342</v>
      </c>
      <c r="C547" s="1048"/>
      <c r="D547" s="1048"/>
      <c r="E547" s="8" t="s">
        <v>5377</v>
      </c>
      <c r="F547" s="12" t="s">
        <v>11524</v>
      </c>
      <c r="G547" s="8" t="s">
        <v>4702</v>
      </c>
      <c r="H547" s="673" t="s">
        <v>4696</v>
      </c>
      <c r="I547" s="673" t="s">
        <v>552</v>
      </c>
      <c r="J547" s="22"/>
      <c r="K547" s="982"/>
      <c r="L547" s="967"/>
    </row>
    <row r="548" spans="1:12" ht="22.5" x14ac:dyDescent="0.2">
      <c r="A548" s="29" t="s">
        <v>5236</v>
      </c>
      <c r="B548" s="8" t="s">
        <v>342</v>
      </c>
      <c r="C548" s="1048"/>
      <c r="D548" s="1048"/>
      <c r="E548" s="8" t="s">
        <v>5398</v>
      </c>
      <c r="F548" s="12" t="s">
        <v>11524</v>
      </c>
      <c r="G548" s="8" t="s">
        <v>4698</v>
      </c>
      <c r="H548" s="673" t="s">
        <v>4584</v>
      </c>
      <c r="I548" s="673" t="s">
        <v>552</v>
      </c>
      <c r="J548" s="22"/>
      <c r="K548" s="982"/>
      <c r="L548" s="967"/>
    </row>
    <row r="549" spans="1:12" x14ac:dyDescent="0.2">
      <c r="A549" s="29" t="s">
        <v>5237</v>
      </c>
      <c r="B549" s="8" t="s">
        <v>342</v>
      </c>
      <c r="C549" s="1048"/>
      <c r="D549" s="1048"/>
      <c r="E549" s="8" t="s">
        <v>5378</v>
      </c>
      <c r="F549" s="12" t="s">
        <v>11524</v>
      </c>
      <c r="G549" s="8" t="s">
        <v>4701</v>
      </c>
      <c r="H549" s="673" t="s">
        <v>4584</v>
      </c>
      <c r="I549" s="673" t="s">
        <v>4507</v>
      </c>
      <c r="J549" s="22"/>
      <c r="K549" s="982"/>
      <c r="L549" s="967"/>
    </row>
    <row r="550" spans="1:12" x14ac:dyDescent="0.2">
      <c r="A550" s="29" t="s">
        <v>5238</v>
      </c>
      <c r="B550" s="8" t="s">
        <v>4676</v>
      </c>
      <c r="C550" s="1048"/>
      <c r="D550" s="1048"/>
      <c r="E550" s="8" t="s">
        <v>5379</v>
      </c>
      <c r="F550" s="12" t="s">
        <v>11524</v>
      </c>
      <c r="G550" s="8" t="s">
        <v>4703</v>
      </c>
      <c r="H550" s="673" t="s">
        <v>4574</v>
      </c>
      <c r="I550" s="673" t="s">
        <v>3551</v>
      </c>
      <c r="J550" s="22"/>
      <c r="K550" s="982"/>
      <c r="L550" s="967"/>
    </row>
    <row r="551" spans="1:12" x14ac:dyDescent="0.2">
      <c r="A551" s="29" t="s">
        <v>5239</v>
      </c>
      <c r="B551" s="8" t="s">
        <v>342</v>
      </c>
      <c r="C551" s="1048"/>
      <c r="D551" s="1048"/>
      <c r="E551" s="8" t="s">
        <v>5380</v>
      </c>
      <c r="F551" s="12" t="s">
        <v>11524</v>
      </c>
      <c r="G551" s="8" t="s">
        <v>4704</v>
      </c>
      <c r="H551" s="673" t="s">
        <v>3465</v>
      </c>
      <c r="I551" s="673" t="s">
        <v>3994</v>
      </c>
      <c r="J551" s="22"/>
      <c r="K551" s="982"/>
      <c r="L551" s="967"/>
    </row>
    <row r="552" spans="1:12" ht="21.75" customHeight="1" x14ac:dyDescent="0.2">
      <c r="A552" s="29" t="s">
        <v>5240</v>
      </c>
      <c r="B552" s="8" t="s">
        <v>342</v>
      </c>
      <c r="C552" s="1048"/>
      <c r="D552" s="1048"/>
      <c r="E552" s="8" t="s">
        <v>5399</v>
      </c>
      <c r="F552" s="12" t="s">
        <v>11524</v>
      </c>
      <c r="G552" s="8" t="s">
        <v>4705</v>
      </c>
      <c r="H552" s="673" t="s">
        <v>4578</v>
      </c>
      <c r="I552" s="673" t="s">
        <v>532</v>
      </c>
      <c r="J552" s="22"/>
      <c r="K552" s="982"/>
      <c r="L552" s="967"/>
    </row>
    <row r="553" spans="1:12" ht="27.75" customHeight="1" x14ac:dyDescent="0.2">
      <c r="A553" s="29" t="s">
        <v>5241</v>
      </c>
      <c r="B553" s="8" t="s">
        <v>4677</v>
      </c>
      <c r="C553" s="1048"/>
      <c r="D553" s="1048"/>
      <c r="E553" s="8" t="s">
        <v>5400</v>
      </c>
      <c r="F553" s="12" t="s">
        <v>11524</v>
      </c>
      <c r="G553" s="8" t="s">
        <v>4707</v>
      </c>
      <c r="H553" s="673" t="s">
        <v>4706</v>
      </c>
      <c r="I553" s="673" t="s">
        <v>4343</v>
      </c>
      <c r="J553" s="22"/>
      <c r="K553" s="982"/>
      <c r="L553" s="967"/>
    </row>
    <row r="554" spans="1:12" x14ac:dyDescent="0.2">
      <c r="A554" s="29" t="s">
        <v>5242</v>
      </c>
      <c r="B554" s="8" t="s">
        <v>4678</v>
      </c>
      <c r="C554" s="1048"/>
      <c r="D554" s="1048"/>
      <c r="E554" s="8" t="s">
        <v>5381</v>
      </c>
      <c r="F554" s="12" t="s">
        <v>11524</v>
      </c>
      <c r="G554" s="8" t="s">
        <v>4709</v>
      </c>
      <c r="H554" s="673" t="s">
        <v>4708</v>
      </c>
      <c r="I554" s="673" t="s">
        <v>4343</v>
      </c>
      <c r="J554" s="22"/>
      <c r="K554" s="982"/>
      <c r="L554" s="967"/>
    </row>
    <row r="555" spans="1:12" x14ac:dyDescent="0.2">
      <c r="A555" s="29" t="s">
        <v>5243</v>
      </c>
      <c r="B555" s="8" t="s">
        <v>4679</v>
      </c>
      <c r="C555" s="1048"/>
      <c r="D555" s="1048"/>
      <c r="E555" s="8" t="s">
        <v>5382</v>
      </c>
      <c r="F555" s="12" t="s">
        <v>11524</v>
      </c>
      <c r="G555" s="8" t="s">
        <v>4701</v>
      </c>
      <c r="H555" s="673" t="s">
        <v>4710</v>
      </c>
      <c r="I555" s="673" t="s">
        <v>79</v>
      </c>
      <c r="J555" s="22"/>
      <c r="K555" s="982"/>
      <c r="L555" s="967"/>
    </row>
    <row r="556" spans="1:12" x14ac:dyDescent="0.2">
      <c r="A556" s="29" t="s">
        <v>5244</v>
      </c>
      <c r="B556" s="8" t="s">
        <v>342</v>
      </c>
      <c r="C556" s="1048"/>
      <c r="D556" s="1048"/>
      <c r="E556" s="8" t="s">
        <v>5383</v>
      </c>
      <c r="F556" s="12" t="s">
        <v>11524</v>
      </c>
      <c r="G556" s="8" t="s">
        <v>4709</v>
      </c>
      <c r="H556" s="673" t="s">
        <v>4696</v>
      </c>
      <c r="I556" s="673" t="s">
        <v>3701</v>
      </c>
      <c r="J556" s="22"/>
      <c r="K556" s="982"/>
      <c r="L556" s="967"/>
    </row>
    <row r="557" spans="1:12" x14ac:dyDescent="0.2">
      <c r="A557" s="29" t="s">
        <v>5245</v>
      </c>
      <c r="B557" s="8" t="s">
        <v>4678</v>
      </c>
      <c r="C557" s="1048"/>
      <c r="D557" s="1048"/>
      <c r="E557" s="8" t="s">
        <v>5384</v>
      </c>
      <c r="F557" s="12" t="s">
        <v>11524</v>
      </c>
      <c r="G557" s="8" t="s">
        <v>4711</v>
      </c>
      <c r="H557" s="673" t="s">
        <v>4584</v>
      </c>
      <c r="I557" s="673" t="s">
        <v>3609</v>
      </c>
      <c r="J557" s="22"/>
      <c r="K557" s="982"/>
      <c r="L557" s="967"/>
    </row>
    <row r="558" spans="1:12" ht="22.5" x14ac:dyDescent="0.2">
      <c r="A558" s="29" t="s">
        <v>5246</v>
      </c>
      <c r="B558" s="8" t="s">
        <v>4680</v>
      </c>
      <c r="C558" s="1048"/>
      <c r="D558" s="1048"/>
      <c r="E558" s="8" t="s">
        <v>5401</v>
      </c>
      <c r="F558" s="12" t="s">
        <v>11524</v>
      </c>
      <c r="G558" s="8" t="s">
        <v>4701</v>
      </c>
      <c r="H558" s="673" t="s">
        <v>4712</v>
      </c>
      <c r="I558" s="673" t="s">
        <v>504</v>
      </c>
      <c r="J558" s="22"/>
      <c r="K558" s="982"/>
      <c r="L558" s="967"/>
    </row>
    <row r="559" spans="1:12" x14ac:dyDescent="0.2">
      <c r="A559" s="29" t="s">
        <v>5247</v>
      </c>
      <c r="B559" s="8" t="s">
        <v>4681</v>
      </c>
      <c r="C559" s="1048"/>
      <c r="D559" s="1048"/>
      <c r="E559" s="8" t="s">
        <v>5385</v>
      </c>
      <c r="F559" s="12" t="s">
        <v>11524</v>
      </c>
      <c r="G559" s="8" t="s">
        <v>4711</v>
      </c>
      <c r="H559" s="673" t="s">
        <v>4712</v>
      </c>
      <c r="I559" s="673" t="s">
        <v>513</v>
      </c>
      <c r="J559" s="22"/>
      <c r="K559" s="982"/>
      <c r="L559" s="967"/>
    </row>
    <row r="560" spans="1:12" x14ac:dyDescent="0.2">
      <c r="A560" s="29" t="s">
        <v>5248</v>
      </c>
      <c r="B560" s="8" t="s">
        <v>342</v>
      </c>
      <c r="C560" s="1048"/>
      <c r="D560" s="1048"/>
      <c r="E560" s="8" t="s">
        <v>5386</v>
      </c>
      <c r="F560" s="12" t="s">
        <v>11524</v>
      </c>
      <c r="G560" s="8" t="s">
        <v>4714</v>
      </c>
      <c r="H560" s="673" t="s">
        <v>4713</v>
      </c>
      <c r="I560" s="673" t="s">
        <v>169</v>
      </c>
      <c r="J560" s="22"/>
      <c r="K560" s="982"/>
      <c r="L560" s="967"/>
    </row>
    <row r="561" spans="1:12" x14ac:dyDescent="0.2">
      <c r="A561" s="29" t="s">
        <v>5249</v>
      </c>
      <c r="B561" s="8" t="s">
        <v>4682</v>
      </c>
      <c r="C561" s="1048"/>
      <c r="D561" s="1048"/>
      <c r="E561" s="8" t="s">
        <v>5387</v>
      </c>
      <c r="F561" s="12" t="s">
        <v>11524</v>
      </c>
      <c r="G561" s="8" t="s">
        <v>4714</v>
      </c>
      <c r="H561" s="673" t="s">
        <v>4715</v>
      </c>
      <c r="I561" s="673" t="s">
        <v>76</v>
      </c>
      <c r="J561" s="22"/>
      <c r="K561" s="982"/>
      <c r="L561" s="967"/>
    </row>
    <row r="562" spans="1:12" x14ac:dyDescent="0.2">
      <c r="A562" s="29" t="s">
        <v>5250</v>
      </c>
      <c r="B562" s="8" t="s">
        <v>4683</v>
      </c>
      <c r="C562" s="1048"/>
      <c r="D562" s="1048"/>
      <c r="E562" s="8" t="s">
        <v>5388</v>
      </c>
      <c r="F562" s="12" t="s">
        <v>11524</v>
      </c>
      <c r="G562" s="8" t="s">
        <v>4711</v>
      </c>
      <c r="H562" s="673" t="s">
        <v>4647</v>
      </c>
      <c r="I562" s="673" t="s">
        <v>2829</v>
      </c>
      <c r="J562" s="22"/>
      <c r="K562" s="982"/>
      <c r="L562" s="967"/>
    </row>
    <row r="563" spans="1:12" x14ac:dyDescent="0.2">
      <c r="A563" s="29" t="s">
        <v>5251</v>
      </c>
      <c r="B563" s="8" t="s">
        <v>4684</v>
      </c>
      <c r="C563" s="1048"/>
      <c r="D563" s="1048"/>
      <c r="E563" s="8" t="s">
        <v>5389</v>
      </c>
      <c r="F563" s="12" t="s">
        <v>11524</v>
      </c>
      <c r="G563" s="8" t="s">
        <v>4703</v>
      </c>
      <c r="H563" s="673" t="s">
        <v>4716</v>
      </c>
      <c r="I563" s="673" t="s">
        <v>2829</v>
      </c>
      <c r="J563" s="22"/>
      <c r="K563" s="982"/>
      <c r="L563" s="967"/>
    </row>
    <row r="564" spans="1:12" x14ac:dyDescent="0.2">
      <c r="A564" s="29" t="s">
        <v>5252</v>
      </c>
      <c r="B564" s="8" t="s">
        <v>342</v>
      </c>
      <c r="C564" s="1048"/>
      <c r="D564" s="1048"/>
      <c r="E564" s="8" t="s">
        <v>5390</v>
      </c>
      <c r="F564" s="12" t="s">
        <v>11524</v>
      </c>
      <c r="G564" s="8" t="s">
        <v>4714</v>
      </c>
      <c r="H564" s="673" t="s">
        <v>4708</v>
      </c>
      <c r="I564" s="673" t="s">
        <v>83</v>
      </c>
      <c r="J564" s="22"/>
      <c r="K564" s="982"/>
      <c r="L564" s="967"/>
    </row>
    <row r="565" spans="1:12" x14ac:dyDescent="0.2">
      <c r="A565" s="29" t="s">
        <v>5253</v>
      </c>
      <c r="B565" s="8" t="s">
        <v>342</v>
      </c>
      <c r="C565" s="1048"/>
      <c r="D565" s="1048"/>
      <c r="E565" s="8" t="s">
        <v>5391</v>
      </c>
      <c r="F565" s="12" t="s">
        <v>11524</v>
      </c>
      <c r="G565" s="8" t="s">
        <v>4714</v>
      </c>
      <c r="H565" s="673" t="s">
        <v>4717</v>
      </c>
      <c r="I565" s="673" t="s">
        <v>504</v>
      </c>
      <c r="J565" s="22"/>
      <c r="K565" s="982"/>
      <c r="L565" s="967"/>
    </row>
    <row r="566" spans="1:12" ht="25.5" customHeight="1" x14ac:dyDescent="0.2">
      <c r="A566" s="29" t="s">
        <v>5254</v>
      </c>
      <c r="B566" s="8" t="s">
        <v>4685</v>
      </c>
      <c r="C566" s="1048"/>
      <c r="D566" s="1048"/>
      <c r="E566" s="8" t="s">
        <v>5402</v>
      </c>
      <c r="F566" s="12" t="s">
        <v>11524</v>
      </c>
      <c r="G566" s="8" t="s">
        <v>4719</v>
      </c>
      <c r="H566" s="673" t="s">
        <v>4718</v>
      </c>
      <c r="I566" s="673" t="s">
        <v>4507</v>
      </c>
      <c r="J566" s="22"/>
      <c r="K566" s="982"/>
      <c r="L566" s="967"/>
    </row>
    <row r="567" spans="1:12" x14ac:dyDescent="0.2">
      <c r="A567" s="29" t="s">
        <v>5255</v>
      </c>
      <c r="B567" s="8" t="s">
        <v>342</v>
      </c>
      <c r="C567" s="1048"/>
      <c r="D567" s="1048"/>
      <c r="E567" s="8" t="s">
        <v>5392</v>
      </c>
      <c r="F567" s="12" t="s">
        <v>11524</v>
      </c>
      <c r="G567" s="8" t="s">
        <v>4714</v>
      </c>
      <c r="H567" s="673" t="s">
        <v>4720</v>
      </c>
      <c r="I567" s="673" t="s">
        <v>552</v>
      </c>
      <c r="J567" s="22"/>
      <c r="K567" s="982"/>
      <c r="L567" s="967"/>
    </row>
    <row r="568" spans="1:12" x14ac:dyDescent="0.2">
      <c r="A568" s="29" t="s">
        <v>5256</v>
      </c>
      <c r="B568" s="8" t="s">
        <v>4686</v>
      </c>
      <c r="C568" s="1048"/>
      <c r="D568" s="1048"/>
      <c r="E568" s="8" t="s">
        <v>5393</v>
      </c>
      <c r="F568" s="12" t="s">
        <v>11524</v>
      </c>
      <c r="G568" s="8" t="s">
        <v>4714</v>
      </c>
      <c r="H568" s="673" t="s">
        <v>3425</v>
      </c>
      <c r="I568" s="673" t="s">
        <v>552</v>
      </c>
      <c r="J568" s="22"/>
      <c r="K568" s="982"/>
      <c r="L568" s="967"/>
    </row>
    <row r="569" spans="1:12" x14ac:dyDescent="0.2">
      <c r="A569" s="29" t="s">
        <v>5257</v>
      </c>
      <c r="B569" s="8" t="s">
        <v>342</v>
      </c>
      <c r="C569" s="1048"/>
      <c r="D569" s="1048"/>
      <c r="E569" s="8" t="s">
        <v>5394</v>
      </c>
      <c r="F569" s="12" t="s">
        <v>11524</v>
      </c>
      <c r="G569" s="8" t="s">
        <v>4703</v>
      </c>
      <c r="H569" s="673" t="s">
        <v>3428</v>
      </c>
      <c r="I569" s="673" t="s">
        <v>552</v>
      </c>
      <c r="J569" s="22"/>
      <c r="K569" s="983"/>
      <c r="L569" s="968"/>
    </row>
    <row r="570" spans="1:12" x14ac:dyDescent="0.2">
      <c r="A570" s="29" t="s">
        <v>5258</v>
      </c>
      <c r="B570" s="8" t="s">
        <v>4674</v>
      </c>
      <c r="C570" s="1048"/>
      <c r="D570" s="1048"/>
      <c r="E570" s="8"/>
      <c r="F570" s="12" t="s">
        <v>11524</v>
      </c>
      <c r="G570" s="8" t="s">
        <v>4013</v>
      </c>
      <c r="H570" s="673" t="s">
        <v>4691</v>
      </c>
      <c r="I570" s="673" t="s">
        <v>2889</v>
      </c>
      <c r="J570" s="22"/>
      <c r="K570" s="173"/>
      <c r="L570" s="8"/>
    </row>
    <row r="571" spans="1:12" ht="22.5" x14ac:dyDescent="0.2">
      <c r="A571" s="29" t="s">
        <v>5259</v>
      </c>
      <c r="B571" s="8" t="s">
        <v>4675</v>
      </c>
      <c r="C571" s="1048"/>
      <c r="D571" s="1048"/>
      <c r="E571" s="8"/>
      <c r="F571" s="12" t="s">
        <v>11524</v>
      </c>
      <c r="G571" s="8" t="s">
        <v>4700</v>
      </c>
      <c r="H571" s="673" t="s">
        <v>4695</v>
      </c>
      <c r="I571" s="673" t="s">
        <v>2889</v>
      </c>
      <c r="J571" s="22"/>
      <c r="K571" s="173"/>
      <c r="L571" s="8"/>
    </row>
    <row r="572" spans="1:12" ht="24.75" customHeight="1" x14ac:dyDescent="0.2">
      <c r="A572" s="29" t="s">
        <v>4750</v>
      </c>
      <c r="B572" s="105" t="s">
        <v>4727</v>
      </c>
      <c r="C572" s="1102" t="s">
        <v>4199</v>
      </c>
      <c r="D572" s="1106"/>
      <c r="E572" s="8"/>
      <c r="F572" s="984" t="s">
        <v>4197</v>
      </c>
      <c r="G572" s="1175" t="s">
        <v>4549</v>
      </c>
      <c r="H572" s="1176"/>
      <c r="I572" s="673"/>
      <c r="J572" s="22"/>
      <c r="K572" s="1100" t="s">
        <v>9123</v>
      </c>
      <c r="L572" s="961" t="s">
        <v>12531</v>
      </c>
    </row>
    <row r="573" spans="1:12" ht="24.75" customHeight="1" x14ac:dyDescent="0.2">
      <c r="A573" s="29" t="s">
        <v>4721</v>
      </c>
      <c r="B573" s="8" t="s">
        <v>4733</v>
      </c>
      <c r="C573" s="1107"/>
      <c r="D573" s="1108"/>
      <c r="E573" s="8" t="s">
        <v>5407</v>
      </c>
      <c r="F573" s="985"/>
      <c r="G573" s="8" t="s">
        <v>4554</v>
      </c>
      <c r="H573" s="347">
        <v>59.8</v>
      </c>
      <c r="I573" s="673" t="s">
        <v>3300</v>
      </c>
      <c r="J573" s="22"/>
      <c r="K573" s="1179"/>
      <c r="L573" s="963"/>
    </row>
    <row r="574" spans="1:12" ht="24.75" customHeight="1" x14ac:dyDescent="0.2">
      <c r="A574" s="29" t="s">
        <v>4790</v>
      </c>
      <c r="B574" s="8" t="s">
        <v>4733</v>
      </c>
      <c r="C574" s="1107"/>
      <c r="D574" s="1108"/>
      <c r="E574" s="8" t="s">
        <v>5408</v>
      </c>
      <c r="F574" s="985"/>
      <c r="G574" s="8" t="s">
        <v>4555</v>
      </c>
      <c r="H574" s="347">
        <v>79.099999999999994</v>
      </c>
      <c r="I574" s="673" t="s">
        <v>70</v>
      </c>
      <c r="J574" s="22"/>
      <c r="K574" s="1179"/>
      <c r="L574" s="962"/>
    </row>
    <row r="575" spans="1:12" ht="24.75" customHeight="1" x14ac:dyDescent="0.2">
      <c r="A575" s="29" t="s">
        <v>4791</v>
      </c>
      <c r="B575" s="8" t="s">
        <v>4734</v>
      </c>
      <c r="C575" s="1107"/>
      <c r="D575" s="1108"/>
      <c r="E575" s="8" t="s">
        <v>5404</v>
      </c>
      <c r="F575" s="985"/>
      <c r="G575" s="8" t="s">
        <v>4556</v>
      </c>
      <c r="H575" s="347">
        <v>90</v>
      </c>
      <c r="I575" s="673" t="s">
        <v>3994</v>
      </c>
      <c r="J575" s="22"/>
      <c r="K575" s="1179"/>
      <c r="L575" s="646" t="s">
        <v>12531</v>
      </c>
    </row>
    <row r="576" spans="1:12" ht="24.75" customHeight="1" x14ac:dyDescent="0.2">
      <c r="A576" s="29" t="s">
        <v>4792</v>
      </c>
      <c r="B576" s="8" t="s">
        <v>4735</v>
      </c>
      <c r="C576" s="1107"/>
      <c r="D576" s="1108"/>
      <c r="E576" s="8" t="s">
        <v>5406</v>
      </c>
      <c r="F576" s="985"/>
      <c r="G576" s="8" t="s">
        <v>4557</v>
      </c>
      <c r="H576" s="347">
        <v>8.6</v>
      </c>
      <c r="I576" s="673" t="s">
        <v>171</v>
      </c>
      <c r="J576" s="22"/>
      <c r="K576" s="1179"/>
      <c r="L576" s="646" t="s">
        <v>12531</v>
      </c>
    </row>
    <row r="577" spans="1:12" ht="24.75" customHeight="1" x14ac:dyDescent="0.2">
      <c r="A577" s="29" t="s">
        <v>4793</v>
      </c>
      <c r="B577" s="8" t="s">
        <v>4736</v>
      </c>
      <c r="C577" s="1107"/>
      <c r="D577" s="1108"/>
      <c r="E577" s="8" t="s">
        <v>5405</v>
      </c>
      <c r="F577" s="985"/>
      <c r="G577" s="8" t="s">
        <v>4558</v>
      </c>
      <c r="H577" s="347">
        <v>2800</v>
      </c>
      <c r="I577" s="673" t="s">
        <v>79</v>
      </c>
      <c r="J577" s="22"/>
      <c r="K577" s="1179"/>
      <c r="L577" s="646" t="s">
        <v>12531</v>
      </c>
    </row>
    <row r="578" spans="1:12" ht="24.75" customHeight="1" x14ac:dyDescent="0.2">
      <c r="A578" s="29" t="s">
        <v>4794</v>
      </c>
      <c r="B578" s="8" t="s">
        <v>4738</v>
      </c>
      <c r="C578" s="1107"/>
      <c r="D578" s="1108"/>
      <c r="E578" s="8" t="s">
        <v>5410</v>
      </c>
      <c r="F578" s="985"/>
      <c r="G578" s="8" t="s">
        <v>4559</v>
      </c>
      <c r="H578" s="347">
        <v>50</v>
      </c>
      <c r="I578" s="673" t="s">
        <v>504</v>
      </c>
      <c r="J578" s="22"/>
      <c r="K578" s="1179"/>
      <c r="L578" s="646" t="s">
        <v>12531</v>
      </c>
    </row>
    <row r="579" spans="1:12" ht="24.75" customHeight="1" x14ac:dyDescent="0.2">
      <c r="A579" s="29" t="s">
        <v>4795</v>
      </c>
      <c r="B579" s="8" t="s">
        <v>4738</v>
      </c>
      <c r="C579" s="1107"/>
      <c r="D579" s="1108"/>
      <c r="E579" s="8" t="s">
        <v>5409</v>
      </c>
      <c r="F579" s="985"/>
      <c r="G579" s="8" t="s">
        <v>4560</v>
      </c>
      <c r="H579" s="347">
        <v>113</v>
      </c>
      <c r="I579" s="673" t="s">
        <v>171</v>
      </c>
      <c r="J579" s="22"/>
      <c r="K579" s="1179"/>
      <c r="L579" s="646" t="s">
        <v>12531</v>
      </c>
    </row>
    <row r="580" spans="1:12" ht="24.75" customHeight="1" x14ac:dyDescent="0.2">
      <c r="A580" s="29" t="s">
        <v>4796</v>
      </c>
      <c r="B580" s="8" t="s">
        <v>4739</v>
      </c>
      <c r="C580" s="1107"/>
      <c r="D580" s="1108"/>
      <c r="E580" s="8" t="s">
        <v>5408</v>
      </c>
      <c r="F580" s="985"/>
      <c r="G580" s="8" t="s">
        <v>4561</v>
      </c>
      <c r="H580" s="355">
        <v>255</v>
      </c>
      <c r="I580" s="673" t="s">
        <v>517</v>
      </c>
      <c r="J580" s="22"/>
      <c r="K580" s="1101"/>
      <c r="L580" s="646" t="s">
        <v>12531</v>
      </c>
    </row>
    <row r="581" spans="1:12" ht="24.75" customHeight="1" x14ac:dyDescent="0.2">
      <c r="A581" s="29" t="s">
        <v>4797</v>
      </c>
      <c r="B581" s="8" t="s">
        <v>4737</v>
      </c>
      <c r="C581" s="1109"/>
      <c r="D581" s="1110"/>
      <c r="E581" s="8" t="s">
        <v>5403</v>
      </c>
      <c r="F581" s="986"/>
      <c r="G581" s="8" t="s">
        <v>4558</v>
      </c>
      <c r="H581" s="347">
        <v>2800</v>
      </c>
      <c r="I581" s="673" t="s">
        <v>79</v>
      </c>
      <c r="J581" s="22"/>
      <c r="K581" s="230"/>
      <c r="L581" s="632"/>
    </row>
    <row r="582" spans="1:12" ht="38.25" customHeight="1" x14ac:dyDescent="0.2">
      <c r="A582" s="29" t="s">
        <v>4751</v>
      </c>
      <c r="B582" s="8" t="s">
        <v>11369</v>
      </c>
      <c r="C582" s="1097" t="s">
        <v>4199</v>
      </c>
      <c r="D582" s="1099"/>
      <c r="E582" s="8" t="s">
        <v>5411</v>
      </c>
      <c r="F582" s="642" t="s">
        <v>4196</v>
      </c>
      <c r="G582" s="8" t="s">
        <v>4564</v>
      </c>
      <c r="H582" s="356" t="s">
        <v>4195</v>
      </c>
      <c r="I582" s="673" t="s">
        <v>19</v>
      </c>
      <c r="J582" s="22"/>
      <c r="K582" s="8" t="s">
        <v>11180</v>
      </c>
      <c r="L582" s="8" t="s">
        <v>12530</v>
      </c>
    </row>
    <row r="583" spans="1:12" ht="38.25" customHeight="1" x14ac:dyDescent="0.2">
      <c r="A583" s="29" t="s">
        <v>4752</v>
      </c>
      <c r="B583" s="8" t="s">
        <v>4193</v>
      </c>
      <c r="C583" s="1097" t="s">
        <v>4199</v>
      </c>
      <c r="D583" s="1099"/>
      <c r="E583" s="8" t="s">
        <v>5412</v>
      </c>
      <c r="F583" s="642" t="s">
        <v>4194</v>
      </c>
      <c r="G583" s="8" t="s">
        <v>4563</v>
      </c>
      <c r="H583" s="356" t="s">
        <v>4191</v>
      </c>
      <c r="I583" s="673" t="s">
        <v>502</v>
      </c>
      <c r="J583" s="22"/>
      <c r="K583" s="8" t="s">
        <v>11180</v>
      </c>
      <c r="L583" s="8" t="s">
        <v>12530</v>
      </c>
    </row>
    <row r="584" spans="1:12" ht="39" customHeight="1" x14ac:dyDescent="0.2">
      <c r="A584" s="29" t="s">
        <v>4753</v>
      </c>
      <c r="B584" s="8" t="s">
        <v>4189</v>
      </c>
      <c r="C584" s="1048" t="s">
        <v>4199</v>
      </c>
      <c r="D584" s="1048"/>
      <c r="E584" s="8" t="s">
        <v>5413</v>
      </c>
      <c r="F584" s="642" t="s">
        <v>4190</v>
      </c>
      <c r="G584" s="8" t="s">
        <v>4562</v>
      </c>
      <c r="H584" s="357" t="s">
        <v>4192</v>
      </c>
      <c r="I584" s="673" t="s">
        <v>4343</v>
      </c>
      <c r="J584" s="22"/>
      <c r="K584" s="8" t="s">
        <v>11180</v>
      </c>
      <c r="L584" s="8" t="s">
        <v>12530</v>
      </c>
    </row>
    <row r="585" spans="1:12" ht="39.75" customHeight="1" x14ac:dyDescent="0.2">
      <c r="A585" s="29" t="s">
        <v>4754</v>
      </c>
      <c r="B585" s="8" t="s">
        <v>11488</v>
      </c>
      <c r="C585" s="1097" t="s">
        <v>4406</v>
      </c>
      <c r="D585" s="1099"/>
      <c r="E585" s="8" t="s">
        <v>5414</v>
      </c>
      <c r="F585" s="642" t="s">
        <v>11482</v>
      </c>
      <c r="G585" s="8"/>
      <c r="H585" s="673" t="s">
        <v>4823</v>
      </c>
      <c r="I585" s="673" t="s">
        <v>79</v>
      </c>
      <c r="J585" s="22"/>
      <c r="K585" s="276" t="s">
        <v>9123</v>
      </c>
      <c r="L585" s="646" t="s">
        <v>12531</v>
      </c>
    </row>
    <row r="586" spans="1:12" ht="39" customHeight="1" x14ac:dyDescent="0.2">
      <c r="A586" s="29" t="s">
        <v>4798</v>
      </c>
      <c r="B586" s="8" t="s">
        <v>4821</v>
      </c>
      <c r="C586" s="1097" t="s">
        <v>4406</v>
      </c>
      <c r="D586" s="1099"/>
      <c r="E586" s="8" t="s">
        <v>5415</v>
      </c>
      <c r="F586" s="642" t="s">
        <v>11483</v>
      </c>
      <c r="G586" s="8"/>
      <c r="H586" s="673" t="s">
        <v>4824</v>
      </c>
      <c r="I586" s="673" t="s">
        <v>79</v>
      </c>
      <c r="J586" s="22"/>
      <c r="K586" s="8" t="s">
        <v>11180</v>
      </c>
      <c r="L586" s="8" t="s">
        <v>12530</v>
      </c>
    </row>
    <row r="587" spans="1:12" ht="37.5" customHeight="1" x14ac:dyDescent="0.2">
      <c r="A587" s="29" t="s">
        <v>4755</v>
      </c>
      <c r="B587" s="8" t="s">
        <v>4822</v>
      </c>
      <c r="C587" s="1097" t="s">
        <v>4406</v>
      </c>
      <c r="D587" s="1099"/>
      <c r="E587" s="8" t="s">
        <v>5416</v>
      </c>
      <c r="F587" s="642" t="s">
        <v>11484</v>
      </c>
      <c r="G587" s="8"/>
      <c r="H587" s="673" t="s">
        <v>4825</v>
      </c>
      <c r="I587" s="673"/>
      <c r="J587" s="22"/>
      <c r="K587" s="8" t="s">
        <v>11180</v>
      </c>
      <c r="L587" s="8" t="s">
        <v>12530</v>
      </c>
    </row>
    <row r="588" spans="1:12" ht="39" customHeight="1" x14ac:dyDescent="0.2">
      <c r="A588" s="29" t="s">
        <v>4799</v>
      </c>
      <c r="B588" s="8" t="s">
        <v>11485</v>
      </c>
      <c r="C588" s="1097" t="s">
        <v>4406</v>
      </c>
      <c r="D588" s="1099"/>
      <c r="E588" s="8" t="s">
        <v>5417</v>
      </c>
      <c r="F588" s="642" t="s">
        <v>11486</v>
      </c>
      <c r="G588" s="8"/>
      <c r="H588" s="673" t="s">
        <v>4826</v>
      </c>
      <c r="I588" s="673" t="s">
        <v>85</v>
      </c>
      <c r="J588" s="22"/>
      <c r="K588" s="276" t="s">
        <v>9123</v>
      </c>
      <c r="L588" s="646" t="s">
        <v>12531</v>
      </c>
    </row>
    <row r="589" spans="1:12" ht="21.75" customHeight="1" x14ac:dyDescent="0.2">
      <c r="A589" s="29" t="s">
        <v>4817</v>
      </c>
      <c r="B589" s="105" t="s">
        <v>5916</v>
      </c>
      <c r="C589" s="1102" t="s">
        <v>4199</v>
      </c>
      <c r="D589" s="1103"/>
      <c r="E589" s="8" t="s">
        <v>5295</v>
      </c>
      <c r="F589" s="199" t="s">
        <v>11523</v>
      </c>
      <c r="G589" s="1175" t="s">
        <v>4806</v>
      </c>
      <c r="H589" s="1176"/>
      <c r="I589" s="673"/>
      <c r="J589" s="22"/>
      <c r="K589" s="961" t="s">
        <v>11180</v>
      </c>
      <c r="L589" s="961" t="s">
        <v>12530</v>
      </c>
    </row>
    <row r="590" spans="1:12" ht="34.5" customHeight="1" x14ac:dyDescent="0.2">
      <c r="A590" s="29" t="s">
        <v>5260</v>
      </c>
      <c r="B590" s="8" t="s">
        <v>4814</v>
      </c>
      <c r="C590" s="1177"/>
      <c r="D590" s="1178"/>
      <c r="E590" s="8" t="s">
        <v>5418</v>
      </c>
      <c r="F590" s="199" t="s">
        <v>12452</v>
      </c>
      <c r="G590" s="8"/>
      <c r="H590" s="673"/>
      <c r="I590" s="673"/>
      <c r="J590" s="22"/>
      <c r="K590" s="963"/>
      <c r="L590" s="963"/>
    </row>
    <row r="591" spans="1:12" x14ac:dyDescent="0.2">
      <c r="A591" s="29" t="s">
        <v>5261</v>
      </c>
      <c r="B591" s="8" t="s">
        <v>4815</v>
      </c>
      <c r="C591" s="1177"/>
      <c r="D591" s="1178"/>
      <c r="E591" s="8" t="s">
        <v>5419</v>
      </c>
      <c r="F591" s="199" t="s">
        <v>11523</v>
      </c>
      <c r="G591" s="8"/>
      <c r="H591" s="673"/>
      <c r="I591" s="673"/>
      <c r="J591" s="22"/>
      <c r="K591" s="963"/>
      <c r="L591" s="963"/>
    </row>
    <row r="592" spans="1:12" s="13" customFormat="1" x14ac:dyDescent="0.2">
      <c r="A592" s="29" t="s">
        <v>5262</v>
      </c>
      <c r="B592" s="8" t="s">
        <v>4812</v>
      </c>
      <c r="C592" s="1177"/>
      <c r="D592" s="1178"/>
      <c r="E592" s="8" t="s">
        <v>5420</v>
      </c>
      <c r="F592" s="199" t="s">
        <v>11523</v>
      </c>
      <c r="G592" s="8"/>
      <c r="H592" s="673"/>
      <c r="I592" s="673"/>
      <c r="J592" s="22"/>
      <c r="K592" s="963"/>
      <c r="L592" s="963"/>
    </row>
    <row r="593" spans="1:12" s="13" customFormat="1" x14ac:dyDescent="0.2">
      <c r="A593" s="29" t="s">
        <v>5263</v>
      </c>
      <c r="B593" s="8" t="s">
        <v>4813</v>
      </c>
      <c r="C593" s="1177"/>
      <c r="D593" s="1178"/>
      <c r="E593" s="8" t="s">
        <v>5421</v>
      </c>
      <c r="F593" s="199" t="s">
        <v>11523</v>
      </c>
      <c r="G593" s="8"/>
      <c r="H593" s="673"/>
      <c r="I593" s="673"/>
      <c r="J593" s="22"/>
      <c r="K593" s="962"/>
      <c r="L593" s="962"/>
    </row>
    <row r="594" spans="1:12" ht="38.25" customHeight="1" x14ac:dyDescent="0.2">
      <c r="A594" s="29" t="s">
        <v>4818</v>
      </c>
      <c r="B594" s="8" t="s">
        <v>6479</v>
      </c>
      <c r="C594" s="1097" t="s">
        <v>4199</v>
      </c>
      <c r="D594" s="1099"/>
      <c r="E594" s="8" t="s">
        <v>5422</v>
      </c>
      <c r="F594" s="642" t="s">
        <v>11487</v>
      </c>
      <c r="G594" s="8"/>
      <c r="H594" s="673" t="s">
        <v>3463</v>
      </c>
      <c r="I594" s="673" t="s">
        <v>76</v>
      </c>
      <c r="J594" s="22"/>
      <c r="K594" s="276" t="s">
        <v>9123</v>
      </c>
      <c r="L594" s="646" t="s">
        <v>12531</v>
      </c>
    </row>
    <row r="595" spans="1:12" ht="37.5" customHeight="1" x14ac:dyDescent="0.2">
      <c r="A595" s="29" t="s">
        <v>4819</v>
      </c>
      <c r="B595" s="8" t="s">
        <v>4832</v>
      </c>
      <c r="C595" s="1097" t="s">
        <v>4199</v>
      </c>
      <c r="D595" s="1099"/>
      <c r="E595" s="8" t="s">
        <v>4927</v>
      </c>
      <c r="F595" s="8"/>
      <c r="H595" s="673"/>
      <c r="I595" s="673" t="s">
        <v>4853</v>
      </c>
      <c r="J595" s="22"/>
      <c r="K595" s="276" t="s">
        <v>9123</v>
      </c>
      <c r="L595" s="646" t="s">
        <v>12531</v>
      </c>
    </row>
    <row r="596" spans="1:12" ht="39.75" customHeight="1" x14ac:dyDescent="0.2">
      <c r="A596" s="29" t="s">
        <v>4820</v>
      </c>
      <c r="B596" s="8" t="s">
        <v>4836</v>
      </c>
      <c r="C596" s="1097" t="s">
        <v>4199</v>
      </c>
      <c r="D596" s="1099"/>
      <c r="E596" s="8" t="s">
        <v>4928</v>
      </c>
      <c r="F596" s="270"/>
      <c r="G596" s="8"/>
      <c r="H596" s="290"/>
      <c r="I596" s="673" t="s">
        <v>4853</v>
      </c>
      <c r="J596" s="22"/>
      <c r="K596" s="276" t="s">
        <v>9123</v>
      </c>
      <c r="L596" s="646" t="s">
        <v>12531</v>
      </c>
    </row>
    <row r="597" spans="1:12" s="5" customFormat="1" ht="28.5" customHeight="1" x14ac:dyDescent="0.2">
      <c r="A597" s="29" t="s">
        <v>4827</v>
      </c>
      <c r="B597" s="12" t="s">
        <v>4851</v>
      </c>
      <c r="C597" s="1094" t="s">
        <v>4406</v>
      </c>
      <c r="D597" s="1096"/>
      <c r="E597" s="12" t="s">
        <v>4929</v>
      </c>
      <c r="F597" s="120"/>
      <c r="G597" s="12"/>
      <c r="H597" s="358"/>
      <c r="I597" s="312" t="s">
        <v>4853</v>
      </c>
      <c r="J597" s="65"/>
      <c r="K597" s="19" t="s">
        <v>6254</v>
      </c>
      <c r="L597" s="19" t="s">
        <v>6254</v>
      </c>
    </row>
    <row r="598" spans="1:12" s="5" customFormat="1" ht="25.5" customHeight="1" x14ac:dyDescent="0.2">
      <c r="A598" s="29" t="s">
        <v>4828</v>
      </c>
      <c r="B598" s="12" t="s">
        <v>4852</v>
      </c>
      <c r="C598" s="1094" t="s">
        <v>4406</v>
      </c>
      <c r="D598" s="1096"/>
      <c r="E598" s="12" t="s">
        <v>4930</v>
      </c>
      <c r="F598" s="120"/>
      <c r="G598" s="12"/>
      <c r="H598" s="358"/>
      <c r="I598" s="312" t="s">
        <v>4853</v>
      </c>
      <c r="J598" s="65"/>
      <c r="K598" s="19" t="s">
        <v>6254</v>
      </c>
      <c r="L598" s="19" t="s">
        <v>6254</v>
      </c>
    </row>
    <row r="599" spans="1:12" ht="38.25" customHeight="1" x14ac:dyDescent="0.2">
      <c r="A599" s="29" t="s">
        <v>4829</v>
      </c>
      <c r="B599" s="8" t="s">
        <v>4856</v>
      </c>
      <c r="C599" s="1097" t="s">
        <v>4406</v>
      </c>
      <c r="D599" s="1099"/>
      <c r="E599" s="8" t="s">
        <v>4931</v>
      </c>
      <c r="F599" s="270"/>
      <c r="G599" s="8"/>
      <c r="H599" s="290"/>
      <c r="I599" s="673" t="s">
        <v>4853</v>
      </c>
      <c r="J599" s="22"/>
      <c r="K599" s="8" t="s">
        <v>11180</v>
      </c>
      <c r="L599" s="8" t="s">
        <v>12530</v>
      </c>
    </row>
    <row r="600" spans="1:12" ht="36.75" customHeight="1" x14ac:dyDescent="0.2">
      <c r="A600" s="29" t="s">
        <v>4837</v>
      </c>
      <c r="B600" s="8" t="s">
        <v>4854</v>
      </c>
      <c r="C600" s="1097" t="s">
        <v>4406</v>
      </c>
      <c r="D600" s="1099"/>
      <c r="E600" s="8" t="s">
        <v>4932</v>
      </c>
      <c r="F600" s="270"/>
      <c r="G600" s="8"/>
      <c r="H600" s="290"/>
      <c r="I600" s="673" t="s">
        <v>4853</v>
      </c>
      <c r="J600" s="22"/>
      <c r="K600" s="276" t="s">
        <v>9123</v>
      </c>
      <c r="L600" s="646" t="s">
        <v>12531</v>
      </c>
    </row>
    <row r="601" spans="1:12" s="5" customFormat="1" ht="26.25" customHeight="1" x14ac:dyDescent="0.2">
      <c r="A601" s="29" t="s">
        <v>4838</v>
      </c>
      <c r="B601" s="12" t="s">
        <v>4855</v>
      </c>
      <c r="C601" s="1094" t="s">
        <v>4406</v>
      </c>
      <c r="D601" s="1096"/>
      <c r="E601" s="12" t="s">
        <v>4933</v>
      </c>
      <c r="F601" s="120"/>
      <c r="G601" s="12"/>
      <c r="H601" s="358"/>
      <c r="I601" s="312" t="s">
        <v>4853</v>
      </c>
      <c r="J601" s="65"/>
      <c r="K601" s="19" t="s">
        <v>6254</v>
      </c>
      <c r="L601" s="19" t="s">
        <v>6254</v>
      </c>
    </row>
    <row r="602" spans="1:12" ht="37.5" customHeight="1" x14ac:dyDescent="0.2">
      <c r="A602" s="29" t="s">
        <v>2658</v>
      </c>
      <c r="B602" s="8" t="s">
        <v>4857</v>
      </c>
      <c r="C602" s="1097" t="s">
        <v>4406</v>
      </c>
      <c r="D602" s="1099"/>
      <c r="E602" s="8" t="s">
        <v>4934</v>
      </c>
      <c r="F602" s="270"/>
      <c r="G602" s="8"/>
      <c r="H602" s="290"/>
      <c r="I602" s="673" t="s">
        <v>4853</v>
      </c>
      <c r="J602" s="22"/>
      <c r="K602" s="8" t="s">
        <v>11180</v>
      </c>
      <c r="L602" s="8" t="s">
        <v>12530</v>
      </c>
    </row>
    <row r="603" spans="1:12" s="5" customFormat="1" ht="28.5" customHeight="1" x14ac:dyDescent="0.2">
      <c r="A603" s="29" t="s">
        <v>4839</v>
      </c>
      <c r="B603" s="12" t="s">
        <v>4858</v>
      </c>
      <c r="C603" s="1094" t="s">
        <v>4406</v>
      </c>
      <c r="D603" s="1096"/>
      <c r="E603" s="12" t="s">
        <v>4935</v>
      </c>
      <c r="F603" s="120"/>
      <c r="G603" s="12"/>
      <c r="H603" s="358"/>
      <c r="I603" s="312" t="s">
        <v>4853</v>
      </c>
      <c r="J603" s="65"/>
      <c r="K603" s="19" t="s">
        <v>6254</v>
      </c>
      <c r="L603" s="19" t="s">
        <v>6254</v>
      </c>
    </row>
    <row r="604" spans="1:12" ht="36.75" customHeight="1" x14ac:dyDescent="0.2">
      <c r="A604" s="29" t="s">
        <v>4840</v>
      </c>
      <c r="B604" s="8" t="s">
        <v>4859</v>
      </c>
      <c r="C604" s="1097" t="s">
        <v>4406</v>
      </c>
      <c r="D604" s="1099"/>
      <c r="E604" s="8" t="s">
        <v>4936</v>
      </c>
      <c r="F604" s="270"/>
      <c r="G604" s="8"/>
      <c r="H604" s="290"/>
      <c r="I604" s="673" t="s">
        <v>4853</v>
      </c>
      <c r="J604" s="22"/>
      <c r="K604" s="276" t="s">
        <v>9123</v>
      </c>
      <c r="L604" s="646" t="s">
        <v>12531</v>
      </c>
    </row>
    <row r="605" spans="1:12" ht="37.5" customHeight="1" x14ac:dyDescent="0.2">
      <c r="A605" s="29" t="s">
        <v>4841</v>
      </c>
      <c r="B605" s="8" t="s">
        <v>4860</v>
      </c>
      <c r="C605" s="1097" t="s">
        <v>4406</v>
      </c>
      <c r="D605" s="1099"/>
      <c r="E605" s="8" t="s">
        <v>4937</v>
      </c>
      <c r="F605" s="270"/>
      <c r="G605" s="8"/>
      <c r="H605" s="290"/>
      <c r="I605" s="673" t="s">
        <v>4853</v>
      </c>
      <c r="J605" s="22"/>
      <c r="K605" s="276" t="s">
        <v>9123</v>
      </c>
      <c r="L605" s="646" t="s">
        <v>12531</v>
      </c>
    </row>
    <row r="606" spans="1:12" s="5" customFormat="1" ht="26.25" customHeight="1" x14ac:dyDescent="0.2">
      <c r="A606" s="29" t="s">
        <v>4842</v>
      </c>
      <c r="B606" s="12" t="s">
        <v>4679</v>
      </c>
      <c r="C606" s="1094" t="s">
        <v>4406</v>
      </c>
      <c r="D606" s="1096"/>
      <c r="E606" s="12" t="s">
        <v>4938</v>
      </c>
      <c r="F606" s="120"/>
      <c r="G606" s="12"/>
      <c r="H606" s="358"/>
      <c r="I606" s="312" t="s">
        <v>4853</v>
      </c>
      <c r="J606" s="65"/>
      <c r="K606" s="19" t="s">
        <v>6254</v>
      </c>
      <c r="L606" s="19" t="s">
        <v>6254</v>
      </c>
    </row>
    <row r="607" spans="1:12" ht="35.25" customHeight="1" x14ac:dyDescent="0.2">
      <c r="A607" s="29" t="s">
        <v>4843</v>
      </c>
      <c r="B607" s="8" t="s">
        <v>4679</v>
      </c>
      <c r="C607" s="1097" t="s">
        <v>4406</v>
      </c>
      <c r="D607" s="1099"/>
      <c r="E607" s="8" t="s">
        <v>4939</v>
      </c>
      <c r="F607" s="270"/>
      <c r="G607" s="8"/>
      <c r="H607" s="290"/>
      <c r="I607" s="673" t="s">
        <v>4853</v>
      </c>
      <c r="J607" s="22"/>
      <c r="K607" s="8" t="s">
        <v>11180</v>
      </c>
      <c r="L607" s="8" t="s">
        <v>12530</v>
      </c>
    </row>
    <row r="608" spans="1:12" ht="37.5" customHeight="1" x14ac:dyDescent="0.2">
      <c r="A608" s="29" t="s">
        <v>3041</v>
      </c>
      <c r="B608" s="8" t="s">
        <v>4861</v>
      </c>
      <c r="C608" s="1097" t="s">
        <v>4406</v>
      </c>
      <c r="D608" s="1099"/>
      <c r="E608" s="8" t="s">
        <v>4940</v>
      </c>
      <c r="F608" s="270"/>
      <c r="G608" s="8"/>
      <c r="H608" s="290"/>
      <c r="I608" s="673" t="s">
        <v>4853</v>
      </c>
      <c r="J608" s="22"/>
      <c r="K608" s="8" t="s">
        <v>11180</v>
      </c>
      <c r="L608" s="8" t="s">
        <v>12530</v>
      </c>
    </row>
    <row r="609" spans="1:12" ht="37.5" customHeight="1" x14ac:dyDescent="0.2">
      <c r="A609" s="29" t="s">
        <v>3042</v>
      </c>
      <c r="B609" s="8" t="s">
        <v>4862</v>
      </c>
      <c r="C609" s="1097" t="s">
        <v>4406</v>
      </c>
      <c r="D609" s="1099"/>
      <c r="E609" s="8" t="s">
        <v>4941</v>
      </c>
      <c r="F609" s="270"/>
      <c r="G609" s="8"/>
      <c r="H609" s="290"/>
      <c r="I609" s="673" t="s">
        <v>4853</v>
      </c>
      <c r="J609" s="22"/>
      <c r="K609" s="8" t="s">
        <v>11180</v>
      </c>
      <c r="L609" s="8" t="s">
        <v>12530</v>
      </c>
    </row>
    <row r="610" spans="1:12" s="5" customFormat="1" ht="28.5" customHeight="1" x14ac:dyDescent="0.2">
      <c r="A610" s="29" t="s">
        <v>3043</v>
      </c>
      <c r="B610" s="12" t="s">
        <v>4863</v>
      </c>
      <c r="C610" s="1094" t="s">
        <v>4406</v>
      </c>
      <c r="D610" s="1096"/>
      <c r="E610" s="12" t="s">
        <v>4942</v>
      </c>
      <c r="F610" s="120"/>
      <c r="G610" s="12"/>
      <c r="H610" s="358"/>
      <c r="I610" s="312" t="s">
        <v>4853</v>
      </c>
      <c r="J610" s="65"/>
      <c r="K610" s="19" t="s">
        <v>6254</v>
      </c>
      <c r="L610" s="19" t="s">
        <v>6254</v>
      </c>
    </row>
    <row r="611" spans="1:12" ht="36.75" customHeight="1" x14ac:dyDescent="0.2">
      <c r="A611" s="29" t="s">
        <v>4844</v>
      </c>
      <c r="B611" s="8" t="s">
        <v>4864</v>
      </c>
      <c r="C611" s="1097" t="s">
        <v>4406</v>
      </c>
      <c r="D611" s="1099"/>
      <c r="E611" s="8" t="s">
        <v>4943</v>
      </c>
      <c r="F611" s="270"/>
      <c r="G611" s="8"/>
      <c r="H611" s="290"/>
      <c r="I611" s="673" t="s">
        <v>4853</v>
      </c>
      <c r="J611" s="22"/>
      <c r="K611" s="8" t="s">
        <v>11180</v>
      </c>
      <c r="L611" s="8" t="s">
        <v>12530</v>
      </c>
    </row>
    <row r="612" spans="1:12" ht="40.5" customHeight="1" x14ac:dyDescent="0.2">
      <c r="A612" s="29" t="s">
        <v>4845</v>
      </c>
      <c r="B612" s="8" t="s">
        <v>11258</v>
      </c>
      <c r="C612" s="1097" t="s">
        <v>4406</v>
      </c>
      <c r="D612" s="1099"/>
      <c r="E612" s="8" t="s">
        <v>4944</v>
      </c>
      <c r="F612" s="270"/>
      <c r="G612" s="8"/>
      <c r="H612" s="290"/>
      <c r="I612" s="673" t="s">
        <v>4853</v>
      </c>
      <c r="J612" s="22"/>
      <c r="K612" s="8" t="s">
        <v>11180</v>
      </c>
      <c r="L612" s="8" t="s">
        <v>12530</v>
      </c>
    </row>
    <row r="613" spans="1:12" s="5" customFormat="1" ht="37.5" customHeight="1" x14ac:dyDescent="0.2">
      <c r="A613" s="29" t="s">
        <v>4846</v>
      </c>
      <c r="B613" s="12" t="s">
        <v>4865</v>
      </c>
      <c r="C613" s="1094" t="s">
        <v>4406</v>
      </c>
      <c r="D613" s="1096"/>
      <c r="E613" s="12" t="s">
        <v>4945</v>
      </c>
      <c r="F613" s="120"/>
      <c r="G613" s="12"/>
      <c r="H613" s="358"/>
      <c r="I613" s="312" t="s">
        <v>4868</v>
      </c>
      <c r="J613" s="65"/>
      <c r="K613" s="276" t="s">
        <v>9123</v>
      </c>
      <c r="L613" s="646" t="s">
        <v>12531</v>
      </c>
    </row>
    <row r="614" spans="1:12" ht="34.5" customHeight="1" x14ac:dyDescent="0.2">
      <c r="A614" s="29" t="s">
        <v>4847</v>
      </c>
      <c r="B614" s="8" t="s">
        <v>4866</v>
      </c>
      <c r="C614" s="1097" t="s">
        <v>4406</v>
      </c>
      <c r="D614" s="1099"/>
      <c r="E614" s="8" t="s">
        <v>4946</v>
      </c>
      <c r="F614" s="270"/>
      <c r="G614" s="8"/>
      <c r="H614" s="290"/>
      <c r="I614" s="673" t="s">
        <v>4868</v>
      </c>
      <c r="J614" s="22"/>
      <c r="K614" s="276" t="s">
        <v>9123</v>
      </c>
      <c r="L614" s="646" t="s">
        <v>12531</v>
      </c>
    </row>
    <row r="615" spans="1:12" s="5" customFormat="1" ht="38.25" customHeight="1" x14ac:dyDescent="0.2">
      <c r="A615" s="29" t="s">
        <v>4848</v>
      </c>
      <c r="B615" s="12" t="s">
        <v>327</v>
      </c>
      <c r="C615" s="1094" t="s">
        <v>4406</v>
      </c>
      <c r="D615" s="1096"/>
      <c r="E615" s="12" t="s">
        <v>4947</v>
      </c>
      <c r="F615" s="120"/>
      <c r="G615" s="12"/>
      <c r="H615" s="358"/>
      <c r="I615" s="312" t="s">
        <v>4867</v>
      </c>
      <c r="J615" s="65"/>
      <c r="K615" s="8" t="s">
        <v>11180</v>
      </c>
      <c r="L615" s="8" t="s">
        <v>12530</v>
      </c>
    </row>
    <row r="616" spans="1:12" ht="40.5" customHeight="1" x14ac:dyDescent="0.2">
      <c r="A616" s="29" t="s">
        <v>4849</v>
      </c>
      <c r="B616" s="8" t="s">
        <v>4869</v>
      </c>
      <c r="C616" s="1097" t="s">
        <v>4406</v>
      </c>
      <c r="D616" s="1099"/>
      <c r="E616" s="8" t="s">
        <v>4948</v>
      </c>
      <c r="F616" s="270"/>
      <c r="G616" s="8"/>
      <c r="H616" s="290"/>
      <c r="I616" s="673" t="s">
        <v>4868</v>
      </c>
      <c r="J616" s="22"/>
      <c r="K616" s="8" t="s">
        <v>11180</v>
      </c>
      <c r="L616" s="8" t="s">
        <v>12530</v>
      </c>
    </row>
    <row r="617" spans="1:12" ht="40.5" customHeight="1" x14ac:dyDescent="0.2">
      <c r="A617" s="29" t="s">
        <v>4850</v>
      </c>
      <c r="B617" s="8" t="s">
        <v>4870</v>
      </c>
      <c r="C617" s="1097" t="s">
        <v>4406</v>
      </c>
      <c r="D617" s="1099"/>
      <c r="E617" s="8" t="s">
        <v>4949</v>
      </c>
      <c r="F617" s="270"/>
      <c r="G617" s="8"/>
      <c r="H617" s="290"/>
      <c r="I617" s="673" t="s">
        <v>4868</v>
      </c>
      <c r="J617" s="22"/>
      <c r="K617" s="8" t="s">
        <v>11180</v>
      </c>
      <c r="L617" s="8" t="s">
        <v>12530</v>
      </c>
    </row>
    <row r="618" spans="1:12" ht="37.5" customHeight="1" x14ac:dyDescent="0.2">
      <c r="A618" s="29" t="s">
        <v>4880</v>
      </c>
      <c r="B618" s="8" t="s">
        <v>4871</v>
      </c>
      <c r="C618" s="1097" t="s">
        <v>4406</v>
      </c>
      <c r="D618" s="1099"/>
      <c r="E618" s="8" t="s">
        <v>4950</v>
      </c>
      <c r="F618" s="270"/>
      <c r="G618" s="8"/>
      <c r="H618" s="290"/>
      <c r="I618" s="673" t="s">
        <v>4868</v>
      </c>
      <c r="J618" s="22"/>
      <c r="K618" s="8" t="s">
        <v>11180</v>
      </c>
      <c r="L618" s="8" t="s">
        <v>12530</v>
      </c>
    </row>
    <row r="619" spans="1:12" ht="38.25" customHeight="1" x14ac:dyDescent="0.2">
      <c r="A619" s="29" t="s">
        <v>4881</v>
      </c>
      <c r="B619" s="8" t="s">
        <v>4872</v>
      </c>
      <c r="C619" s="1097" t="s">
        <v>4406</v>
      </c>
      <c r="D619" s="1099"/>
      <c r="E619" s="8" t="s">
        <v>4951</v>
      </c>
      <c r="F619" s="270"/>
      <c r="G619" s="8"/>
      <c r="H619" s="290"/>
      <c r="I619" s="673" t="s">
        <v>4910</v>
      </c>
      <c r="J619" s="22"/>
      <c r="K619" s="8" t="s">
        <v>11180</v>
      </c>
      <c r="L619" s="8" t="s">
        <v>12530</v>
      </c>
    </row>
    <row r="620" spans="1:12" ht="37.5" customHeight="1" x14ac:dyDescent="0.2">
      <c r="A620" s="1100" t="s">
        <v>4882</v>
      </c>
      <c r="B620" s="966" t="s">
        <v>4873</v>
      </c>
      <c r="C620" s="1102" t="s">
        <v>4406</v>
      </c>
      <c r="D620" s="1103"/>
      <c r="E620" s="8" t="s">
        <v>4952</v>
      </c>
      <c r="F620" s="270"/>
      <c r="G620" s="8"/>
      <c r="H620" s="290"/>
      <c r="I620" s="673" t="s">
        <v>4910</v>
      </c>
      <c r="J620" s="22"/>
      <c r="K620" s="8" t="s">
        <v>11180</v>
      </c>
      <c r="L620" s="8" t="s">
        <v>12530</v>
      </c>
    </row>
    <row r="621" spans="1:12" ht="24.75" customHeight="1" x14ac:dyDescent="0.2">
      <c r="A621" s="1179"/>
      <c r="B621" s="967"/>
      <c r="C621" s="1177"/>
      <c r="D621" s="1178"/>
      <c r="E621" s="1094" t="s">
        <v>11255</v>
      </c>
      <c r="F621" s="1095"/>
      <c r="G621" s="1095"/>
      <c r="H621" s="1096"/>
      <c r="I621" s="312" t="s">
        <v>7084</v>
      </c>
      <c r="J621" s="22"/>
      <c r="K621" s="8" t="s">
        <v>11180</v>
      </c>
      <c r="L621" s="8" t="s">
        <v>12530</v>
      </c>
    </row>
    <row r="622" spans="1:12" ht="36" customHeight="1" x14ac:dyDescent="0.2">
      <c r="A622" s="1179"/>
      <c r="B622" s="967"/>
      <c r="C622" s="1177"/>
      <c r="D622" s="1178"/>
      <c r="E622" s="1094" t="s">
        <v>11256</v>
      </c>
      <c r="F622" s="1095"/>
      <c r="G622" s="1095"/>
      <c r="H622" s="1096"/>
      <c r="I622" s="312" t="s">
        <v>7084</v>
      </c>
      <c r="J622" s="22"/>
      <c r="K622" s="8" t="s">
        <v>11180</v>
      </c>
      <c r="L622" s="8" t="s">
        <v>12530</v>
      </c>
    </row>
    <row r="623" spans="1:12" ht="47.25" customHeight="1" x14ac:dyDescent="0.2">
      <c r="A623" s="1101"/>
      <c r="B623" s="968"/>
      <c r="C623" s="1104"/>
      <c r="D623" s="1105"/>
      <c r="E623" s="1094" t="s">
        <v>11257</v>
      </c>
      <c r="F623" s="1095"/>
      <c r="G623" s="1095"/>
      <c r="H623" s="1096"/>
      <c r="I623" s="312" t="s">
        <v>7084</v>
      </c>
      <c r="J623" s="22"/>
      <c r="K623" s="8" t="s">
        <v>11180</v>
      </c>
      <c r="L623" s="8" t="s">
        <v>12530</v>
      </c>
    </row>
    <row r="624" spans="1:12" s="5" customFormat="1" ht="30" customHeight="1" x14ac:dyDescent="0.2">
      <c r="A624" s="29" t="s">
        <v>4883</v>
      </c>
      <c r="B624" s="12" t="s">
        <v>4874</v>
      </c>
      <c r="C624" s="1094" t="s">
        <v>4406</v>
      </c>
      <c r="D624" s="1096"/>
      <c r="E624" s="12" t="s">
        <v>4953</v>
      </c>
      <c r="F624" s="120"/>
      <c r="G624" s="12"/>
      <c r="H624" s="358"/>
      <c r="I624" s="312" t="s">
        <v>4868</v>
      </c>
      <c r="J624" s="65"/>
      <c r="K624" s="19" t="s">
        <v>6254</v>
      </c>
      <c r="L624" s="19" t="s">
        <v>6254</v>
      </c>
    </row>
    <row r="625" spans="1:12" ht="37.5" customHeight="1" x14ac:dyDescent="0.2">
      <c r="A625" s="29" t="s">
        <v>4884</v>
      </c>
      <c r="B625" s="8" t="s">
        <v>4875</v>
      </c>
      <c r="C625" s="1097" t="s">
        <v>4406</v>
      </c>
      <c r="D625" s="1099"/>
      <c r="E625" s="8" t="s">
        <v>4954</v>
      </c>
      <c r="F625" s="270"/>
      <c r="G625" s="8"/>
      <c r="H625" s="290"/>
      <c r="I625" s="673" t="s">
        <v>4910</v>
      </c>
      <c r="J625" s="22"/>
      <c r="K625" s="8" t="s">
        <v>11166</v>
      </c>
      <c r="L625" s="728" t="s">
        <v>14046</v>
      </c>
    </row>
    <row r="626" spans="1:12" ht="38.25" customHeight="1" x14ac:dyDescent="0.2">
      <c r="A626" s="29" t="s">
        <v>4885</v>
      </c>
      <c r="B626" s="8" t="s">
        <v>4876</v>
      </c>
      <c r="C626" s="1097" t="s">
        <v>4406</v>
      </c>
      <c r="D626" s="1099"/>
      <c r="E626" s="8" t="s">
        <v>4955</v>
      </c>
      <c r="F626" s="270"/>
      <c r="G626" s="8"/>
      <c r="H626" s="290"/>
      <c r="I626" s="673" t="s">
        <v>4868</v>
      </c>
      <c r="J626" s="22"/>
      <c r="K626" s="8" t="s">
        <v>11166</v>
      </c>
      <c r="L626" s="728" t="s">
        <v>14046</v>
      </c>
    </row>
    <row r="627" spans="1:12" ht="38.25" customHeight="1" x14ac:dyDescent="0.2">
      <c r="A627" s="29" t="s">
        <v>4886</v>
      </c>
      <c r="B627" s="8" t="s">
        <v>4877</v>
      </c>
      <c r="C627" s="1097" t="s">
        <v>4406</v>
      </c>
      <c r="D627" s="1099"/>
      <c r="E627" s="8" t="s">
        <v>4956</v>
      </c>
      <c r="F627" s="270"/>
      <c r="G627" s="8"/>
      <c r="H627" s="290"/>
      <c r="I627" s="673" t="s">
        <v>4868</v>
      </c>
      <c r="J627" s="22"/>
      <c r="K627" s="8" t="s">
        <v>11180</v>
      </c>
      <c r="L627" s="8" t="s">
        <v>12530</v>
      </c>
    </row>
    <row r="628" spans="1:12" ht="36.75" customHeight="1" x14ac:dyDescent="0.2">
      <c r="A628" s="1100" t="s">
        <v>4887</v>
      </c>
      <c r="B628" s="966" t="s">
        <v>4878</v>
      </c>
      <c r="C628" s="1102" t="s">
        <v>4406</v>
      </c>
      <c r="D628" s="1103"/>
      <c r="E628" s="8" t="s">
        <v>4957</v>
      </c>
      <c r="F628" s="270"/>
      <c r="G628" s="8"/>
      <c r="H628" s="290"/>
      <c r="I628" s="673" t="s">
        <v>4910</v>
      </c>
      <c r="J628" s="22"/>
      <c r="K628" s="276" t="s">
        <v>9123</v>
      </c>
      <c r="L628" s="646" t="s">
        <v>12531</v>
      </c>
    </row>
    <row r="629" spans="1:12" ht="16.5" customHeight="1" x14ac:dyDescent="0.2">
      <c r="A629" s="1101"/>
      <c r="B629" s="968"/>
      <c r="C629" s="1104"/>
      <c r="D629" s="1105"/>
      <c r="E629" s="1097" t="s">
        <v>11062</v>
      </c>
      <c r="F629" s="1098"/>
      <c r="G629" s="1098"/>
      <c r="H629" s="1099"/>
      <c r="I629" s="673" t="s">
        <v>9380</v>
      </c>
      <c r="J629" s="22"/>
      <c r="K629" s="276"/>
      <c r="L629" s="646"/>
    </row>
    <row r="630" spans="1:12" ht="38.25" customHeight="1" x14ac:dyDescent="0.2">
      <c r="A630" s="29" t="s">
        <v>4888</v>
      </c>
      <c r="B630" s="8" t="s">
        <v>4911</v>
      </c>
      <c r="C630" s="1097" t="s">
        <v>4406</v>
      </c>
      <c r="D630" s="1099"/>
      <c r="E630" s="8" t="s">
        <v>4958</v>
      </c>
      <c r="F630" s="270"/>
      <c r="G630" s="8"/>
      <c r="H630" s="290"/>
      <c r="I630" s="673" t="s">
        <v>4910</v>
      </c>
      <c r="J630" s="22"/>
      <c r="K630" s="8" t="s">
        <v>11180</v>
      </c>
      <c r="L630" s="8" t="s">
        <v>12530</v>
      </c>
    </row>
    <row r="631" spans="1:12" ht="37.5" customHeight="1" x14ac:dyDescent="0.2">
      <c r="A631" s="29" t="s">
        <v>4889</v>
      </c>
      <c r="B631" s="8" t="s">
        <v>4912</v>
      </c>
      <c r="C631" s="1097" t="s">
        <v>4406</v>
      </c>
      <c r="D631" s="1099"/>
      <c r="E631" s="8" t="s">
        <v>4959</v>
      </c>
      <c r="F631" s="270"/>
      <c r="G631" s="8"/>
      <c r="H631" s="290"/>
      <c r="I631" s="673" t="s">
        <v>4910</v>
      </c>
      <c r="J631" s="22"/>
      <c r="K631" s="8" t="s">
        <v>11166</v>
      </c>
      <c r="L631" s="728" t="s">
        <v>14046</v>
      </c>
    </row>
    <row r="632" spans="1:12" ht="33" customHeight="1" x14ac:dyDescent="0.2">
      <c r="A632" s="29" t="s">
        <v>4890</v>
      </c>
      <c r="B632" s="8" t="s">
        <v>4968</v>
      </c>
      <c r="C632" s="1097" t="s">
        <v>4406</v>
      </c>
      <c r="D632" s="1099"/>
      <c r="E632" s="8" t="s">
        <v>4960</v>
      </c>
      <c r="F632" s="270"/>
      <c r="G632" s="8"/>
      <c r="H632" s="290"/>
      <c r="I632" s="673" t="s">
        <v>4910</v>
      </c>
      <c r="J632" s="22"/>
      <c r="K632" s="276" t="s">
        <v>9123</v>
      </c>
      <c r="L632" s="646" t="s">
        <v>12531</v>
      </c>
    </row>
    <row r="633" spans="1:12" ht="33.75" customHeight="1" x14ac:dyDescent="0.2">
      <c r="A633" s="29" t="s">
        <v>4891</v>
      </c>
      <c r="B633" s="8" t="s">
        <v>4962</v>
      </c>
      <c r="C633" s="1097" t="s">
        <v>4406</v>
      </c>
      <c r="D633" s="1099"/>
      <c r="E633" s="8" t="s">
        <v>4961</v>
      </c>
      <c r="F633" s="270"/>
      <c r="G633" s="8"/>
      <c r="H633" s="290"/>
      <c r="I633" s="673" t="s">
        <v>4910</v>
      </c>
      <c r="J633" s="22"/>
      <c r="K633" s="276" t="s">
        <v>9123</v>
      </c>
      <c r="L633" s="646" t="s">
        <v>12531</v>
      </c>
    </row>
    <row r="634" spans="1:12" ht="33.75" customHeight="1" x14ac:dyDescent="0.2">
      <c r="A634" s="29" t="s">
        <v>4892</v>
      </c>
      <c r="B634" s="8" t="s">
        <v>4879</v>
      </c>
      <c r="C634" s="1097" t="s">
        <v>4406</v>
      </c>
      <c r="D634" s="1099"/>
      <c r="E634" s="8" t="s">
        <v>4963</v>
      </c>
      <c r="F634" s="270"/>
      <c r="G634" s="8"/>
      <c r="H634" s="290"/>
      <c r="I634" s="673" t="s">
        <v>4910</v>
      </c>
      <c r="J634" s="22"/>
      <c r="K634" s="276" t="s">
        <v>9123</v>
      </c>
      <c r="L634" s="646" t="s">
        <v>12531</v>
      </c>
    </row>
    <row r="635" spans="1:12" ht="38.25" customHeight="1" x14ac:dyDescent="0.2">
      <c r="A635" s="29" t="s">
        <v>4893</v>
      </c>
      <c r="B635" s="8" t="s">
        <v>4913</v>
      </c>
      <c r="C635" s="1097" t="s">
        <v>4406</v>
      </c>
      <c r="D635" s="1099"/>
      <c r="E635" s="8" t="s">
        <v>4964</v>
      </c>
      <c r="F635" s="270"/>
      <c r="G635" s="8"/>
      <c r="H635" s="290"/>
      <c r="I635" s="340">
        <v>38353</v>
      </c>
      <c r="J635" s="22"/>
      <c r="K635" s="8" t="s">
        <v>11180</v>
      </c>
      <c r="L635" s="8" t="s">
        <v>12530</v>
      </c>
    </row>
    <row r="636" spans="1:12" ht="36" customHeight="1" x14ac:dyDescent="0.2">
      <c r="A636" s="29" t="s">
        <v>4894</v>
      </c>
      <c r="B636" s="8" t="s">
        <v>4914</v>
      </c>
      <c r="C636" s="1097" t="s">
        <v>4406</v>
      </c>
      <c r="D636" s="1099"/>
      <c r="E636" s="8" t="s">
        <v>4965</v>
      </c>
      <c r="F636" s="270"/>
      <c r="G636" s="8"/>
      <c r="H636" s="290"/>
      <c r="I636" s="340">
        <v>38261</v>
      </c>
      <c r="J636" s="22"/>
      <c r="K636" s="8" t="s">
        <v>11180</v>
      </c>
      <c r="L636" s="8" t="s">
        <v>12530</v>
      </c>
    </row>
    <row r="637" spans="1:12" s="5" customFormat="1" ht="22.5" x14ac:dyDescent="0.2">
      <c r="A637" s="29" t="s">
        <v>4895</v>
      </c>
      <c r="B637" s="12" t="s">
        <v>4915</v>
      </c>
      <c r="C637" s="1094" t="s">
        <v>4406</v>
      </c>
      <c r="D637" s="1096"/>
      <c r="E637" s="12" t="s">
        <v>4966</v>
      </c>
      <c r="F637" s="120"/>
      <c r="G637" s="12"/>
      <c r="H637" s="358"/>
      <c r="I637" s="341">
        <v>38261</v>
      </c>
      <c r="J637" s="65"/>
      <c r="K637" s="19" t="s">
        <v>6254</v>
      </c>
      <c r="L637" s="19" t="s">
        <v>6254</v>
      </c>
    </row>
    <row r="638" spans="1:12" ht="22.5" x14ac:dyDescent="0.2">
      <c r="A638" s="29" t="s">
        <v>4896</v>
      </c>
      <c r="B638" s="12" t="s">
        <v>4916</v>
      </c>
      <c r="C638" s="1094" t="s">
        <v>4406</v>
      </c>
      <c r="D638" s="1096"/>
      <c r="E638" s="12" t="s">
        <v>4967</v>
      </c>
      <c r="F638" s="120"/>
      <c r="G638" s="12"/>
      <c r="H638" s="358"/>
      <c r="I638" s="341">
        <v>38261</v>
      </c>
      <c r="J638" s="65"/>
      <c r="K638" s="19" t="s">
        <v>6254</v>
      </c>
      <c r="L638" s="19" t="s">
        <v>6254</v>
      </c>
    </row>
    <row r="639" spans="1:12" ht="22.5" x14ac:dyDescent="0.2">
      <c r="A639" s="29" t="s">
        <v>4897</v>
      </c>
      <c r="B639" s="12" t="s">
        <v>4917</v>
      </c>
      <c r="C639" s="1094" t="s">
        <v>4406</v>
      </c>
      <c r="D639" s="1096"/>
      <c r="E639" s="12" t="s">
        <v>4969</v>
      </c>
      <c r="F639" s="120"/>
      <c r="G639" s="12"/>
      <c r="H639" s="358"/>
      <c r="I639" s="341">
        <v>38261</v>
      </c>
      <c r="J639" s="65"/>
      <c r="K639" s="19" t="s">
        <v>6254</v>
      </c>
      <c r="L639" s="19" t="s">
        <v>6254</v>
      </c>
    </row>
    <row r="640" spans="1:12" ht="22.5" x14ac:dyDescent="0.2">
      <c r="A640" s="29" t="s">
        <v>4898</v>
      </c>
      <c r="B640" s="12" t="s">
        <v>4918</v>
      </c>
      <c r="C640" s="1094" t="s">
        <v>4406</v>
      </c>
      <c r="D640" s="1096"/>
      <c r="E640" s="12" t="s">
        <v>4970</v>
      </c>
      <c r="F640" s="120"/>
      <c r="G640" s="12"/>
      <c r="H640" s="358"/>
      <c r="I640" s="341">
        <v>38261</v>
      </c>
      <c r="J640" s="65"/>
      <c r="K640" s="19" t="s">
        <v>6254</v>
      </c>
      <c r="L640" s="19" t="s">
        <v>6254</v>
      </c>
    </row>
    <row r="641" spans="1:12" ht="22.5" x14ac:dyDescent="0.2">
      <c r="A641" s="29" t="s">
        <v>4899</v>
      </c>
      <c r="B641" s="12" t="s">
        <v>4919</v>
      </c>
      <c r="C641" s="1094" t="s">
        <v>4406</v>
      </c>
      <c r="D641" s="1096"/>
      <c r="E641" s="12" t="s">
        <v>4971</v>
      </c>
      <c r="F641" s="120"/>
      <c r="G641" s="12"/>
      <c r="H641" s="358"/>
      <c r="I641" s="341">
        <v>38261</v>
      </c>
      <c r="J641" s="65"/>
      <c r="K641" s="19" t="s">
        <v>6254</v>
      </c>
      <c r="L641" s="19" t="s">
        <v>6254</v>
      </c>
    </row>
    <row r="642" spans="1:12" ht="22.5" x14ac:dyDescent="0.2">
      <c r="A642" s="29" t="s">
        <v>4900</v>
      </c>
      <c r="B642" s="12" t="s">
        <v>4920</v>
      </c>
      <c r="C642" s="1094" t="s">
        <v>4406</v>
      </c>
      <c r="D642" s="1096"/>
      <c r="E642" s="12" t="s">
        <v>4972</v>
      </c>
      <c r="F642" s="120"/>
      <c r="G642" s="12"/>
      <c r="H642" s="358"/>
      <c r="I642" s="341">
        <v>38261</v>
      </c>
      <c r="J642" s="65"/>
      <c r="K642" s="19" t="s">
        <v>6254</v>
      </c>
      <c r="L642" s="19" t="s">
        <v>6254</v>
      </c>
    </row>
    <row r="643" spans="1:12" ht="33" customHeight="1" x14ac:dyDescent="0.2">
      <c r="A643" s="29" t="s">
        <v>4901</v>
      </c>
      <c r="B643" s="8" t="s">
        <v>4921</v>
      </c>
      <c r="C643" s="1097" t="s">
        <v>4406</v>
      </c>
      <c r="D643" s="1099"/>
      <c r="E643" s="8" t="s">
        <v>4973</v>
      </c>
      <c r="F643" s="8"/>
      <c r="G643" s="8"/>
      <c r="H643" s="673"/>
      <c r="I643" s="340">
        <v>38261</v>
      </c>
      <c r="J643" s="22"/>
      <c r="K643" s="276" t="s">
        <v>9123</v>
      </c>
      <c r="L643" s="646" t="s">
        <v>12536</v>
      </c>
    </row>
    <row r="644" spans="1:12" ht="46.5" customHeight="1" x14ac:dyDescent="0.2">
      <c r="A644" s="29" t="s">
        <v>4902</v>
      </c>
      <c r="B644" s="8" t="s">
        <v>4922</v>
      </c>
      <c r="C644" s="1097" t="s">
        <v>4200</v>
      </c>
      <c r="D644" s="1099"/>
      <c r="E644" s="8" t="s">
        <v>4974</v>
      </c>
      <c r="F644" s="8"/>
      <c r="G644" s="8"/>
      <c r="H644" s="673"/>
      <c r="I644" s="340">
        <v>37288</v>
      </c>
      <c r="J644" s="22"/>
      <c r="K644" s="19" t="s">
        <v>4545</v>
      </c>
      <c r="L644" s="646" t="s">
        <v>12548</v>
      </c>
    </row>
    <row r="645" spans="1:12" ht="37.5" customHeight="1" x14ac:dyDescent="0.2">
      <c r="A645" s="29" t="s">
        <v>4903</v>
      </c>
      <c r="B645" s="8" t="s">
        <v>4608</v>
      </c>
      <c r="C645" s="1097" t="s">
        <v>4200</v>
      </c>
      <c r="D645" s="1099"/>
      <c r="E645" s="8" t="s">
        <v>4975</v>
      </c>
      <c r="F645" s="8"/>
      <c r="G645" s="8"/>
      <c r="H645" s="673"/>
      <c r="I645" s="340">
        <v>37288</v>
      </c>
      <c r="J645" s="22"/>
      <c r="K645" s="8" t="s">
        <v>11166</v>
      </c>
      <c r="L645" s="728" t="s">
        <v>14046</v>
      </c>
    </row>
    <row r="646" spans="1:12" ht="38.25" customHeight="1" x14ac:dyDescent="0.2">
      <c r="A646" s="29" t="s">
        <v>4904</v>
      </c>
      <c r="B646" s="8" t="s">
        <v>4923</v>
      </c>
      <c r="C646" s="1097" t="s">
        <v>4200</v>
      </c>
      <c r="D646" s="1099"/>
      <c r="E646" s="8" t="s">
        <v>9103</v>
      </c>
      <c r="F646" s="8"/>
      <c r="G646" s="8"/>
      <c r="H646" s="673"/>
      <c r="I646" s="340">
        <v>37288</v>
      </c>
      <c r="J646" s="22"/>
      <c r="K646" s="8" t="s">
        <v>11166</v>
      </c>
      <c r="L646" s="728" t="s">
        <v>14046</v>
      </c>
    </row>
    <row r="647" spans="1:12" ht="37.5" customHeight="1" x14ac:dyDescent="0.2">
      <c r="A647" s="29" t="s">
        <v>4905</v>
      </c>
      <c r="B647" s="8" t="s">
        <v>2643</v>
      </c>
      <c r="C647" s="1097" t="s">
        <v>4200</v>
      </c>
      <c r="D647" s="1099"/>
      <c r="E647" s="8" t="s">
        <v>4976</v>
      </c>
      <c r="F647" s="8"/>
      <c r="G647" s="8"/>
      <c r="H647" s="673"/>
      <c r="I647" s="340">
        <v>37288</v>
      </c>
      <c r="J647" s="22"/>
      <c r="K647" s="276" t="s">
        <v>9123</v>
      </c>
      <c r="L647" s="646" t="s">
        <v>12536</v>
      </c>
    </row>
    <row r="648" spans="1:12" ht="37.5" customHeight="1" x14ac:dyDescent="0.2">
      <c r="A648" s="29" t="s">
        <v>4906</v>
      </c>
      <c r="B648" s="8" t="s">
        <v>342</v>
      </c>
      <c r="C648" s="1097" t="s">
        <v>4200</v>
      </c>
      <c r="D648" s="1099"/>
      <c r="E648" s="8" t="s">
        <v>4977</v>
      </c>
      <c r="F648" s="8"/>
      <c r="G648" s="8"/>
      <c r="H648" s="673"/>
      <c r="I648" s="340">
        <v>37288</v>
      </c>
      <c r="J648" s="22"/>
      <c r="K648" s="8" t="s">
        <v>11180</v>
      </c>
      <c r="L648" s="8" t="s">
        <v>12530</v>
      </c>
    </row>
    <row r="649" spans="1:12" ht="36" customHeight="1" x14ac:dyDescent="0.2">
      <c r="A649" s="29" t="s">
        <v>4907</v>
      </c>
      <c r="B649" s="8" t="s">
        <v>4925</v>
      </c>
      <c r="C649" s="1097" t="s">
        <v>4200</v>
      </c>
      <c r="D649" s="1099"/>
      <c r="E649" s="8" t="s">
        <v>4978</v>
      </c>
      <c r="F649" s="8"/>
      <c r="G649" s="8"/>
      <c r="H649" s="673"/>
      <c r="I649" s="340">
        <v>37288</v>
      </c>
      <c r="J649" s="22"/>
      <c r="K649" s="8" t="s">
        <v>11180</v>
      </c>
      <c r="L649" s="8" t="s">
        <v>12530</v>
      </c>
    </row>
    <row r="650" spans="1:12" ht="38.25" customHeight="1" x14ac:dyDescent="0.2">
      <c r="A650" s="29" t="s">
        <v>4908</v>
      </c>
      <c r="B650" s="8" t="s">
        <v>4924</v>
      </c>
      <c r="C650" s="1097" t="s">
        <v>4200</v>
      </c>
      <c r="D650" s="1099"/>
      <c r="E650" s="8" t="s">
        <v>4979</v>
      </c>
      <c r="F650" s="8"/>
      <c r="G650" s="8"/>
      <c r="H650" s="673"/>
      <c r="I650" s="340">
        <v>37288</v>
      </c>
      <c r="J650" s="22"/>
      <c r="K650" s="276" t="s">
        <v>9123</v>
      </c>
      <c r="L650" s="646" t="s">
        <v>12536</v>
      </c>
    </row>
    <row r="651" spans="1:12" ht="73.5" customHeight="1" x14ac:dyDescent="0.2">
      <c r="A651" s="1100" t="s">
        <v>4909</v>
      </c>
      <c r="B651" s="966" t="s">
        <v>11209</v>
      </c>
      <c r="C651" s="1191" t="s">
        <v>5766</v>
      </c>
      <c r="D651" s="1191"/>
      <c r="E651" s="12"/>
      <c r="F651" s="8" t="s">
        <v>11252</v>
      </c>
      <c r="G651" s="8"/>
      <c r="H651" s="357" t="s">
        <v>11205</v>
      </c>
      <c r="I651" s="340" t="s">
        <v>4433</v>
      </c>
      <c r="J651" s="22"/>
      <c r="K651" s="961" t="s">
        <v>11162</v>
      </c>
      <c r="L651" s="961" t="s">
        <v>11162</v>
      </c>
    </row>
    <row r="652" spans="1:12" ht="15.75" customHeight="1" x14ac:dyDescent="0.2">
      <c r="A652" s="1101"/>
      <c r="B652" s="968"/>
      <c r="C652" s="1192"/>
      <c r="D652" s="1192"/>
      <c r="E652" s="1094" t="s">
        <v>11210</v>
      </c>
      <c r="F652" s="1095"/>
      <c r="G652" s="1096"/>
      <c r="H652" s="357"/>
      <c r="I652" s="351">
        <v>2017</v>
      </c>
      <c r="J652" s="22"/>
      <c r="K652" s="963"/>
      <c r="L652" s="963"/>
    </row>
    <row r="653" spans="1:12" ht="21.75" customHeight="1" x14ac:dyDescent="0.2">
      <c r="A653" s="29" t="s">
        <v>5543</v>
      </c>
      <c r="B653" s="8" t="s">
        <v>11247</v>
      </c>
      <c r="C653" s="1192"/>
      <c r="D653" s="1192"/>
      <c r="E653" s="12"/>
      <c r="F653" s="8" t="s">
        <v>11250</v>
      </c>
      <c r="G653" s="8" t="s">
        <v>3255</v>
      </c>
      <c r="H653" s="327">
        <f>(3*6)</f>
        <v>18</v>
      </c>
      <c r="I653" s="340"/>
      <c r="J653" s="22"/>
      <c r="K653" s="963"/>
      <c r="L653" s="963"/>
    </row>
    <row r="654" spans="1:12" ht="24" customHeight="1" x14ac:dyDescent="0.2">
      <c r="A654" s="29" t="s">
        <v>5767</v>
      </c>
      <c r="B654" s="8" t="s">
        <v>11248</v>
      </c>
      <c r="C654" s="1192"/>
      <c r="D654" s="1192"/>
      <c r="E654" s="12"/>
      <c r="F654" s="8" t="s">
        <v>11249</v>
      </c>
      <c r="G654" s="8" t="s">
        <v>3255</v>
      </c>
      <c r="H654" s="327">
        <f>3*6</f>
        <v>18</v>
      </c>
      <c r="I654" s="340"/>
      <c r="J654" s="22"/>
      <c r="K654" s="963"/>
      <c r="L654" s="963"/>
    </row>
    <row r="655" spans="1:12" x14ac:dyDescent="0.2">
      <c r="A655" s="29" t="s">
        <v>5768</v>
      </c>
      <c r="B655" s="8" t="s">
        <v>11367</v>
      </c>
      <c r="C655" s="1192"/>
      <c r="D655" s="1192"/>
      <c r="E655" s="8"/>
      <c r="F655" s="8" t="s">
        <v>11251</v>
      </c>
      <c r="G655" s="8" t="s">
        <v>4625</v>
      </c>
      <c r="H655" s="432">
        <v>7.8</v>
      </c>
      <c r="I655" s="340"/>
      <c r="J655" s="22"/>
      <c r="K655" s="963"/>
      <c r="L655" s="963"/>
    </row>
    <row r="656" spans="1:12" ht="11.25" customHeight="1" x14ac:dyDescent="0.2">
      <c r="A656" s="29" t="s">
        <v>5770</v>
      </c>
      <c r="B656" s="8" t="s">
        <v>3251</v>
      </c>
      <c r="C656" s="1192"/>
      <c r="D656" s="1192"/>
      <c r="E656" s="12"/>
      <c r="F656" s="8"/>
      <c r="G656" s="8" t="s">
        <v>2402</v>
      </c>
      <c r="H656" s="357" t="s">
        <v>5769</v>
      </c>
      <c r="I656" s="340"/>
      <c r="J656" s="22"/>
      <c r="K656" s="963"/>
      <c r="L656" s="963"/>
    </row>
    <row r="657" spans="1:13" x14ac:dyDescent="0.2">
      <c r="A657" s="29" t="s">
        <v>5772</v>
      </c>
      <c r="B657" s="8" t="s">
        <v>5771</v>
      </c>
      <c r="C657" s="1192"/>
      <c r="D657" s="1192"/>
      <c r="E657" s="12"/>
      <c r="F657" s="8"/>
      <c r="G657" s="8" t="s">
        <v>4013</v>
      </c>
      <c r="H657" s="357" t="s">
        <v>5769</v>
      </c>
      <c r="I657" s="340"/>
      <c r="J657" s="22"/>
      <c r="K657" s="963"/>
      <c r="L657" s="963"/>
    </row>
    <row r="658" spans="1:13" ht="22.5" x14ac:dyDescent="0.2">
      <c r="A658" s="29" t="s">
        <v>5774</v>
      </c>
      <c r="B658" s="8" t="s">
        <v>5773</v>
      </c>
      <c r="C658" s="1192"/>
      <c r="D658" s="1192"/>
      <c r="E658" s="12"/>
      <c r="F658" s="8"/>
      <c r="G658" s="8" t="s">
        <v>5790</v>
      </c>
      <c r="H658" s="673" t="s">
        <v>11206</v>
      </c>
      <c r="I658" s="340"/>
      <c r="J658" s="22"/>
      <c r="K658" s="963"/>
      <c r="L658" s="963"/>
    </row>
    <row r="659" spans="1:13" x14ac:dyDescent="0.2">
      <c r="A659" s="29" t="s">
        <v>5776</v>
      </c>
      <c r="B659" s="8" t="s">
        <v>5775</v>
      </c>
      <c r="C659" s="1192"/>
      <c r="D659" s="1192"/>
      <c r="E659" s="12"/>
      <c r="F659" s="8"/>
      <c r="G659" s="8" t="s">
        <v>5791</v>
      </c>
      <c r="H659" s="673" t="s">
        <v>11364</v>
      </c>
      <c r="I659" s="340"/>
      <c r="J659" s="22"/>
      <c r="K659" s="963"/>
      <c r="L659" s="963"/>
    </row>
    <row r="660" spans="1:13" x14ac:dyDescent="0.2">
      <c r="A660" s="29" t="s">
        <v>5778</v>
      </c>
      <c r="B660" s="8" t="s">
        <v>5777</v>
      </c>
      <c r="C660" s="1192"/>
      <c r="D660" s="1192"/>
      <c r="E660" s="12"/>
      <c r="F660" s="8"/>
      <c r="G660" s="8" t="s">
        <v>5790</v>
      </c>
      <c r="H660" s="673" t="s">
        <v>11207</v>
      </c>
      <c r="I660" s="340"/>
      <c r="J660" s="22"/>
      <c r="K660" s="963"/>
      <c r="L660" s="963"/>
    </row>
    <row r="661" spans="1:13" ht="22.5" x14ac:dyDescent="0.2">
      <c r="A661" s="29" t="s">
        <v>5780</v>
      </c>
      <c r="B661" s="8" t="s">
        <v>5779</v>
      </c>
      <c r="C661" s="1192"/>
      <c r="D661" s="1192"/>
      <c r="E661" s="12"/>
      <c r="F661" s="8"/>
      <c r="G661" s="8"/>
      <c r="H661" s="357"/>
      <c r="I661" s="340"/>
      <c r="J661" s="22"/>
      <c r="K661" s="963"/>
      <c r="L661" s="963"/>
    </row>
    <row r="662" spans="1:13" x14ac:dyDescent="0.2">
      <c r="A662" s="29" t="s">
        <v>11246</v>
      </c>
      <c r="B662" s="8" t="s">
        <v>5781</v>
      </c>
      <c r="C662" s="1193"/>
      <c r="D662" s="1193"/>
      <c r="E662" s="12"/>
      <c r="F662" s="8"/>
      <c r="G662" s="8"/>
      <c r="H662" s="357"/>
      <c r="I662" s="340"/>
      <c r="J662" s="22"/>
      <c r="K662" s="962"/>
      <c r="L662" s="962"/>
    </row>
    <row r="663" spans="1:13" ht="38.25" customHeight="1" x14ac:dyDescent="0.2">
      <c r="A663" s="670" t="s">
        <v>5546</v>
      </c>
      <c r="B663" s="633" t="s">
        <v>5547</v>
      </c>
      <c r="C663" s="1102" t="s">
        <v>5894</v>
      </c>
      <c r="D663" s="1103"/>
      <c r="E663" s="12"/>
      <c r="F663" s="8"/>
      <c r="G663" s="8" t="s">
        <v>5806</v>
      </c>
      <c r="H663" s="334">
        <v>26</v>
      </c>
      <c r="I663" s="673" t="s">
        <v>4433</v>
      </c>
      <c r="J663" s="22"/>
      <c r="K663" s="12"/>
      <c r="L663" s="8"/>
    </row>
    <row r="664" spans="1:13" ht="58.5" customHeight="1" x14ac:dyDescent="0.2">
      <c r="A664" s="29" t="s">
        <v>5921</v>
      </c>
      <c r="B664" s="8" t="s">
        <v>5922</v>
      </c>
      <c r="C664" s="1097" t="s">
        <v>5923</v>
      </c>
      <c r="D664" s="1099"/>
      <c r="E664" s="12"/>
      <c r="F664" s="8"/>
      <c r="G664" s="8" t="s">
        <v>5926</v>
      </c>
      <c r="H664" s="351">
        <v>4.46</v>
      </c>
      <c r="I664" s="673" t="s">
        <v>5783</v>
      </c>
      <c r="J664" s="22"/>
      <c r="K664" s="12" t="s">
        <v>34</v>
      </c>
      <c r="L664" s="19" t="s">
        <v>3436</v>
      </c>
    </row>
    <row r="665" spans="1:13" ht="84" customHeight="1" x14ac:dyDescent="0.2">
      <c r="A665" s="29" t="s">
        <v>6275</v>
      </c>
      <c r="B665" s="12" t="s">
        <v>6276</v>
      </c>
      <c r="C665" s="1182" t="s">
        <v>9226</v>
      </c>
      <c r="D665" s="1183"/>
      <c r="E665" s="12"/>
      <c r="F665" s="981" t="s">
        <v>6278</v>
      </c>
      <c r="G665" s="12"/>
      <c r="H665" s="1194">
        <f>315500</f>
        <v>315500</v>
      </c>
      <c r="I665" s="1189" t="s">
        <v>3466</v>
      </c>
      <c r="J665" s="65"/>
      <c r="K665" s="12" t="s">
        <v>6620</v>
      </c>
      <c r="L665" s="12" t="s">
        <v>6620</v>
      </c>
    </row>
    <row r="666" spans="1:13" ht="111" customHeight="1" x14ac:dyDescent="0.2">
      <c r="A666" s="29" t="s">
        <v>6483</v>
      </c>
      <c r="B666" s="12" t="s">
        <v>6276</v>
      </c>
      <c r="C666" s="1184"/>
      <c r="D666" s="1185"/>
      <c r="E666" s="12"/>
      <c r="F666" s="983"/>
      <c r="G666" s="12"/>
      <c r="H666" s="1195"/>
      <c r="I666" s="1190"/>
      <c r="J666" s="65"/>
      <c r="K666" s="12" t="s">
        <v>6551</v>
      </c>
      <c r="L666" s="12" t="s">
        <v>6551</v>
      </c>
    </row>
    <row r="667" spans="1:13" ht="34.5" customHeight="1" x14ac:dyDescent="0.2">
      <c r="A667" s="12" t="s">
        <v>8855</v>
      </c>
      <c r="B667" s="8" t="s">
        <v>7298</v>
      </c>
      <c r="C667" s="1097" t="s">
        <v>7297</v>
      </c>
      <c r="D667" s="1099"/>
      <c r="E667" s="12"/>
      <c r="F667" s="8" t="s">
        <v>7296</v>
      </c>
      <c r="G667" s="8"/>
      <c r="H667" s="326">
        <v>14</v>
      </c>
      <c r="I667" s="673"/>
      <c r="J667" s="8"/>
      <c r="K667" s="12"/>
      <c r="L667" s="8"/>
    </row>
    <row r="668" spans="1:13" ht="29.25" customHeight="1" x14ac:dyDescent="0.2">
      <c r="A668" s="29" t="s">
        <v>8856</v>
      </c>
      <c r="B668" s="8" t="s">
        <v>8854</v>
      </c>
      <c r="C668" s="1097" t="s">
        <v>8853</v>
      </c>
      <c r="D668" s="1099"/>
      <c r="E668" s="12"/>
      <c r="F668" s="642" t="s">
        <v>9298</v>
      </c>
      <c r="G668" s="8"/>
      <c r="H668" s="326" t="s">
        <v>8857</v>
      </c>
      <c r="I668" s="673" t="s">
        <v>67</v>
      </c>
      <c r="J668" s="8"/>
      <c r="K668" s="12"/>
      <c r="L668" s="8"/>
    </row>
    <row r="669" spans="1:13" ht="73.5" customHeight="1" x14ac:dyDescent="0.2">
      <c r="A669" s="29" t="s">
        <v>8984</v>
      </c>
      <c r="B669" s="8" t="s">
        <v>8987</v>
      </c>
      <c r="C669" s="1097" t="s">
        <v>8991</v>
      </c>
      <c r="D669" s="1099"/>
      <c r="E669" s="12"/>
      <c r="F669" s="8" t="s">
        <v>8988</v>
      </c>
      <c r="G669" s="8" t="s">
        <v>8990</v>
      </c>
      <c r="H669" s="673" t="s">
        <v>8989</v>
      </c>
      <c r="I669" s="673" t="s">
        <v>3301</v>
      </c>
      <c r="J669" s="8"/>
      <c r="K669" s="12"/>
      <c r="L669" s="8"/>
    </row>
    <row r="670" spans="1:13" ht="47.25" customHeight="1" x14ac:dyDescent="0.2">
      <c r="A670" s="29" t="s">
        <v>8985</v>
      </c>
      <c r="B670" s="8" t="s">
        <v>9224</v>
      </c>
      <c r="C670" s="1097" t="s">
        <v>7664</v>
      </c>
      <c r="D670" s="1099"/>
      <c r="E670" s="12"/>
      <c r="F670" s="8" t="s">
        <v>9223</v>
      </c>
      <c r="G670" s="8"/>
      <c r="H670" s="673" t="s">
        <v>7295</v>
      </c>
      <c r="I670" s="673" t="s">
        <v>4343</v>
      </c>
      <c r="J670" s="8"/>
      <c r="K670" s="12"/>
      <c r="L670" s="8"/>
    </row>
    <row r="671" spans="1:13" ht="23.25" customHeight="1" x14ac:dyDescent="0.2">
      <c r="A671" s="29" t="s">
        <v>8986</v>
      </c>
      <c r="B671" s="10" t="s">
        <v>9382</v>
      </c>
      <c r="C671" s="1079" t="s">
        <v>9384</v>
      </c>
      <c r="D671" s="1080"/>
      <c r="E671" s="12"/>
      <c r="F671" s="8"/>
      <c r="G671" s="8" t="s">
        <v>9385</v>
      </c>
      <c r="H671" s="673" t="s">
        <v>9383</v>
      </c>
      <c r="I671" s="673" t="s">
        <v>4368</v>
      </c>
      <c r="J671" s="8"/>
      <c r="K671" s="12"/>
      <c r="L671" s="8"/>
    </row>
    <row r="672" spans="1:13" ht="27.75" customHeight="1" x14ac:dyDescent="0.2">
      <c r="A672" s="29" t="s">
        <v>9029</v>
      </c>
      <c r="B672" s="10" t="s">
        <v>11051</v>
      </c>
      <c r="C672" s="1079" t="s">
        <v>11033</v>
      </c>
      <c r="D672" s="1080"/>
      <c r="E672" s="12"/>
      <c r="F672" s="8" t="s">
        <v>11054</v>
      </c>
      <c r="G672" s="8" t="s">
        <v>11034</v>
      </c>
      <c r="H672" s="673" t="s">
        <v>3424</v>
      </c>
      <c r="I672" s="673" t="s">
        <v>9380</v>
      </c>
      <c r="J672" s="8"/>
      <c r="K672" s="12"/>
      <c r="L672" s="8"/>
      <c r="M672" s="365"/>
    </row>
    <row r="673" spans="1:13" ht="61.5" customHeight="1" x14ac:dyDescent="0.2">
      <c r="A673" s="29" t="s">
        <v>9030</v>
      </c>
      <c r="B673" s="10" t="s">
        <v>11394</v>
      </c>
      <c r="C673" s="1079" t="s">
        <v>11033</v>
      </c>
      <c r="D673" s="1080"/>
      <c r="E673" s="12"/>
      <c r="F673" s="8"/>
      <c r="G673" s="8"/>
      <c r="H673" s="673" t="s">
        <v>11395</v>
      </c>
      <c r="I673" s="673" t="s">
        <v>9380</v>
      </c>
      <c r="J673" s="8"/>
      <c r="K673" s="646" t="s">
        <v>92</v>
      </c>
      <c r="L673" s="646" t="s">
        <v>92</v>
      </c>
      <c r="M673" s="271"/>
    </row>
    <row r="674" spans="1:13" ht="57.75" customHeight="1" x14ac:dyDescent="0.2">
      <c r="A674" s="822" t="s">
        <v>9031</v>
      </c>
      <c r="B674" s="822" t="s">
        <v>11050</v>
      </c>
      <c r="C674" s="1075" t="s">
        <v>11055</v>
      </c>
      <c r="D674" s="1076"/>
      <c r="E674" s="715"/>
      <c r="F674" s="825" t="s">
        <v>11144</v>
      </c>
      <c r="G674" s="715" t="s">
        <v>11056</v>
      </c>
      <c r="H674" s="720">
        <v>1693</v>
      </c>
      <c r="I674" s="715" t="s">
        <v>510</v>
      </c>
      <c r="J674" s="8"/>
      <c r="K674" s="646" t="s">
        <v>9289</v>
      </c>
      <c r="L674" s="646" t="s">
        <v>9289</v>
      </c>
    </row>
    <row r="675" spans="1:13" ht="57.75" customHeight="1" x14ac:dyDescent="0.2">
      <c r="A675" s="822" t="s">
        <v>14798</v>
      </c>
      <c r="B675" s="822" t="s">
        <v>13398</v>
      </c>
      <c r="C675" s="1075" t="s">
        <v>13399</v>
      </c>
      <c r="D675" s="1076"/>
      <c r="E675" s="715"/>
      <c r="F675" s="825"/>
      <c r="G675" s="715" t="s">
        <v>14799</v>
      </c>
      <c r="H675" s="720">
        <f>30*60</f>
        <v>1800</v>
      </c>
      <c r="I675" s="715" t="s">
        <v>12243</v>
      </c>
      <c r="J675" s="8"/>
      <c r="K675" s="821" t="s">
        <v>9289</v>
      </c>
      <c r="L675" s="821"/>
    </row>
    <row r="676" spans="1:13" ht="57" customHeight="1" x14ac:dyDescent="0.2">
      <c r="A676" s="10" t="s">
        <v>9032</v>
      </c>
      <c r="B676" s="10" t="s">
        <v>11391</v>
      </c>
      <c r="C676" s="1079" t="s">
        <v>11408</v>
      </c>
      <c r="D676" s="1080"/>
      <c r="E676" s="12"/>
      <c r="F676" s="8"/>
      <c r="G676" s="8" t="s">
        <v>11392</v>
      </c>
      <c r="H676" s="673" t="s">
        <v>11393</v>
      </c>
      <c r="I676" s="673" t="s">
        <v>3581</v>
      </c>
      <c r="J676" s="8"/>
      <c r="K676" s="646" t="s">
        <v>4011</v>
      </c>
      <c r="L676" s="8"/>
    </row>
    <row r="677" spans="1:13" ht="59.25" customHeight="1" x14ac:dyDescent="0.2">
      <c r="A677" s="29" t="s">
        <v>9033</v>
      </c>
      <c r="B677" s="10" t="s">
        <v>11409</v>
      </c>
      <c r="C677" s="1079" t="s">
        <v>6628</v>
      </c>
      <c r="D677" s="1080"/>
      <c r="E677" s="12"/>
      <c r="F677" s="642" t="s">
        <v>11461</v>
      </c>
      <c r="G677" s="8" t="s">
        <v>11392</v>
      </c>
      <c r="H677" s="334">
        <f>5.82*2.8</f>
        <v>16.295999999999999</v>
      </c>
      <c r="I677" s="673" t="s">
        <v>3581</v>
      </c>
      <c r="J677" s="8"/>
      <c r="K677" s="646" t="s">
        <v>91</v>
      </c>
      <c r="L677" s="8" t="s">
        <v>11847</v>
      </c>
    </row>
    <row r="678" spans="1:13" ht="58.5" customHeight="1" x14ac:dyDescent="0.2">
      <c r="A678" s="29" t="s">
        <v>9034</v>
      </c>
      <c r="B678" s="10" t="s">
        <v>11410</v>
      </c>
      <c r="C678" s="1079" t="s">
        <v>11407</v>
      </c>
      <c r="D678" s="1080"/>
      <c r="E678" s="12"/>
      <c r="F678" s="642" t="s">
        <v>11459</v>
      </c>
      <c r="G678" s="8"/>
      <c r="H678" s="334">
        <f>5.82*2.8</f>
        <v>16.295999999999999</v>
      </c>
      <c r="I678" s="673">
        <v>2013</v>
      </c>
      <c r="J678" s="8"/>
      <c r="K678" s="646" t="s">
        <v>91</v>
      </c>
      <c r="L678" s="8" t="s">
        <v>11847</v>
      </c>
    </row>
    <row r="679" spans="1:13" ht="52.5" customHeight="1" x14ac:dyDescent="0.2">
      <c r="A679" s="10" t="s">
        <v>9035</v>
      </c>
      <c r="B679" s="10" t="s">
        <v>11382</v>
      </c>
      <c r="C679" s="1079" t="s">
        <v>11379</v>
      </c>
      <c r="D679" s="1080"/>
      <c r="E679" s="12"/>
      <c r="F679" s="8" t="s">
        <v>11380</v>
      </c>
      <c r="G679" s="8"/>
      <c r="H679" s="673" t="s">
        <v>11381</v>
      </c>
      <c r="I679" s="673" t="s">
        <v>5731</v>
      </c>
      <c r="J679" s="22"/>
      <c r="K679" s="12"/>
      <c r="L679" s="8"/>
    </row>
    <row r="680" spans="1:13" s="5" customFormat="1" ht="39" customHeight="1" x14ac:dyDescent="0.2">
      <c r="A680" s="29" t="s">
        <v>11390</v>
      </c>
      <c r="B680" s="10" t="s">
        <v>11503</v>
      </c>
      <c r="C680" s="1094" t="s">
        <v>11507</v>
      </c>
      <c r="D680" s="1096"/>
      <c r="E680" s="12"/>
      <c r="F680" s="642" t="s">
        <v>11549</v>
      </c>
      <c r="G680" s="12" t="s">
        <v>11412</v>
      </c>
      <c r="H680" s="352">
        <v>5</v>
      </c>
      <c r="I680" s="312"/>
      <c r="J680" s="65"/>
      <c r="K680" s="12"/>
      <c r="L680" s="12"/>
    </row>
    <row r="681" spans="1:13" ht="57" customHeight="1" x14ac:dyDescent="0.2">
      <c r="A681" s="10" t="s">
        <v>11788</v>
      </c>
      <c r="B681" s="10" t="s">
        <v>11789</v>
      </c>
      <c r="C681" s="1079" t="s">
        <v>5529</v>
      </c>
      <c r="D681" s="1080"/>
      <c r="E681" s="12"/>
      <c r="F681" s="642" t="s">
        <v>11790</v>
      </c>
      <c r="G681" s="8" t="s">
        <v>11791</v>
      </c>
      <c r="H681" s="431">
        <v>4081</v>
      </c>
      <c r="I681" s="351">
        <v>1980</v>
      </c>
      <c r="J681" s="159"/>
      <c r="K681" s="8" t="s">
        <v>3241</v>
      </c>
      <c r="L681" s="646" t="s">
        <v>11848</v>
      </c>
    </row>
    <row r="682" spans="1:13" ht="56.25" x14ac:dyDescent="0.2">
      <c r="A682" s="29" t="s">
        <v>11792</v>
      </c>
      <c r="B682" s="10" t="s">
        <v>11793</v>
      </c>
      <c r="C682" s="1094" t="s">
        <v>11794</v>
      </c>
      <c r="D682" s="1096"/>
      <c r="E682" s="12"/>
      <c r="F682" s="642" t="s">
        <v>11795</v>
      </c>
      <c r="G682" s="12"/>
      <c r="H682" s="431">
        <v>365</v>
      </c>
      <c r="I682" s="592"/>
      <c r="J682" s="431"/>
      <c r="K682" s="276" t="s">
        <v>9123</v>
      </c>
      <c r="L682" s="646" t="s">
        <v>12546</v>
      </c>
    </row>
    <row r="683" spans="1:13" ht="38.25" customHeight="1" x14ac:dyDescent="0.2">
      <c r="A683" s="10" t="s">
        <v>11796</v>
      </c>
      <c r="B683" s="10" t="s">
        <v>11797</v>
      </c>
      <c r="C683" s="1094" t="s">
        <v>11798</v>
      </c>
      <c r="D683" s="1096"/>
      <c r="E683" s="12"/>
      <c r="F683" s="642" t="s">
        <v>11799</v>
      </c>
      <c r="G683" s="12"/>
      <c r="H683" s="593">
        <v>18.100000000000001</v>
      </c>
      <c r="I683" s="353">
        <v>1953</v>
      </c>
      <c r="J683" s="431"/>
      <c r="K683" s="276" t="s">
        <v>9123</v>
      </c>
      <c r="L683" s="646" t="s">
        <v>12546</v>
      </c>
    </row>
    <row r="684" spans="1:13" ht="35.25" customHeight="1" x14ac:dyDescent="0.2">
      <c r="A684" s="29" t="s">
        <v>11800</v>
      </c>
      <c r="B684" s="10" t="s">
        <v>11797</v>
      </c>
      <c r="C684" s="1094" t="s">
        <v>11798</v>
      </c>
      <c r="D684" s="1096"/>
      <c r="E684" s="12"/>
      <c r="F684" s="642" t="s">
        <v>11801</v>
      </c>
      <c r="G684" s="12"/>
      <c r="H684" s="593">
        <v>84.3</v>
      </c>
      <c r="I684" s="353">
        <v>1953</v>
      </c>
      <c r="J684" s="431"/>
      <c r="K684" s="276" t="s">
        <v>9123</v>
      </c>
      <c r="L684" s="646" t="s">
        <v>12546</v>
      </c>
    </row>
    <row r="685" spans="1:13" ht="33.75" x14ac:dyDescent="0.2">
      <c r="A685" s="10" t="s">
        <v>11802</v>
      </c>
      <c r="B685" s="10" t="s">
        <v>11052</v>
      </c>
      <c r="C685" s="1079" t="s">
        <v>11049</v>
      </c>
      <c r="D685" s="1080"/>
      <c r="E685" s="12"/>
      <c r="F685" s="642" t="s">
        <v>11060</v>
      </c>
      <c r="G685" s="8" t="s">
        <v>11058</v>
      </c>
      <c r="H685" s="8" t="s">
        <v>11053</v>
      </c>
      <c r="I685" s="673" t="s">
        <v>165</v>
      </c>
      <c r="J685" s="379"/>
      <c r="K685" s="276" t="s">
        <v>9123</v>
      </c>
      <c r="L685" s="8"/>
    </row>
    <row r="686" spans="1:13" x14ac:dyDescent="0.2">
      <c r="A686" s="29" t="s">
        <v>11803</v>
      </c>
      <c r="B686" s="10" t="s">
        <v>11804</v>
      </c>
      <c r="C686" s="1079" t="s">
        <v>11805</v>
      </c>
      <c r="D686" s="1080"/>
      <c r="E686" s="12"/>
      <c r="F686" s="642" t="s">
        <v>11806</v>
      </c>
      <c r="G686" s="8"/>
      <c r="H686" s="8" t="s">
        <v>11807</v>
      </c>
      <c r="I686" s="673">
        <v>1985</v>
      </c>
      <c r="J686" s="379"/>
      <c r="K686" s="379"/>
      <c r="L686" s="22"/>
    </row>
    <row r="687" spans="1:13" ht="22.5" x14ac:dyDescent="0.2">
      <c r="A687" s="29" t="s">
        <v>11808</v>
      </c>
      <c r="B687" s="10" t="s">
        <v>11809</v>
      </c>
      <c r="C687" s="1079" t="s">
        <v>11805</v>
      </c>
      <c r="D687" s="1080"/>
      <c r="E687" s="12"/>
      <c r="F687" s="642" t="s">
        <v>11810</v>
      </c>
      <c r="G687" s="8"/>
      <c r="H687" s="8" t="s">
        <v>11807</v>
      </c>
      <c r="I687" s="673" t="s">
        <v>79</v>
      </c>
      <c r="J687" s="379"/>
      <c r="K687" s="379"/>
      <c r="L687" s="22"/>
    </row>
    <row r="688" spans="1:13" x14ac:dyDescent="0.2">
      <c r="A688" s="29" t="s">
        <v>11811</v>
      </c>
      <c r="B688" s="10" t="s">
        <v>11812</v>
      </c>
      <c r="C688" s="1079" t="s">
        <v>11805</v>
      </c>
      <c r="D688" s="1080"/>
      <c r="E688" s="12"/>
      <c r="F688" s="642" t="s">
        <v>11813</v>
      </c>
      <c r="G688" s="8"/>
      <c r="H688" s="8" t="s">
        <v>11814</v>
      </c>
      <c r="I688" s="673" t="s">
        <v>2830</v>
      </c>
      <c r="J688" s="379"/>
      <c r="K688" s="379"/>
      <c r="L688" s="22"/>
    </row>
    <row r="689" spans="1:12" x14ac:dyDescent="0.2">
      <c r="A689" s="29" t="s">
        <v>11815</v>
      </c>
      <c r="B689" s="10" t="s">
        <v>11816</v>
      </c>
      <c r="C689" s="1079" t="s">
        <v>11805</v>
      </c>
      <c r="D689" s="1080"/>
      <c r="E689" s="12"/>
      <c r="F689" s="642" t="s">
        <v>11817</v>
      </c>
      <c r="G689" s="8"/>
      <c r="H689" s="8" t="s">
        <v>11818</v>
      </c>
      <c r="I689" s="673" t="s">
        <v>3609</v>
      </c>
      <c r="J689" s="379"/>
      <c r="K689" s="379"/>
      <c r="L689" s="22"/>
    </row>
    <row r="690" spans="1:12" x14ac:dyDescent="0.2">
      <c r="A690" s="29" t="s">
        <v>11819</v>
      </c>
      <c r="B690" s="10" t="s">
        <v>11820</v>
      </c>
      <c r="C690" s="1079" t="s">
        <v>11805</v>
      </c>
      <c r="D690" s="1080"/>
      <c r="E690" s="12"/>
      <c r="F690" s="642" t="s">
        <v>11821</v>
      </c>
      <c r="G690" s="8"/>
      <c r="H690" s="8" t="s">
        <v>3359</v>
      </c>
      <c r="I690" s="673" t="s">
        <v>67</v>
      </c>
      <c r="J690" s="379"/>
      <c r="K690" s="379"/>
      <c r="L690" s="22"/>
    </row>
    <row r="691" spans="1:12" x14ac:dyDescent="0.2">
      <c r="A691" s="29" t="s">
        <v>11822</v>
      </c>
      <c r="B691" s="10" t="s">
        <v>11823</v>
      </c>
      <c r="C691" s="1079" t="s">
        <v>11805</v>
      </c>
      <c r="D691" s="1080"/>
      <c r="E691" s="12"/>
      <c r="F691" s="642" t="s">
        <v>11824</v>
      </c>
      <c r="G691" s="8"/>
      <c r="H691" s="8" t="s">
        <v>11825</v>
      </c>
      <c r="I691" s="673" t="s">
        <v>85</v>
      </c>
      <c r="J691" s="379"/>
      <c r="K691" s="379"/>
      <c r="L691" s="22"/>
    </row>
    <row r="692" spans="1:12" x14ac:dyDescent="0.2">
      <c r="A692" s="29" t="s">
        <v>11826</v>
      </c>
      <c r="B692" s="10" t="s">
        <v>11827</v>
      </c>
      <c r="C692" s="1079" t="s">
        <v>11805</v>
      </c>
      <c r="D692" s="1080"/>
      <c r="E692" s="12"/>
      <c r="F692" s="642" t="s">
        <v>11828</v>
      </c>
      <c r="G692" s="8"/>
      <c r="H692" s="8" t="s">
        <v>3359</v>
      </c>
      <c r="I692" s="673" t="s">
        <v>2889</v>
      </c>
      <c r="J692" s="379"/>
      <c r="K692" s="379"/>
      <c r="L692" s="22"/>
    </row>
    <row r="693" spans="1:12" x14ac:dyDescent="0.2">
      <c r="A693" s="29" t="s">
        <v>11829</v>
      </c>
      <c r="B693" s="10" t="s">
        <v>11830</v>
      </c>
      <c r="C693" s="1079" t="s">
        <v>11805</v>
      </c>
      <c r="D693" s="1080"/>
      <c r="E693" s="12"/>
      <c r="F693" s="642" t="s">
        <v>11831</v>
      </c>
      <c r="G693" s="8"/>
      <c r="H693" s="8" t="s">
        <v>11832</v>
      </c>
      <c r="I693" s="673" t="s">
        <v>517</v>
      </c>
      <c r="J693" s="379"/>
      <c r="K693" s="379"/>
      <c r="L693" s="22"/>
    </row>
    <row r="694" spans="1:12" x14ac:dyDescent="0.2">
      <c r="A694" s="29" t="s">
        <v>11833</v>
      </c>
      <c r="B694" s="10" t="s">
        <v>11834</v>
      </c>
      <c r="C694" s="1079" t="s">
        <v>11805</v>
      </c>
      <c r="D694" s="1080"/>
      <c r="E694" s="12"/>
      <c r="F694" s="642" t="s">
        <v>11835</v>
      </c>
      <c r="G694" s="8"/>
      <c r="H694" s="8" t="s">
        <v>11836</v>
      </c>
      <c r="I694" s="673" t="s">
        <v>2829</v>
      </c>
      <c r="J694" s="379"/>
      <c r="K694" s="379"/>
      <c r="L694" s="22"/>
    </row>
    <row r="695" spans="1:12" x14ac:dyDescent="0.2">
      <c r="A695" s="29" t="s">
        <v>11837</v>
      </c>
      <c r="B695" s="10" t="s">
        <v>11838</v>
      </c>
      <c r="C695" s="1079" t="s">
        <v>11805</v>
      </c>
      <c r="D695" s="1080"/>
      <c r="E695" s="12"/>
      <c r="F695" s="642" t="s">
        <v>11839</v>
      </c>
      <c r="G695" s="8"/>
      <c r="H695" s="8" t="s">
        <v>11807</v>
      </c>
      <c r="I695" s="673" t="s">
        <v>79</v>
      </c>
      <c r="J695" s="379"/>
      <c r="K695" s="379"/>
      <c r="L695" s="22"/>
    </row>
    <row r="696" spans="1:12" x14ac:dyDescent="0.2">
      <c r="A696" s="29" t="s">
        <v>11840</v>
      </c>
      <c r="B696" s="10" t="s">
        <v>11841</v>
      </c>
      <c r="C696" s="1079" t="s">
        <v>11805</v>
      </c>
      <c r="D696" s="1080"/>
      <c r="E696" s="12"/>
      <c r="F696" s="642" t="s">
        <v>11842</v>
      </c>
      <c r="G696" s="8"/>
      <c r="H696" s="8" t="s">
        <v>11843</v>
      </c>
      <c r="I696" s="673" t="s">
        <v>65</v>
      </c>
      <c r="J696" s="379"/>
      <c r="K696" s="379"/>
      <c r="L696" s="22"/>
    </row>
    <row r="697" spans="1:12" x14ac:dyDescent="0.2">
      <c r="A697" s="29" t="s">
        <v>11844</v>
      </c>
      <c r="B697" s="10" t="s">
        <v>11845</v>
      </c>
      <c r="C697" s="1079" t="s">
        <v>11805</v>
      </c>
      <c r="D697" s="1080"/>
      <c r="E697" s="12"/>
      <c r="F697" s="642" t="s">
        <v>11846</v>
      </c>
      <c r="G697" s="8"/>
      <c r="H697" s="8" t="s">
        <v>3359</v>
      </c>
      <c r="I697" s="673" t="s">
        <v>79</v>
      </c>
      <c r="J697" s="379"/>
      <c r="K697" s="379"/>
      <c r="L697" s="22"/>
    </row>
    <row r="698" spans="1:12" ht="48" customHeight="1" x14ac:dyDescent="0.2">
      <c r="A698" s="29" t="s">
        <v>12737</v>
      </c>
      <c r="B698" s="10" t="s">
        <v>12738</v>
      </c>
      <c r="C698" s="1079" t="s">
        <v>12739</v>
      </c>
      <c r="D698" s="1080"/>
      <c r="E698" s="12"/>
      <c r="F698" s="8"/>
      <c r="G698" s="8"/>
      <c r="H698" s="673"/>
      <c r="I698" s="673"/>
      <c r="J698" s="8"/>
      <c r="K698" s="961" t="s">
        <v>4011</v>
      </c>
      <c r="L698" s="8"/>
    </row>
    <row r="699" spans="1:12" ht="27" customHeight="1" x14ac:dyDescent="0.2">
      <c r="A699" s="29" t="s">
        <v>12740</v>
      </c>
      <c r="B699" s="10" t="s">
        <v>12741</v>
      </c>
      <c r="C699" s="1079" t="s">
        <v>6330</v>
      </c>
      <c r="D699" s="1080"/>
      <c r="E699" s="12"/>
      <c r="F699" s="8"/>
      <c r="G699" s="8"/>
      <c r="H699" s="673"/>
      <c r="I699" s="673"/>
      <c r="J699" s="8"/>
      <c r="K699" s="962"/>
      <c r="L699" s="8"/>
    </row>
    <row r="700" spans="1:12" ht="22.5" x14ac:dyDescent="0.2">
      <c r="A700" s="824" t="s">
        <v>13397</v>
      </c>
      <c r="B700" s="822" t="s">
        <v>14782</v>
      </c>
      <c r="C700" s="1075" t="s">
        <v>14783</v>
      </c>
      <c r="D700" s="1076"/>
      <c r="E700" s="715"/>
      <c r="F700" s="825" t="s">
        <v>14784</v>
      </c>
      <c r="G700" s="8"/>
      <c r="H700" s="720" t="s">
        <v>14792</v>
      </c>
      <c r="I700" s="715"/>
      <c r="J700" s="785" t="s">
        <v>14797</v>
      </c>
      <c r="K700" s="12"/>
      <c r="L700" s="8"/>
    </row>
    <row r="701" spans="1:12" ht="22.5" x14ac:dyDescent="0.2">
      <c r="A701" s="824" t="s">
        <v>13998</v>
      </c>
      <c r="B701" s="822" t="s">
        <v>14785</v>
      </c>
      <c r="C701" s="1075" t="s">
        <v>14786</v>
      </c>
      <c r="D701" s="1076"/>
      <c r="E701" s="715"/>
      <c r="F701" s="825" t="s">
        <v>14787</v>
      </c>
      <c r="G701" s="8"/>
      <c r="H701" s="720" t="s">
        <v>14793</v>
      </c>
      <c r="I701" s="715"/>
      <c r="J701" s="785" t="s">
        <v>14797</v>
      </c>
      <c r="K701" s="12"/>
      <c r="L701" s="8"/>
    </row>
    <row r="702" spans="1:12" ht="25.5" customHeight="1" x14ac:dyDescent="0.2">
      <c r="A702" s="824" t="s">
        <v>14788</v>
      </c>
      <c r="B702" s="822" t="s">
        <v>14789</v>
      </c>
      <c r="C702" s="1075" t="s">
        <v>14790</v>
      </c>
      <c r="D702" s="1076"/>
      <c r="E702" s="715"/>
      <c r="F702" s="825" t="s">
        <v>14791</v>
      </c>
      <c r="G702" s="8"/>
      <c r="H702" s="715" t="s">
        <v>14794</v>
      </c>
      <c r="I702" s="715">
        <v>1984</v>
      </c>
      <c r="J702" s="785" t="s">
        <v>14797</v>
      </c>
      <c r="K702" s="12"/>
      <c r="L702" s="8"/>
    </row>
  </sheetData>
  <sheetProtection selectLockedCells="1" selectUnlockedCells="1"/>
  <mergeCells count="678">
    <mergeCell ref="C698:D698"/>
    <mergeCell ref="C699:D699"/>
    <mergeCell ref="K698:K699"/>
    <mergeCell ref="C684:D684"/>
    <mergeCell ref="C685:D685"/>
    <mergeCell ref="C686:D686"/>
    <mergeCell ref="C680:D680"/>
    <mergeCell ref="C681:D681"/>
    <mergeCell ref="C682:D682"/>
    <mergeCell ref="C683:D683"/>
    <mergeCell ref="C694:D694"/>
    <mergeCell ref="C695:D695"/>
    <mergeCell ref="C696:D696"/>
    <mergeCell ref="C697:D697"/>
    <mergeCell ref="A620:A623"/>
    <mergeCell ref="C615:D615"/>
    <mergeCell ref="C616:D616"/>
    <mergeCell ref="C617:D617"/>
    <mergeCell ref="C618:D618"/>
    <mergeCell ref="C668:D668"/>
    <mergeCell ref="C669:D669"/>
    <mergeCell ref="C670:D670"/>
    <mergeCell ref="C671:D671"/>
    <mergeCell ref="C634:D634"/>
    <mergeCell ref="C646:D646"/>
    <mergeCell ref="C647:D647"/>
    <mergeCell ref="C643:D643"/>
    <mergeCell ref="C644:D644"/>
    <mergeCell ref="C620:D623"/>
    <mergeCell ref="C678:D678"/>
    <mergeCell ref="C672:D672"/>
    <mergeCell ref="C679:D679"/>
    <mergeCell ref="C676:D676"/>
    <mergeCell ref="C673:D673"/>
    <mergeCell ref="C627:D627"/>
    <mergeCell ref="C630:D630"/>
    <mergeCell ref="C626:D626"/>
    <mergeCell ref="C414:D414"/>
    <mergeCell ref="C434:D434"/>
    <mergeCell ref="C603:D603"/>
    <mergeCell ref="C606:D606"/>
    <mergeCell ref="C598:D598"/>
    <mergeCell ref="C602:D602"/>
    <mergeCell ref="C595:D595"/>
    <mergeCell ref="C600:D600"/>
    <mergeCell ref="C601:D601"/>
    <mergeCell ref="C439:D439"/>
    <mergeCell ref="C441:D441"/>
    <mergeCell ref="C431:D431"/>
    <mergeCell ref="C438:D438"/>
    <mergeCell ref="C432:D432"/>
    <mergeCell ref="C677:D677"/>
    <mergeCell ref="C674:D674"/>
    <mergeCell ref="C594:D594"/>
    <mergeCell ref="E622:H622"/>
    <mergeCell ref="E623:H623"/>
    <mergeCell ref="G472:H472"/>
    <mergeCell ref="G470:H470"/>
    <mergeCell ref="C589:D593"/>
    <mergeCell ref="E439:F439"/>
    <mergeCell ref="C608:D608"/>
    <mergeCell ref="E621:H621"/>
    <mergeCell ref="C596:D596"/>
    <mergeCell ref="C597:D597"/>
    <mergeCell ref="C582:D582"/>
    <mergeCell ref="G589:H589"/>
    <mergeCell ref="E440:F440"/>
    <mergeCell ref="G457:H457"/>
    <mergeCell ref="K420:K423"/>
    <mergeCell ref="I391:I403"/>
    <mergeCell ref="I665:I666"/>
    <mergeCell ref="C648:D648"/>
    <mergeCell ref="C651:D662"/>
    <mergeCell ref="C649:D649"/>
    <mergeCell ref="C650:D650"/>
    <mergeCell ref="C664:D664"/>
    <mergeCell ref="C645:D645"/>
    <mergeCell ref="F665:F666"/>
    <mergeCell ref="C663:D663"/>
    <mergeCell ref="H665:H666"/>
    <mergeCell ref="G572:H572"/>
    <mergeCell ref="C605:D605"/>
    <mergeCell ref="C607:D607"/>
    <mergeCell ref="C604:D604"/>
    <mergeCell ref="C511:D541"/>
    <mergeCell ref="F511:F541"/>
    <mergeCell ref="C640:D640"/>
    <mergeCell ref="K589:K593"/>
    <mergeCell ref="K542:K569"/>
    <mergeCell ref="C406:D406"/>
    <mergeCell ref="C641:D641"/>
    <mergeCell ref="C609:D609"/>
    <mergeCell ref="A277:A278"/>
    <mergeCell ref="C667:D667"/>
    <mergeCell ref="C665:D666"/>
    <mergeCell ref="C610:D610"/>
    <mergeCell ref="C619:D619"/>
    <mergeCell ref="C624:D624"/>
    <mergeCell ref="C625:D625"/>
    <mergeCell ref="C638:D638"/>
    <mergeCell ref="C635:D635"/>
    <mergeCell ref="C636:D636"/>
    <mergeCell ref="C637:D637"/>
    <mergeCell ref="C642:D642"/>
    <mergeCell ref="C639:D639"/>
    <mergeCell ref="C611:D611"/>
    <mergeCell ref="C612:D612"/>
    <mergeCell ref="C631:D631"/>
    <mergeCell ref="C632:D632"/>
    <mergeCell ref="C633:D633"/>
    <mergeCell ref="C613:D613"/>
    <mergeCell ref="C614:D614"/>
    <mergeCell ref="A396:A397"/>
    <mergeCell ref="B620:B623"/>
    <mergeCell ref="C437:D437"/>
    <mergeCell ref="C443:D443"/>
    <mergeCell ref="E420:F420"/>
    <mergeCell ref="F395:F397"/>
    <mergeCell ref="E395:E397"/>
    <mergeCell ref="C419:D419"/>
    <mergeCell ref="B277:B278"/>
    <mergeCell ref="C277:D278"/>
    <mergeCell ref="C329:D329"/>
    <mergeCell ref="C328:D328"/>
    <mergeCell ref="E326:F326"/>
    <mergeCell ref="C288:D288"/>
    <mergeCell ref="E295:F295"/>
    <mergeCell ref="E308:F308"/>
    <mergeCell ref="F304:F306"/>
    <mergeCell ref="C317:D317"/>
    <mergeCell ref="C307:D309"/>
    <mergeCell ref="C326:D326"/>
    <mergeCell ref="C324:D325"/>
    <mergeCell ref="C287:D287"/>
    <mergeCell ref="E438:F438"/>
    <mergeCell ref="K338:K339"/>
    <mergeCell ref="L338:L339"/>
    <mergeCell ref="K341:K342"/>
    <mergeCell ref="L341:L342"/>
    <mergeCell ref="L572:L574"/>
    <mergeCell ref="C378:D378"/>
    <mergeCell ref="C373:D373"/>
    <mergeCell ref="C425:D425"/>
    <mergeCell ref="C426:D426"/>
    <mergeCell ref="C429:D429"/>
    <mergeCell ref="L370:L373"/>
    <mergeCell ref="C435:D435"/>
    <mergeCell ref="E423:F423"/>
    <mergeCell ref="C428:D428"/>
    <mergeCell ref="E427:F427"/>
    <mergeCell ref="C420:D420"/>
    <mergeCell ref="C405:D405"/>
    <mergeCell ref="E364:F364"/>
    <mergeCell ref="J364:J365"/>
    <mergeCell ref="L374:L376"/>
    <mergeCell ref="G511:H511"/>
    <mergeCell ref="F470:F471"/>
    <mergeCell ref="C470:D471"/>
    <mergeCell ref="L542:L569"/>
    <mergeCell ref="L589:L593"/>
    <mergeCell ref="L470:L471"/>
    <mergeCell ref="F472:F510"/>
    <mergeCell ref="G445:H445"/>
    <mergeCell ref="C444:D444"/>
    <mergeCell ref="C445:D453"/>
    <mergeCell ref="C457:D469"/>
    <mergeCell ref="C472:D510"/>
    <mergeCell ref="K572:K580"/>
    <mergeCell ref="G542:H542"/>
    <mergeCell ref="C584:D584"/>
    <mergeCell ref="C583:D583"/>
    <mergeCell ref="F457:F469"/>
    <mergeCell ref="C454:D454"/>
    <mergeCell ref="C456:D456"/>
    <mergeCell ref="C455:D455"/>
    <mergeCell ref="C542:D571"/>
    <mergeCell ref="C587:D587"/>
    <mergeCell ref="C586:D586"/>
    <mergeCell ref="L362:L363"/>
    <mergeCell ref="C421:D421"/>
    <mergeCell ref="C427:D427"/>
    <mergeCell ref="K472:K508"/>
    <mergeCell ref="L472:L508"/>
    <mergeCell ref="K470:K471"/>
    <mergeCell ref="E441:F441"/>
    <mergeCell ref="K374:K376"/>
    <mergeCell ref="L409:L411"/>
    <mergeCell ref="E421:F421"/>
    <mergeCell ref="C418:D418"/>
    <mergeCell ref="C423:D423"/>
    <mergeCell ref="C390:D403"/>
    <mergeCell ref="C408:D408"/>
    <mergeCell ref="C385:D385"/>
    <mergeCell ref="C409:D409"/>
    <mergeCell ref="C410:D410"/>
    <mergeCell ref="C413:D413"/>
    <mergeCell ref="C416:D416"/>
    <mergeCell ref="E429:F429"/>
    <mergeCell ref="C417:D417"/>
    <mergeCell ref="C411:D411"/>
    <mergeCell ref="C412:D412"/>
    <mergeCell ref="E422:F422"/>
    <mergeCell ref="C231:D231"/>
    <mergeCell ref="C236:D236"/>
    <mergeCell ref="C588:D588"/>
    <mergeCell ref="C384:D384"/>
    <mergeCell ref="C351:D351"/>
    <mergeCell ref="C354:D354"/>
    <mergeCell ref="C352:D352"/>
    <mergeCell ref="C347:D347"/>
    <mergeCell ref="C350:D350"/>
    <mergeCell ref="C380:D380"/>
    <mergeCell ref="C371:D371"/>
    <mergeCell ref="C382:D382"/>
    <mergeCell ref="C379:D379"/>
    <mergeCell ref="C374:D376"/>
    <mergeCell ref="C364:D364"/>
    <mergeCell ref="C369:D369"/>
    <mergeCell ref="C387:D387"/>
    <mergeCell ref="C377:D377"/>
    <mergeCell ref="C386:D386"/>
    <mergeCell ref="C422:D422"/>
    <mergeCell ref="C415:D415"/>
    <mergeCell ref="C404:D404"/>
    <mergeCell ref="C272:D272"/>
    <mergeCell ref="C256:D256"/>
    <mergeCell ref="C228:D228"/>
    <mergeCell ref="C221:D221"/>
    <mergeCell ref="E150:F150"/>
    <mergeCell ref="C151:D151"/>
    <mergeCell ref="C173:D173"/>
    <mergeCell ref="C176:D176"/>
    <mergeCell ref="C164:D164"/>
    <mergeCell ref="C175:D175"/>
    <mergeCell ref="C168:D168"/>
    <mergeCell ref="C169:D169"/>
    <mergeCell ref="C174:D174"/>
    <mergeCell ref="C171:D172"/>
    <mergeCell ref="C165:D165"/>
    <mergeCell ref="C166:D166"/>
    <mergeCell ref="C170:D170"/>
    <mergeCell ref="C180:D180"/>
    <mergeCell ref="C181:D181"/>
    <mergeCell ref="C189:D189"/>
    <mergeCell ref="C194:D194"/>
    <mergeCell ref="C195:D195"/>
    <mergeCell ref="C159:D161"/>
    <mergeCell ref="C103:D103"/>
    <mergeCell ref="C87:D87"/>
    <mergeCell ref="C142:D142"/>
    <mergeCell ref="A110:A111"/>
    <mergeCell ref="A117:A118"/>
    <mergeCell ref="C144:D144"/>
    <mergeCell ref="C100:D100"/>
    <mergeCell ref="C102:D102"/>
    <mergeCell ref="C198:D198"/>
    <mergeCell ref="C184:D184"/>
    <mergeCell ref="C196:D196"/>
    <mergeCell ref="C193:D193"/>
    <mergeCell ref="C197:D197"/>
    <mergeCell ref="A145:A146"/>
    <mergeCell ref="C158:D158"/>
    <mergeCell ref="C153:D153"/>
    <mergeCell ref="C147:D150"/>
    <mergeCell ref="C155:D155"/>
    <mergeCell ref="C116:D116"/>
    <mergeCell ref="A133:A135"/>
    <mergeCell ref="B133:B135"/>
    <mergeCell ref="C133:D135"/>
    <mergeCell ref="C104:D104"/>
    <mergeCell ref="C106:D106"/>
    <mergeCell ref="A70:A71"/>
    <mergeCell ref="B70:B71"/>
    <mergeCell ref="A98:A99"/>
    <mergeCell ref="B98:B99"/>
    <mergeCell ref="C75:D75"/>
    <mergeCell ref="C70:D71"/>
    <mergeCell ref="C74:D74"/>
    <mergeCell ref="C92:D92"/>
    <mergeCell ref="C96:D96"/>
    <mergeCell ref="C91:D91"/>
    <mergeCell ref="C73:D73"/>
    <mergeCell ref="C90:D90"/>
    <mergeCell ref="C97:D97"/>
    <mergeCell ref="C95:D95"/>
    <mergeCell ref="C76:D76"/>
    <mergeCell ref="C81:D81"/>
    <mergeCell ref="C94:D94"/>
    <mergeCell ref="C98:D99"/>
    <mergeCell ref="C82:D82"/>
    <mergeCell ref="C83:D83"/>
    <mergeCell ref="C84:D84"/>
    <mergeCell ref="C85:D85"/>
    <mergeCell ref="C86:D86"/>
    <mergeCell ref="C89:D89"/>
    <mergeCell ref="E111:F111"/>
    <mergeCell ref="C115:D115"/>
    <mergeCell ref="C108:D108"/>
    <mergeCell ref="C113:D113"/>
    <mergeCell ref="C143:D143"/>
    <mergeCell ref="C117:D118"/>
    <mergeCell ref="C112:D112"/>
    <mergeCell ref="E134:G134"/>
    <mergeCell ref="E135:G135"/>
    <mergeCell ref="C111:D111"/>
    <mergeCell ref="C119:D119"/>
    <mergeCell ref="C136:D136"/>
    <mergeCell ref="C126:D126"/>
    <mergeCell ref="C120:D120"/>
    <mergeCell ref="C138:D138"/>
    <mergeCell ref="C122:D122"/>
    <mergeCell ref="C139:D139"/>
    <mergeCell ref="C114:D114"/>
    <mergeCell ref="C46:D46"/>
    <mergeCell ref="C49:D49"/>
    <mergeCell ref="C48:D48"/>
    <mergeCell ref="K133:K134"/>
    <mergeCell ref="C137:D137"/>
    <mergeCell ref="C124:D124"/>
    <mergeCell ref="C109:D109"/>
    <mergeCell ref="K130:K131"/>
    <mergeCell ref="L130:L131"/>
    <mergeCell ref="C110:D110"/>
    <mergeCell ref="C132:D132"/>
    <mergeCell ref="C123:D123"/>
    <mergeCell ref="C78:D78"/>
    <mergeCell ref="C79:D79"/>
    <mergeCell ref="C77:D77"/>
    <mergeCell ref="C80:D80"/>
    <mergeCell ref="C88:D88"/>
    <mergeCell ref="L110:L115"/>
    <mergeCell ref="L133:L145"/>
    <mergeCell ref="C128:D128"/>
    <mergeCell ref="C129:D129"/>
    <mergeCell ref="C105:D105"/>
    <mergeCell ref="C127:D127"/>
    <mergeCell ref="C125:D125"/>
    <mergeCell ref="C14:D14"/>
    <mergeCell ref="C18:D18"/>
    <mergeCell ref="C12:D12"/>
    <mergeCell ref="C10:D10"/>
    <mergeCell ref="C11:D11"/>
    <mergeCell ref="C44:D44"/>
    <mergeCell ref="C34:D34"/>
    <mergeCell ref="C40:D40"/>
    <mergeCell ref="C21:D21"/>
    <mergeCell ref="C29:D29"/>
    <mergeCell ref="C37:D37"/>
    <mergeCell ref="C42:D42"/>
    <mergeCell ref="C43:D43"/>
    <mergeCell ref="B6:E6"/>
    <mergeCell ref="C28:D28"/>
    <mergeCell ref="C30:D30"/>
    <mergeCell ref="C31:D31"/>
    <mergeCell ref="C36:D36"/>
    <mergeCell ref="C32:D32"/>
    <mergeCell ref="C33:D33"/>
    <mergeCell ref="C15:D15"/>
    <mergeCell ref="C7:D7"/>
    <mergeCell ref="C16:D16"/>
    <mergeCell ref="C17:D17"/>
    <mergeCell ref="C19:D19"/>
    <mergeCell ref="C20:D20"/>
    <mergeCell ref="C8:D8"/>
    <mergeCell ref="E23:H23"/>
    <mergeCell ref="E24:H24"/>
    <mergeCell ref="B22:B24"/>
    <mergeCell ref="C25:D25"/>
    <mergeCell ref="E34:F34"/>
    <mergeCell ref="C26:D26"/>
    <mergeCell ref="C27:D27"/>
    <mergeCell ref="C35:D35"/>
    <mergeCell ref="C9:D9"/>
    <mergeCell ref="C13:D13"/>
    <mergeCell ref="C4:E4"/>
    <mergeCell ref="E278:G278"/>
    <mergeCell ref="E264:F264"/>
    <mergeCell ref="E163:F163"/>
    <mergeCell ref="E247:F247"/>
    <mergeCell ref="E197:E205"/>
    <mergeCell ref="E160:F160"/>
    <mergeCell ref="E146:H146"/>
    <mergeCell ref="E71:F71"/>
    <mergeCell ref="E99:F99"/>
    <mergeCell ref="E144:F144"/>
    <mergeCell ref="G204:H204"/>
    <mergeCell ref="C50:D50"/>
    <mergeCell ref="C55:D55"/>
    <mergeCell ref="C199:D199"/>
    <mergeCell ref="C205:D205"/>
    <mergeCell ref="C56:D56"/>
    <mergeCell ref="C182:D182"/>
    <mergeCell ref="C38:D38"/>
    <mergeCell ref="C39:D39"/>
    <mergeCell ref="C41:D41"/>
    <mergeCell ref="C22:D24"/>
    <mergeCell ref="C45:D45"/>
    <mergeCell ref="C5:E5"/>
    <mergeCell ref="L215:L216"/>
    <mergeCell ref="L277:L278"/>
    <mergeCell ref="C51:D51"/>
    <mergeCell ref="L274:L275"/>
    <mergeCell ref="E309:F309"/>
    <mergeCell ref="L171:L172"/>
    <mergeCell ref="E265:F265"/>
    <mergeCell ref="E266:F266"/>
    <mergeCell ref="E262:F262"/>
    <mergeCell ref="C203:D203"/>
    <mergeCell ref="E162:F162"/>
    <mergeCell ref="L248:L249"/>
    <mergeCell ref="E249:F249"/>
    <mergeCell ref="K248:K249"/>
    <mergeCell ref="E118:F118"/>
    <mergeCell ref="E172:F172"/>
    <mergeCell ref="K117:K118"/>
    <mergeCell ref="E145:F145"/>
    <mergeCell ref="K171:K172"/>
    <mergeCell ref="E209:E212"/>
    <mergeCell ref="L174:L178"/>
    <mergeCell ref="E148:F148"/>
    <mergeCell ref="E149:F149"/>
    <mergeCell ref="C121:D121"/>
    <mergeCell ref="C232:D232"/>
    <mergeCell ref="C244:D244"/>
    <mergeCell ref="C323:D323"/>
    <mergeCell ref="C318:D318"/>
    <mergeCell ref="C314:D314"/>
    <mergeCell ref="C321:D321"/>
    <mergeCell ref="C311:D311"/>
    <mergeCell ref="C294:D295"/>
    <mergeCell ref="C302:D302"/>
    <mergeCell ref="C322:D322"/>
    <mergeCell ref="C274:D274"/>
    <mergeCell ref="C313:D313"/>
    <mergeCell ref="C285:D285"/>
    <mergeCell ref="C279:D279"/>
    <mergeCell ref="C280:D280"/>
    <mergeCell ref="C252:D252"/>
    <mergeCell ref="C319:D319"/>
    <mergeCell ref="C260:D260"/>
    <mergeCell ref="C310:D310"/>
    <mergeCell ref="C290:D290"/>
    <mergeCell ref="C297:D297"/>
    <mergeCell ref="C251:D251"/>
    <mergeCell ref="C275:D275"/>
    <mergeCell ref="C320:D320"/>
    <mergeCell ref="A341:A342"/>
    <mergeCell ref="B341:B342"/>
    <mergeCell ref="C346:D346"/>
    <mergeCell ref="C338:D342"/>
    <mergeCell ref="C333:D333"/>
    <mergeCell ref="C335:D335"/>
    <mergeCell ref="A338:A339"/>
    <mergeCell ref="B338:B339"/>
    <mergeCell ref="C343:D343"/>
    <mergeCell ref="C345:D345"/>
    <mergeCell ref="C336:D336"/>
    <mergeCell ref="C344:D344"/>
    <mergeCell ref="C337:D337"/>
    <mergeCell ref="A345:A346"/>
    <mergeCell ref="L117:L118"/>
    <mergeCell ref="E161:F161"/>
    <mergeCell ref="A248:A249"/>
    <mergeCell ref="A246:A247"/>
    <mergeCell ref="C216:D216"/>
    <mergeCell ref="C227:D227"/>
    <mergeCell ref="C214:D214"/>
    <mergeCell ref="C204:D204"/>
    <mergeCell ref="C201:D201"/>
    <mergeCell ref="C222:D222"/>
    <mergeCell ref="C223:D223"/>
    <mergeCell ref="C219:D219"/>
    <mergeCell ref="C217:D217"/>
    <mergeCell ref="C225:D225"/>
    <mergeCell ref="C220:D220"/>
    <mergeCell ref="C230:D230"/>
    <mergeCell ref="C183:D183"/>
    <mergeCell ref="C202:D202"/>
    <mergeCell ref="C190:D190"/>
    <mergeCell ref="C192:D192"/>
    <mergeCell ref="C162:D163"/>
    <mergeCell ref="K215:K216"/>
    <mergeCell ref="C152:D152"/>
    <mergeCell ref="C156:D157"/>
    <mergeCell ref="L651:L662"/>
    <mergeCell ref="K651:K662"/>
    <mergeCell ref="C312:D312"/>
    <mergeCell ref="C298:D298"/>
    <mergeCell ref="C292:D292"/>
    <mergeCell ref="C334:D334"/>
    <mergeCell ref="C348:D348"/>
    <mergeCell ref="C327:D327"/>
    <mergeCell ref="C331:D331"/>
    <mergeCell ref="C330:D330"/>
    <mergeCell ref="E316:F316"/>
    <mergeCell ref="E325:F325"/>
    <mergeCell ref="E342:F342"/>
    <mergeCell ref="E346:F346"/>
    <mergeCell ref="E355:F355"/>
    <mergeCell ref="E351:H351"/>
    <mergeCell ref="E339:G339"/>
    <mergeCell ref="C349:D349"/>
    <mergeCell ref="C353:D353"/>
    <mergeCell ref="C407:D407"/>
    <mergeCell ref="C383:D383"/>
    <mergeCell ref="K409:K411"/>
    <mergeCell ref="E365:F365"/>
    <mergeCell ref="E376:F376"/>
    <mergeCell ref="C276:D276"/>
    <mergeCell ref="C254:D254"/>
    <mergeCell ref="C178:D178"/>
    <mergeCell ref="C185:D185"/>
    <mergeCell ref="C186:D186"/>
    <mergeCell ref="C179:D179"/>
    <mergeCell ref="C167:D167"/>
    <mergeCell ref="C140:D140"/>
    <mergeCell ref="C141:D141"/>
    <mergeCell ref="C243:D243"/>
    <mergeCell ref="C200:D200"/>
    <mergeCell ref="C229:D229"/>
    <mergeCell ref="C234:D234"/>
    <mergeCell ref="C238:D238"/>
    <mergeCell ref="C237:D237"/>
    <mergeCell ref="C233:D233"/>
    <mergeCell ref="C213:D213"/>
    <mergeCell ref="C240:D240"/>
    <mergeCell ref="C226:D226"/>
    <mergeCell ref="C242:D242"/>
    <mergeCell ref="C239:D239"/>
    <mergeCell ref="C206:D206"/>
    <mergeCell ref="C255:D255"/>
    <mergeCell ref="C241:D241"/>
    <mergeCell ref="C47:D47"/>
    <mergeCell ref="C53:D53"/>
    <mergeCell ref="C57:D57"/>
    <mergeCell ref="C61:D61"/>
    <mergeCell ref="C68:D68"/>
    <mergeCell ref="C64:D64"/>
    <mergeCell ref="C59:D59"/>
    <mergeCell ref="C62:D62"/>
    <mergeCell ref="C63:D63"/>
    <mergeCell ref="C58:D58"/>
    <mergeCell ref="C67:D67"/>
    <mergeCell ref="C65:D65"/>
    <mergeCell ref="C66:D66"/>
    <mergeCell ref="C60:D60"/>
    <mergeCell ref="C52:D52"/>
    <mergeCell ref="C54:D54"/>
    <mergeCell ref="C107:D107"/>
    <mergeCell ref="C93:D93"/>
    <mergeCell ref="C101:D101"/>
    <mergeCell ref="A263:A266"/>
    <mergeCell ref="B263:B266"/>
    <mergeCell ref="C259:D259"/>
    <mergeCell ref="C187:D187"/>
    <mergeCell ref="C188:D188"/>
    <mergeCell ref="C246:D247"/>
    <mergeCell ref="C257:D257"/>
    <mergeCell ref="C218:D218"/>
    <mergeCell ref="C224:D224"/>
    <mergeCell ref="C215:D215"/>
    <mergeCell ref="B246:B247"/>
    <mergeCell ref="C207:D207"/>
    <mergeCell ref="C253:D253"/>
    <mergeCell ref="C250:D250"/>
    <mergeCell ref="C209:D212"/>
    <mergeCell ref="C258:D258"/>
    <mergeCell ref="C261:D262"/>
    <mergeCell ref="C263:D266"/>
    <mergeCell ref="C191:D191"/>
    <mergeCell ref="C235:D235"/>
    <mergeCell ref="C208:D208"/>
    <mergeCell ref="A307:A309"/>
    <mergeCell ref="B307:B309"/>
    <mergeCell ref="C299:D299"/>
    <mergeCell ref="C300:D300"/>
    <mergeCell ref="C301:D301"/>
    <mergeCell ref="C282:D282"/>
    <mergeCell ref="C293:D293"/>
    <mergeCell ref="C283:D283"/>
    <mergeCell ref="C284:D284"/>
    <mergeCell ref="B294:B295"/>
    <mergeCell ref="C286:D286"/>
    <mergeCell ref="C289:D289"/>
    <mergeCell ref="C306:D306"/>
    <mergeCell ref="C305:D305"/>
    <mergeCell ref="C304:D304"/>
    <mergeCell ref="A294:A295"/>
    <mergeCell ref="C303:D303"/>
    <mergeCell ref="C296:D296"/>
    <mergeCell ref="A324:A325"/>
    <mergeCell ref="B324:B325"/>
    <mergeCell ref="C332:D332"/>
    <mergeCell ref="C248:D249"/>
    <mergeCell ref="A130:A131"/>
    <mergeCell ref="B130:B131"/>
    <mergeCell ref="C130:D131"/>
    <mergeCell ref="E131:H131"/>
    <mergeCell ref="A315:A316"/>
    <mergeCell ref="B315:B316"/>
    <mergeCell ref="C315:D316"/>
    <mergeCell ref="A261:A262"/>
    <mergeCell ref="B261:B262"/>
    <mergeCell ref="A171:A172"/>
    <mergeCell ref="B159:B161"/>
    <mergeCell ref="A147:A150"/>
    <mergeCell ref="B171:B172"/>
    <mergeCell ref="C177:D177"/>
    <mergeCell ref="A159:A161"/>
    <mergeCell ref="A162:A163"/>
    <mergeCell ref="C291:D291"/>
    <mergeCell ref="C273:D273"/>
    <mergeCell ref="C267:D271"/>
    <mergeCell ref="E298:F298"/>
    <mergeCell ref="A375:A376"/>
    <mergeCell ref="A361:A362"/>
    <mergeCell ref="A363:A364"/>
    <mergeCell ref="C366:D366"/>
    <mergeCell ref="C356:D356"/>
    <mergeCell ref="B396:B397"/>
    <mergeCell ref="C367:D367"/>
    <mergeCell ref="C368:D368"/>
    <mergeCell ref="C362:D362"/>
    <mergeCell ref="C360:D360"/>
    <mergeCell ref="C361:D361"/>
    <mergeCell ref="C363:D363"/>
    <mergeCell ref="C381:D381"/>
    <mergeCell ref="C372:D372"/>
    <mergeCell ref="C388:D388"/>
    <mergeCell ref="C389:D389"/>
    <mergeCell ref="B147:B150"/>
    <mergeCell ref="B117:B118"/>
    <mergeCell ref="A406:A407"/>
    <mergeCell ref="C370:D370"/>
    <mergeCell ref="C357:D357"/>
    <mergeCell ref="C358:D358"/>
    <mergeCell ref="C359:D359"/>
    <mergeCell ref="E652:G652"/>
    <mergeCell ref="E629:H629"/>
    <mergeCell ref="A628:A629"/>
    <mergeCell ref="B628:B629"/>
    <mergeCell ref="C628:D629"/>
    <mergeCell ref="C424:D424"/>
    <mergeCell ref="C440:D440"/>
    <mergeCell ref="C442:D442"/>
    <mergeCell ref="C433:D433"/>
    <mergeCell ref="C436:D436"/>
    <mergeCell ref="A651:A652"/>
    <mergeCell ref="C430:D430"/>
    <mergeCell ref="B651:B652"/>
    <mergeCell ref="C599:D599"/>
    <mergeCell ref="F572:F581"/>
    <mergeCell ref="C572:D581"/>
    <mergeCell ref="C585:D585"/>
    <mergeCell ref="C700:D700"/>
    <mergeCell ref="C701:D701"/>
    <mergeCell ref="C702:D702"/>
    <mergeCell ref="C675:D675"/>
    <mergeCell ref="C245:D245"/>
    <mergeCell ref="B2:E2"/>
    <mergeCell ref="C687:D687"/>
    <mergeCell ref="C688:D688"/>
    <mergeCell ref="C689:D689"/>
    <mergeCell ref="C690:D690"/>
    <mergeCell ref="C691:D691"/>
    <mergeCell ref="C692:D692"/>
    <mergeCell ref="C693:D693"/>
    <mergeCell ref="B375:B376"/>
    <mergeCell ref="C355:D355"/>
    <mergeCell ref="C365:D365"/>
    <mergeCell ref="B248:B249"/>
    <mergeCell ref="C281:D281"/>
    <mergeCell ref="C69:D69"/>
    <mergeCell ref="C72:D72"/>
    <mergeCell ref="B145:B146"/>
    <mergeCell ref="C145:D146"/>
    <mergeCell ref="C154:D154"/>
    <mergeCell ref="B162:B163"/>
  </mergeCells>
  <hyperlinks>
    <hyperlink ref="B542" r:id="rId1" display="C:\Documents and Settings\kalinin_dm\Local Settings\СКАНЫ свидетельств\Шерегеш\42АА846383.tif" xr:uid="{00000000-0004-0000-0500-000000000000}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</cp:lastModifiedBy>
  <cp:lastPrinted>2019-03-01T04:40:18Z</cp:lastPrinted>
  <dcterms:created xsi:type="dcterms:W3CDTF">2012-04-16T14:05:55Z</dcterms:created>
  <dcterms:modified xsi:type="dcterms:W3CDTF">2021-12-02T04:01:38Z</dcterms:modified>
</cp:coreProperties>
</file>