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ВАЛЕНТИНА\Реестры 2024 и 2025\На сайт\"/>
    </mc:Choice>
  </mc:AlternateContent>
  <xr:revisionPtr revIDLastSave="0" documentId="13_ncr:1_{F979F412-11C3-4824-9EF9-52C92D3D2D09}" xr6:coauthVersionLast="37" xr6:coauthVersionMax="45" xr10:uidLastSave="{00000000-0000-0000-0000-000000000000}"/>
  <bookViews>
    <workbookView xWindow="-120" yWindow="-120" windowWidth="20730" windowHeight="11160" tabRatio="774" activeTab="5" xr2:uid="{00000000-000D-0000-FFFF-FFFF00000000}"/>
  </bookViews>
  <sheets>
    <sheet name="титул" sheetId="13" r:id="rId1"/>
    <sheet name="Жилой фонд" sheetId="12" r:id="rId2"/>
    <sheet name="отдельно стоящие нежилые здания" sheetId="8" r:id="rId3"/>
    <sheet name="встроенные нежилые помещения" sheetId="9" r:id="rId4"/>
    <sheet name="сооружения" sheetId="11" r:id="rId5"/>
    <sheet name="земельные участки" sheetId="14" r:id="rId6"/>
  </sheets>
  <definedNames>
    <definedName name="_xlnm._FilterDatabase" localSheetId="3" hidden="1">'встроенные нежилые помещения'!$J$1:$J$219</definedName>
    <definedName name="_xlnm._FilterDatabase" localSheetId="1" hidden="1">'Жилой фонд'!$A$2:$A$2346</definedName>
    <definedName name="_xlnm._FilterDatabase" localSheetId="5" hidden="1">'земельные участки'!$H$1:$H$1479</definedName>
    <definedName name="_xlnm._FilterDatabase" localSheetId="2" hidden="1">'отдельно стоящие нежилые здания'!$I$1:$I$681</definedName>
    <definedName name="_xlnm._FilterDatabase" localSheetId="4" hidden="1">сооружения!$L$1:$L$709</definedName>
    <definedName name="_xlnm._FilterDatabase" localSheetId="0" hidden="1">титул!#REF!</definedName>
    <definedName name="_xlnm.Print_Area" localSheetId="3">'встроенные нежилые помещения'!$A$1:$P$219</definedName>
  </definedNames>
  <calcPr calcId="179021"/>
</workbook>
</file>

<file path=xl/calcChain.xml><?xml version="1.0" encoding="utf-8"?>
<calcChain xmlns="http://schemas.openxmlformats.org/spreadsheetml/2006/main">
  <c r="J729" i="12" l="1"/>
  <c r="H729" i="12"/>
  <c r="J1400" i="12"/>
  <c r="H1400" i="12"/>
  <c r="J354" i="12"/>
  <c r="H354" i="12"/>
  <c r="J113" i="12"/>
  <c r="H113" i="12"/>
  <c r="K2310" i="12"/>
  <c r="J2310" i="12"/>
  <c r="H2310" i="12"/>
  <c r="J110" i="12"/>
  <c r="H110" i="12"/>
  <c r="H2362" i="12"/>
  <c r="J17" i="12"/>
  <c r="H17" i="12"/>
  <c r="J477" i="12"/>
  <c r="J476" i="12"/>
  <c r="J475" i="12"/>
  <c r="J474" i="12"/>
  <c r="J473" i="12"/>
  <c r="J472" i="12"/>
  <c r="J471" i="12"/>
  <c r="J470" i="12"/>
  <c r="J478" i="12"/>
  <c r="J469" i="12"/>
  <c r="H477" i="12"/>
  <c r="H476" i="12"/>
  <c r="H475" i="12"/>
  <c r="H474" i="12"/>
  <c r="H473" i="12"/>
  <c r="H472" i="12"/>
  <c r="H471" i="12"/>
  <c r="H470" i="12"/>
  <c r="H469" i="12"/>
  <c r="H478" i="12"/>
  <c r="J424" i="12"/>
  <c r="J423" i="12"/>
  <c r="J422" i="12"/>
  <c r="J421" i="12"/>
  <c r="J420" i="12"/>
  <c r="J419" i="12"/>
  <c r="J418" i="12"/>
  <c r="J417" i="12"/>
  <c r="J416" i="12"/>
  <c r="J415" i="12"/>
  <c r="J425" i="12"/>
  <c r="H424" i="12"/>
  <c r="H423" i="12"/>
  <c r="H422" i="12"/>
  <c r="H421" i="12"/>
  <c r="H420" i="12"/>
  <c r="H419" i="12"/>
  <c r="H418" i="12"/>
  <c r="H417" i="12"/>
  <c r="H416" i="12"/>
  <c r="H415" i="12"/>
  <c r="H425" i="12"/>
  <c r="H395" i="12"/>
  <c r="J467" i="12"/>
  <c r="J466" i="12"/>
  <c r="J465" i="12"/>
  <c r="J464" i="12"/>
  <c r="J463" i="12"/>
  <c r="J462" i="12"/>
  <c r="J461" i="12"/>
  <c r="J460" i="12"/>
  <c r="J459" i="12"/>
  <c r="J458" i="12"/>
  <c r="J457" i="12"/>
  <c r="H466" i="12"/>
  <c r="H465" i="12"/>
  <c r="H464" i="12"/>
  <c r="H463" i="12"/>
  <c r="H462" i="12"/>
  <c r="H461" i="12"/>
  <c r="H460" i="12"/>
  <c r="H459" i="12"/>
  <c r="H458" i="12"/>
  <c r="H457" i="12"/>
  <c r="H467" i="12"/>
  <c r="J436" i="12"/>
  <c r="J435" i="12"/>
  <c r="J434" i="12"/>
  <c r="J433" i="12"/>
  <c r="J432" i="12"/>
  <c r="J431" i="12"/>
  <c r="J430" i="12"/>
  <c r="J429" i="12"/>
  <c r="J428" i="12"/>
  <c r="J427" i="12"/>
  <c r="H436" i="12"/>
  <c r="H435" i="12"/>
  <c r="H434" i="12"/>
  <c r="H433" i="12"/>
  <c r="H432" i="12"/>
  <c r="H431" i="12"/>
  <c r="H430" i="12"/>
  <c r="H429" i="12"/>
  <c r="H428" i="12"/>
  <c r="H42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H405" i="12"/>
  <c r="H404" i="12"/>
  <c r="H403" i="12"/>
  <c r="H402" i="12"/>
  <c r="H401" i="12"/>
  <c r="H400" i="12"/>
  <c r="H399" i="12"/>
  <c r="H398" i="12"/>
  <c r="H397" i="12"/>
  <c r="H396" i="12"/>
  <c r="H406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J1960" i="12" l="1"/>
  <c r="H1960" i="12"/>
  <c r="J771" i="12"/>
  <c r="H771" i="12"/>
  <c r="J2177" i="12"/>
  <c r="H2177" i="12"/>
  <c r="J1878" i="12"/>
  <c r="H1878" i="12"/>
  <c r="H2338" i="12"/>
  <c r="J2277" i="12"/>
  <c r="H2277" i="12"/>
  <c r="J1961" i="12"/>
  <c r="H1961" i="12"/>
  <c r="J1872" i="12"/>
  <c r="H1872" i="12"/>
  <c r="J105" i="12" l="1"/>
  <c r="H105" i="12"/>
  <c r="J993" i="12"/>
  <c r="H993" i="12"/>
  <c r="K2668" i="12"/>
  <c r="H2668" i="12"/>
  <c r="J1005" i="12"/>
  <c r="H1005" i="12"/>
  <c r="K2662" i="12" l="1"/>
  <c r="K2660" i="12"/>
  <c r="K2659" i="12"/>
  <c r="K2658" i="12"/>
  <c r="K2641" i="12"/>
  <c r="K2620" i="12"/>
  <c r="K2608" i="12"/>
  <c r="K2607" i="12"/>
  <c r="K2602" i="12"/>
  <c r="K2580" i="12"/>
  <c r="K2572" i="12"/>
  <c r="K2570" i="12"/>
  <c r="K2558" i="12"/>
  <c r="K2557" i="12"/>
  <c r="K2533" i="12"/>
  <c r="K2529" i="12"/>
  <c r="K2525" i="12"/>
  <c r="K2514" i="12"/>
  <c r="K2512" i="12"/>
  <c r="K2510" i="12"/>
  <c r="K2509" i="12"/>
  <c r="K2497" i="12"/>
  <c r="K2475" i="12"/>
  <c r="K2467" i="12"/>
  <c r="K2457" i="12"/>
  <c r="K2453" i="12"/>
  <c r="K2445" i="12"/>
  <c r="K2437" i="12"/>
  <c r="K2434" i="12"/>
  <c r="K2417" i="12"/>
  <c r="K2414" i="12"/>
  <c r="K2413" i="12"/>
  <c r="K2382" i="12"/>
  <c r="K2367" i="12"/>
  <c r="K2364" i="12"/>
  <c r="K2363" i="12"/>
  <c r="J2663" i="12"/>
  <c r="J2662" i="12"/>
  <c r="J2660" i="12"/>
  <c r="J2659" i="12"/>
  <c r="J2658" i="12"/>
  <c r="J2657" i="12"/>
  <c r="J2654" i="12"/>
  <c r="J2650" i="12"/>
  <c r="J2649" i="12"/>
  <c r="J2646" i="12"/>
  <c r="J2644" i="12"/>
  <c r="J2643" i="12"/>
  <c r="J2642" i="12"/>
  <c r="J2641" i="12"/>
  <c r="J2640" i="12"/>
  <c r="J2639" i="12"/>
  <c r="J2638" i="12"/>
  <c r="J2633" i="12"/>
  <c r="J2629" i="12"/>
  <c r="J2628" i="12"/>
  <c r="J2627" i="12" s="1"/>
  <c r="J2626" i="12"/>
  <c r="J2625" i="12"/>
  <c r="J2624" i="12"/>
  <c r="J2623" i="12"/>
  <c r="J2622" i="12"/>
  <c r="J2621" i="12"/>
  <c r="J2620" i="12"/>
  <c r="J2617" i="12"/>
  <c r="J2616" i="12"/>
  <c r="J2615" i="12"/>
  <c r="J2612" i="12"/>
  <c r="J2610" i="12"/>
  <c r="J2608" i="12"/>
  <c r="J2607" i="12"/>
  <c r="J2605" i="12"/>
  <c r="J2602" i="12"/>
  <c r="J2601" i="12"/>
  <c r="J2600" i="12"/>
  <c r="J2592" i="12"/>
  <c r="J2590" i="12"/>
  <c r="J2589" i="12"/>
  <c r="J2588" i="12"/>
  <c r="J2587" i="12"/>
  <c r="J2585" i="12"/>
  <c r="J2584" i="12"/>
  <c r="J2583" i="12"/>
  <c r="J2580" i="12"/>
  <c r="J2578" i="12"/>
  <c r="J2576" i="12"/>
  <c r="J2575" i="12"/>
  <c r="J2574" i="12"/>
  <c r="J2573" i="12"/>
  <c r="J2572" i="12"/>
  <c r="J2570" i="12"/>
  <c r="J2567" i="12"/>
  <c r="J2566" i="12"/>
  <c r="J2565" i="12"/>
  <c r="J2563" i="12"/>
  <c r="J2562" i="12"/>
  <c r="J2561" i="12"/>
  <c r="J2560" i="12"/>
  <c r="J2559" i="12"/>
  <c r="J2558" i="12"/>
  <c r="J2557" i="12"/>
  <c r="J2556" i="12"/>
  <c r="J2555" i="12"/>
  <c r="J2554" i="12"/>
  <c r="J2553" i="12"/>
  <c r="J2552" i="12"/>
  <c r="J2549" i="12"/>
  <c r="J2548" i="12"/>
  <c r="J2547" i="12"/>
  <c r="J2545" i="12"/>
  <c r="J2544" i="12"/>
  <c r="J2543" i="12"/>
  <c r="J2539" i="12"/>
  <c r="J2538" i="12"/>
  <c r="J2537" i="12"/>
  <c r="J2536" i="12"/>
  <c r="J2535" i="12"/>
  <c r="J2534" i="12"/>
  <c r="J2533" i="12"/>
  <c r="J2530" i="12"/>
  <c r="J2529" i="12"/>
  <c r="J2528" i="12"/>
  <c r="J2527" i="12" s="1"/>
  <c r="J2526" i="12"/>
  <c r="J2525" i="12"/>
  <c r="J2522" i="12"/>
  <c r="J2520" i="12"/>
  <c r="J2519" i="12"/>
  <c r="J2518" i="12"/>
  <c r="J2517" i="12"/>
  <c r="J2516" i="12"/>
  <c r="J2515" i="12"/>
  <c r="J2514" i="12"/>
  <c r="J2512" i="12"/>
  <c r="J2509" i="12"/>
  <c r="J2506" i="12"/>
  <c r="J2505" i="12"/>
  <c r="J2504" i="12"/>
  <c r="J2503" i="12"/>
  <c r="J2501" i="12"/>
  <c r="J2500" i="12"/>
  <c r="J2499" i="12"/>
  <c r="J2498" i="12"/>
  <c r="J2497" i="12"/>
  <c r="J2496" i="12"/>
  <c r="J2495" i="12"/>
  <c r="J2494" i="12"/>
  <c r="J2493" i="12"/>
  <c r="J2489" i="12"/>
  <c r="J2487" i="12"/>
  <c r="J2485" i="12"/>
  <c r="J2483" i="12"/>
  <c r="J2482" i="12"/>
  <c r="J2481" i="12"/>
  <c r="J2479" i="12"/>
  <c r="J2478" i="12"/>
  <c r="J2477" i="12"/>
  <c r="J2476" i="12"/>
  <c r="J2475" i="12"/>
  <c r="J2473" i="12"/>
  <c r="J2472" i="12"/>
  <c r="J2471" i="12"/>
  <c r="J2470" i="12"/>
  <c r="J2469" i="12"/>
  <c r="J2468" i="12"/>
  <c r="J2467" i="12"/>
  <c r="J2465" i="12"/>
  <c r="J2464" i="12"/>
  <c r="J2463" i="12" s="1"/>
  <c r="J2462" i="12"/>
  <c r="J2459" i="12"/>
  <c r="J2457" i="12"/>
  <c r="J2453" i="12"/>
  <c r="J2452" i="12"/>
  <c r="J2450" i="12"/>
  <c r="J2449" i="12"/>
  <c r="J2448" i="12"/>
  <c r="J2445" i="12"/>
  <c r="J2443" i="12"/>
  <c r="J2441" i="12"/>
  <c r="J2440" i="12"/>
  <c r="J2438" i="12"/>
  <c r="J2437" i="12"/>
  <c r="J2436" i="12"/>
  <c r="J2435" i="12"/>
  <c r="J2434" i="12"/>
  <c r="J2433" i="12"/>
  <c r="J2431" i="12"/>
  <c r="J2430" i="12"/>
  <c r="J2429" i="12"/>
  <c r="J2428" i="12"/>
  <c r="J2426" i="12"/>
  <c r="J2424" i="12"/>
  <c r="J2422" i="12"/>
  <c r="J2418" i="12"/>
  <c r="J2417" i="12"/>
  <c r="J2416" i="12"/>
  <c r="J2415" i="12"/>
  <c r="J2414" i="12"/>
  <c r="J2410" i="12"/>
  <c r="J2409" i="12"/>
  <c r="J2408" i="12"/>
  <c r="J2407" i="12"/>
  <c r="J2401" i="12"/>
  <c r="J2400" i="12"/>
  <c r="J2398" i="12"/>
  <c r="J2397" i="12"/>
  <c r="J2395" i="12"/>
  <c r="J2394" i="12"/>
  <c r="J2391" i="12"/>
  <c r="J2389" i="12"/>
  <c r="J2386" i="12"/>
  <c r="J2383" i="12"/>
  <c r="J2382" i="12"/>
  <c r="J2381" i="12"/>
  <c r="J2380" i="12"/>
  <c r="J2379" i="12"/>
  <c r="J2378" i="12"/>
  <c r="J2377" i="12"/>
  <c r="J2373" i="12"/>
  <c r="J2371" i="12"/>
  <c r="J2370" i="12"/>
  <c r="J2369" i="12"/>
  <c r="J2368" i="12"/>
  <c r="J2367" i="12"/>
  <c r="J2366" i="12"/>
  <c r="J2365" i="12"/>
  <c r="H2662" i="12"/>
  <c r="H2660" i="12"/>
  <c r="H2659" i="12"/>
  <c r="H2658" i="12"/>
  <c r="H2654" i="12"/>
  <c r="H2649" i="12"/>
  <c r="H2648" i="12"/>
  <c r="H2644" i="12"/>
  <c r="H2643" i="12"/>
  <c r="H2641" i="12"/>
  <c r="H2638" i="12"/>
  <c r="H2636" i="12"/>
  <c r="H2634" i="12"/>
  <c r="H2633" i="12"/>
  <c r="H2631" i="12"/>
  <c r="H2630" i="12"/>
  <c r="H2628" i="12"/>
  <c r="H2627" i="12"/>
  <c r="H2621" i="12"/>
  <c r="H2620" i="12"/>
  <c r="H2617" i="12"/>
  <c r="H2612" i="12"/>
  <c r="H2610" i="12"/>
  <c r="H2609" i="12"/>
  <c r="H2608" i="12"/>
  <c r="H2607" i="12"/>
  <c r="H2605" i="12"/>
  <c r="H2603" i="12"/>
  <c r="H2602" i="12"/>
  <c r="H2601" i="12"/>
  <c r="H2600" i="12"/>
  <c r="H2599" i="12"/>
  <c r="H2597" i="12"/>
  <c r="H2596" i="12"/>
  <c r="H2595" i="12"/>
  <c r="H2594" i="12"/>
  <c r="H2593" i="12"/>
  <c r="H2592" i="12"/>
  <c r="H2591" i="12"/>
  <c r="H2587" i="12"/>
  <c r="H2583" i="12"/>
  <c r="H2580" i="12"/>
  <c r="H2575" i="12"/>
  <c r="H2573" i="12"/>
  <c r="H2572" i="12"/>
  <c r="H2571" i="12"/>
  <c r="H2570" i="12"/>
  <c r="H2565" i="12"/>
  <c r="H2564" i="12"/>
  <c r="H2558" i="12"/>
  <c r="H2557" i="12"/>
  <c r="H2554" i="12"/>
  <c r="H2553" i="12"/>
  <c r="H2552" i="12"/>
  <c r="H2551" i="12"/>
  <c r="H2549" i="12"/>
  <c r="H2548" i="12"/>
  <c r="H2547" i="12"/>
  <c r="H2546" i="12"/>
  <c r="H2545" i="12"/>
  <c r="H2544" i="12"/>
  <c r="H2541" i="12"/>
  <c r="H2539" i="12"/>
  <c r="H2537" i="12"/>
  <c r="H2536" i="12"/>
  <c r="H2534" i="12"/>
  <c r="H2533" i="12"/>
  <c r="H2532" i="12"/>
  <c r="H2531" i="12"/>
  <c r="H2529" i="12"/>
  <c r="H2527" i="12"/>
  <c r="H2526" i="12"/>
  <c r="H2525" i="12"/>
  <c r="H2522" i="12"/>
  <c r="H2520" i="12"/>
  <c r="H2519" i="12"/>
  <c r="H2518" i="12"/>
  <c r="H2517" i="12"/>
  <c r="H2516" i="12"/>
  <c r="H2515" i="12"/>
  <c r="H2514" i="12"/>
  <c r="H2512" i="12"/>
  <c r="H2510" i="12"/>
  <c r="H2509" i="12"/>
  <c r="H2507" i="12"/>
  <c r="H2506" i="12"/>
  <c r="H2505" i="12"/>
  <c r="H2504" i="12"/>
  <c r="H2499" i="12"/>
  <c r="H2497" i="12"/>
  <c r="H2496" i="12"/>
  <c r="H2493" i="12"/>
  <c r="H2491" i="12"/>
  <c r="H2490" i="12"/>
  <c r="H2489" i="12"/>
  <c r="H2481" i="12"/>
  <c r="H2478" i="12"/>
  <c r="H2476" i="12"/>
  <c r="H2475" i="12"/>
  <c r="H2471" i="12"/>
  <c r="H2467" i="12"/>
  <c r="H2465" i="12"/>
  <c r="H2463" i="12"/>
  <c r="H2462" i="12"/>
  <c r="H2458" i="12"/>
  <c r="H2457" i="12"/>
  <c r="H2453" i="12"/>
  <c r="H2452" i="12"/>
  <c r="H2448" i="12"/>
  <c r="H2445" i="12"/>
  <c r="H2443" i="12"/>
  <c r="H2441" i="12"/>
  <c r="H2439" i="12"/>
  <c r="H2438" i="12"/>
  <c r="H2437" i="12"/>
  <c r="H2435" i="12"/>
  <c r="H2434" i="12"/>
  <c r="H2429" i="12"/>
  <c r="H2428" i="12"/>
  <c r="H2426" i="12"/>
  <c r="H2424" i="12"/>
  <c r="H2422" i="12"/>
  <c r="H2419" i="12"/>
  <c r="H2417" i="12"/>
  <c r="H2416" i="12"/>
  <c r="H2413" i="12"/>
  <c r="H2410" i="12"/>
  <c r="H2409" i="12"/>
  <c r="H2408" i="12"/>
  <c r="H2407" i="12"/>
  <c r="H2405" i="12"/>
  <c r="H2398" i="12"/>
  <c r="H2397" i="12"/>
  <c r="H2394" i="12"/>
  <c r="H2391" i="12"/>
  <c r="H2386" i="12"/>
  <c r="H2384" i="12"/>
  <c r="H2383" i="12"/>
  <c r="H2382" i="12"/>
  <c r="H2381" i="12"/>
  <c r="H2378" i="12"/>
  <c r="H2373" i="12"/>
  <c r="H2370" i="12"/>
  <c r="H2368" i="12"/>
  <c r="H2367" i="12"/>
  <c r="H2366" i="12"/>
  <c r="H2364" i="12"/>
  <c r="H2363" i="12"/>
  <c r="J2350" i="12" l="1"/>
  <c r="J1444" i="12" l="1"/>
  <c r="H1444" i="12"/>
  <c r="F1441" i="14"/>
  <c r="F1345" i="14"/>
  <c r="F1332" i="14"/>
  <c r="G1282" i="14"/>
  <c r="F1280" i="14"/>
  <c r="F922" i="14"/>
  <c r="F135" i="14"/>
  <c r="F21" i="14"/>
  <c r="H612" i="12"/>
  <c r="K1917" i="12"/>
  <c r="H1917" i="12"/>
  <c r="J1917" i="12"/>
  <c r="K2268" i="12"/>
  <c r="J2268" i="12"/>
  <c r="H2268" i="12"/>
  <c r="J2267" i="12"/>
  <c r="H2267" i="12"/>
  <c r="K2179" i="12"/>
  <c r="J2179" i="12"/>
  <c r="H2179" i="12"/>
  <c r="K1981" i="12" l="1"/>
  <c r="H1981" i="12"/>
  <c r="J621" i="12"/>
  <c r="H621" i="12"/>
  <c r="K1988" i="12"/>
  <c r="H1988" i="12"/>
  <c r="J2102" i="12"/>
  <c r="K2102" i="12"/>
  <c r="H2102" i="12"/>
  <c r="K1913" i="12"/>
  <c r="H1913" i="12"/>
  <c r="H2130" i="12"/>
  <c r="K2130" i="12"/>
  <c r="J1614" i="12"/>
  <c r="H1614" i="12"/>
  <c r="K168" i="12"/>
  <c r="J168" i="12"/>
  <c r="H168" i="12"/>
  <c r="J2266" i="12" l="1"/>
  <c r="J1209" i="12" l="1"/>
  <c r="H1209" i="12"/>
  <c r="H1405" i="12"/>
  <c r="J1405" i="12"/>
  <c r="H673" i="8" l="1"/>
  <c r="F529" i="8"/>
  <c r="F528" i="8"/>
  <c r="J834" i="12"/>
  <c r="H834" i="12"/>
  <c r="H1830" i="12"/>
  <c r="J1397" i="12"/>
  <c r="K1397" i="12" s="1"/>
  <c r="H1397" i="12"/>
  <c r="H1259" i="12"/>
  <c r="J1210" i="12"/>
  <c r="H1210" i="12"/>
  <c r="H2021" i="12" l="1"/>
  <c r="F26" i="8" l="1"/>
  <c r="F288" i="8" l="1"/>
  <c r="F276" i="8"/>
  <c r="F126" i="8"/>
  <c r="F84" i="8"/>
  <c r="G143" i="9"/>
  <c r="G142" i="9"/>
  <c r="G141" i="9"/>
  <c r="G96" i="9" l="1"/>
  <c r="G54" i="9"/>
  <c r="J1950" i="12" l="1"/>
  <c r="J2162" i="12" l="1"/>
  <c r="H812" i="12" l="1"/>
  <c r="H2020" i="12" l="1"/>
  <c r="H2096" i="12"/>
  <c r="H1809" i="12" l="1"/>
  <c r="F673" i="8" l="1"/>
  <c r="F670" i="8"/>
  <c r="H1879" i="12" l="1"/>
  <c r="H2187" i="12" l="1"/>
  <c r="J450" i="12" l="1"/>
  <c r="H450" i="12"/>
  <c r="J443" i="12"/>
  <c r="H443" i="12"/>
  <c r="J201" i="12"/>
  <c r="H201" i="12"/>
  <c r="H1873" i="12" l="1"/>
  <c r="H680" i="11" l="1"/>
  <c r="H1821" i="12" l="1"/>
  <c r="J1821" i="12" s="1"/>
  <c r="H1906" i="12" l="1"/>
  <c r="H2095" i="12" l="1"/>
  <c r="J1695" i="12" l="1"/>
  <c r="J1694" i="12"/>
  <c r="J1693" i="12"/>
  <c r="J1692" i="12"/>
  <c r="J1691" i="12"/>
  <c r="J873" i="12"/>
  <c r="J872" i="12" s="1"/>
  <c r="H872" i="12"/>
  <c r="J1990" i="12"/>
  <c r="J1989" i="12"/>
  <c r="J1988" i="12"/>
  <c r="J1871" i="12"/>
  <c r="J1870" i="12"/>
  <c r="J1869" i="12"/>
  <c r="H1869" i="12"/>
  <c r="K854" i="12" l="1"/>
  <c r="K853" i="12"/>
  <c r="J843" i="12"/>
  <c r="H843" i="12"/>
  <c r="J1843" i="12"/>
  <c r="J1842" i="12"/>
  <c r="J1841" i="12"/>
  <c r="J1840" i="12"/>
  <c r="J1839" i="12"/>
  <c r="J1838" i="12"/>
  <c r="H1838" i="12"/>
  <c r="J1837" i="12"/>
  <c r="H1837" i="12"/>
  <c r="J2028" i="12"/>
  <c r="J2027" i="12"/>
  <c r="J2026" i="12"/>
  <c r="J2025" i="12"/>
  <c r="J2024" i="12"/>
  <c r="J2023" i="12"/>
  <c r="J2022" i="12"/>
  <c r="H2022" i="12"/>
  <c r="H226" i="12"/>
  <c r="J226" i="12" s="1"/>
  <c r="J225" i="12" s="1"/>
  <c r="J1626" i="12"/>
  <c r="H1626" i="12"/>
  <c r="J956" i="12" l="1"/>
  <c r="F91" i="8"/>
  <c r="F92" i="8"/>
  <c r="G13" i="9" l="1"/>
  <c r="J2235" i="12" l="1"/>
  <c r="H2235" i="12"/>
  <c r="J2226" i="12"/>
  <c r="H2226" i="12"/>
  <c r="J2216" i="12"/>
  <c r="H2216" i="12"/>
  <c r="J2207" i="12"/>
  <c r="H2207" i="12"/>
  <c r="J2018" i="12"/>
  <c r="J2017" i="12"/>
  <c r="J2015" i="12"/>
  <c r="J2014" i="12"/>
  <c r="J2013" i="12"/>
  <c r="J2011" i="12"/>
  <c r="J2010" i="12"/>
  <c r="J2009" i="12"/>
  <c r="J2008" i="12"/>
  <c r="J2007" i="12"/>
  <c r="J2006" i="12"/>
  <c r="J2005" i="12"/>
  <c r="J2004" i="12"/>
  <c r="H2004" i="12"/>
  <c r="G194" i="9"/>
  <c r="F218" i="8"/>
  <c r="F274" i="8"/>
  <c r="F273" i="8"/>
  <c r="H1932" i="12"/>
  <c r="J1801" i="12"/>
  <c r="J1800" i="12"/>
  <c r="G73" i="9"/>
  <c r="F315" i="8" l="1"/>
  <c r="F96" i="8" l="1"/>
  <c r="F65" i="8"/>
  <c r="G156" i="9" l="1"/>
  <c r="G94" i="9"/>
  <c r="G92" i="9"/>
  <c r="I90" i="9"/>
  <c r="I89" i="9"/>
  <c r="G89" i="9"/>
  <c r="G87" i="9"/>
  <c r="G85" i="9"/>
  <c r="G84" i="9"/>
  <c r="G22" i="9"/>
  <c r="F376" i="8"/>
  <c r="F374" i="8"/>
  <c r="F372" i="8"/>
  <c r="F319" i="8" l="1"/>
  <c r="F309" i="8"/>
  <c r="F242" i="8"/>
  <c r="F219" i="8"/>
  <c r="F37" i="8"/>
  <c r="F35" i="8"/>
  <c r="F30" i="8"/>
  <c r="F24" i="8"/>
  <c r="F29" i="8"/>
  <c r="J2198" i="12" l="1"/>
  <c r="J2194" i="12"/>
  <c r="J2193" i="12"/>
  <c r="J2192" i="12"/>
  <c r="H2192" i="12"/>
  <c r="J2151" i="12"/>
  <c r="J2148" i="12"/>
  <c r="J2147" i="12"/>
  <c r="J2146" i="12"/>
  <c r="J2145" i="12"/>
  <c r="J2144" i="12"/>
  <c r="J2143" i="12"/>
  <c r="J2142" i="12"/>
  <c r="J2141" i="12"/>
  <c r="J2140" i="12"/>
  <c r="H2140" i="12"/>
  <c r="J2134" i="12"/>
  <c r="J2133" i="12"/>
  <c r="J2132" i="12"/>
  <c r="J2131" i="12"/>
  <c r="H2131" i="12"/>
  <c r="J2119" i="12"/>
  <c r="J2118" i="12"/>
  <c r="J2117" i="12"/>
  <c r="H2117" i="12"/>
  <c r="J2114" i="12"/>
  <c r="J2113" i="12"/>
  <c r="J2112" i="12"/>
  <c r="J2111" i="12"/>
  <c r="J2110" i="12"/>
  <c r="J2109" i="12"/>
  <c r="J2108" i="12"/>
  <c r="J2107" i="12"/>
  <c r="J2106" i="12"/>
  <c r="J2105" i="12"/>
  <c r="H2105" i="12"/>
  <c r="J2092" i="12"/>
  <c r="J2091" i="12"/>
  <c r="H2091" i="12"/>
  <c r="J2089" i="12"/>
  <c r="J2088" i="12"/>
  <c r="J2087" i="12"/>
  <c r="J2086" i="12"/>
  <c r="H2086" i="12"/>
  <c r="J2084" i="12"/>
  <c r="J2083" i="12"/>
  <c r="J2082" i="12"/>
  <c r="J2081" i="12"/>
  <c r="H2081" i="12"/>
  <c r="J2078" i="12"/>
  <c r="J2077" i="12"/>
  <c r="J2076" i="12"/>
  <c r="J2075" i="12"/>
  <c r="J2074" i="12"/>
  <c r="J2073" i="12"/>
  <c r="J2072" i="12"/>
  <c r="J2071" i="12"/>
  <c r="H2071" i="12"/>
  <c r="J2069" i="12"/>
  <c r="J2068" i="12"/>
  <c r="J2067" i="12"/>
  <c r="J2066" i="12"/>
  <c r="J2065" i="12"/>
  <c r="H2065" i="12"/>
  <c r="J2062" i="12"/>
  <c r="J2061" i="12"/>
  <c r="J2060" i="12"/>
  <c r="J2059" i="12"/>
  <c r="J2058" i="12"/>
  <c r="J2057" i="12"/>
  <c r="J2056" i="12"/>
  <c r="J2055" i="12"/>
  <c r="J2054" i="12"/>
  <c r="J2053" i="12"/>
  <c r="J2052" i="12"/>
  <c r="H2052" i="12"/>
  <c r="J2051" i="12"/>
  <c r="J2050" i="12"/>
  <c r="J2049" i="12"/>
  <c r="H2049" i="12"/>
  <c r="J2047" i="12"/>
  <c r="J2046" i="12"/>
  <c r="J2045" i="12"/>
  <c r="J2044" i="12"/>
  <c r="H2044" i="12"/>
  <c r="J2042" i="12"/>
  <c r="J2041" i="12"/>
  <c r="J2040" i="12"/>
  <c r="J2039" i="12"/>
  <c r="H2039" i="12"/>
  <c r="J2037" i="12"/>
  <c r="J2036" i="12"/>
  <c r="J2035" i="12"/>
  <c r="J2034" i="12"/>
  <c r="H2034" i="12"/>
  <c r="J2032" i="12"/>
  <c r="J2031" i="12"/>
  <c r="H2031" i="12"/>
  <c r="J1998" i="12"/>
  <c r="J1997" i="12"/>
  <c r="J1996" i="12"/>
  <c r="J1995" i="12"/>
  <c r="J1994" i="12"/>
  <c r="J1993" i="12"/>
  <c r="J1992" i="12"/>
  <c r="H1991" i="12"/>
  <c r="J1987" i="12"/>
  <c r="H1987" i="12"/>
  <c r="J1986" i="12"/>
  <c r="J1985" i="12"/>
  <c r="J1984" i="12"/>
  <c r="J1983" i="12"/>
  <c r="J1982" i="12"/>
  <c r="H1982" i="12"/>
  <c r="J1981" i="12"/>
  <c r="J1980" i="12"/>
  <c r="J1979" i="12"/>
  <c r="H1978" i="12"/>
  <c r="J1977" i="12"/>
  <c r="J1976" i="12"/>
  <c r="J1975" i="12"/>
  <c r="J1974" i="12"/>
  <c r="H1974" i="12"/>
  <c r="J1969" i="12"/>
  <c r="H1969" i="12"/>
  <c r="J1957" i="12"/>
  <c r="J1956" i="12"/>
  <c r="J1955" i="12"/>
  <c r="J1954" i="12"/>
  <c r="J1953" i="12"/>
  <c r="J1952" i="12"/>
  <c r="J1951" i="12"/>
  <c r="J1949" i="12"/>
  <c r="J1948" i="12"/>
  <c r="J1947" i="12"/>
  <c r="J1946" i="12"/>
  <c r="J1945" i="12"/>
  <c r="J1944" i="12"/>
  <c r="J1943" i="12"/>
  <c r="J1942" i="12"/>
  <c r="J1941" i="12"/>
  <c r="J1940" i="12"/>
  <c r="J1939" i="12"/>
  <c r="H1938" i="12"/>
  <c r="J1935" i="12"/>
  <c r="H1935" i="12"/>
  <c r="H1929" i="12"/>
  <c r="J1929" i="12" s="1"/>
  <c r="J1928" i="12"/>
  <c r="J1927" i="12"/>
  <c r="H1927" i="12"/>
  <c r="J1926" i="12"/>
  <c r="J1925" i="12"/>
  <c r="J1924" i="12"/>
  <c r="H1924" i="12"/>
  <c r="J1923" i="12"/>
  <c r="J1922" i="12"/>
  <c r="J1921" i="12"/>
  <c r="J1920" i="12"/>
  <c r="H1920" i="12"/>
  <c r="H1916" i="12"/>
  <c r="H1915" i="12"/>
  <c r="J1915" i="12" s="1"/>
  <c r="H1914" i="12"/>
  <c r="J1914" i="12" s="1"/>
  <c r="J1913" i="12"/>
  <c r="J1912" i="12"/>
  <c r="H1912" i="12"/>
  <c r="J1911" i="12"/>
  <c r="J1910" i="12"/>
  <c r="J1909" i="12"/>
  <c r="J1907" i="12"/>
  <c r="H1907" i="12"/>
  <c r="J1904" i="12"/>
  <c r="J1903" i="12"/>
  <c r="J1902" i="12"/>
  <c r="J1901" i="12"/>
  <c r="J1900" i="12"/>
  <c r="J1897" i="12"/>
  <c r="H1897" i="12"/>
  <c r="J1896" i="12"/>
  <c r="J1895" i="12"/>
  <c r="J1894" i="12"/>
  <c r="H1894" i="12"/>
  <c r="J1893" i="12"/>
  <c r="J1892" i="12"/>
  <c r="J1891" i="12"/>
  <c r="J1890" i="12"/>
  <c r="H1890" i="12"/>
  <c r="J1889" i="12"/>
  <c r="H1889" i="12"/>
  <c r="J1888" i="12"/>
  <c r="H1888" i="12"/>
  <c r="J1887" i="12"/>
  <c r="J1886" i="12"/>
  <c r="H1886" i="12"/>
  <c r="J1885" i="12"/>
  <c r="H1885" i="12"/>
  <c r="J1883" i="12"/>
  <c r="H1883" i="12"/>
  <c r="J1880" i="12"/>
  <c r="H1880" i="12"/>
  <c r="J1876" i="12"/>
  <c r="J1874" i="12"/>
  <c r="H1874" i="12"/>
  <c r="J1867" i="12"/>
  <c r="J1866" i="12"/>
  <c r="H1866" i="12"/>
  <c r="J1865" i="12"/>
  <c r="H1865" i="12"/>
  <c r="K1860" i="12"/>
  <c r="J1860" i="12"/>
  <c r="H1860" i="12"/>
  <c r="J1857" i="12"/>
  <c r="J1856" i="12"/>
  <c r="H1856" i="12"/>
  <c r="J1848" i="12"/>
  <c r="H1848" i="12"/>
  <c r="J1846" i="12"/>
  <c r="H1846" i="12"/>
  <c r="J1836" i="12"/>
  <c r="J1835" i="12"/>
  <c r="J1834" i="12"/>
  <c r="J1833" i="12"/>
  <c r="J1832" i="12"/>
  <c r="H1832" i="12"/>
  <c r="J1827" i="12"/>
  <c r="J1826" i="12"/>
  <c r="J1825" i="12"/>
  <c r="J1822" i="12"/>
  <c r="H1822" i="12"/>
  <c r="J1820" i="12"/>
  <c r="J1819" i="12"/>
  <c r="H1819" i="12"/>
  <c r="J1818" i="12"/>
  <c r="J1817" i="12"/>
  <c r="J1816" i="12"/>
  <c r="H1816" i="12"/>
  <c r="J1813" i="12"/>
  <c r="H1813" i="12"/>
  <c r="J1812" i="12"/>
  <c r="H1812" i="12"/>
  <c r="J1807" i="12"/>
  <c r="J1805" i="12"/>
  <c r="H1805" i="12"/>
  <c r="J1799" i="12"/>
  <c r="H1799" i="12"/>
  <c r="J1798" i="12"/>
  <c r="H1798" i="12"/>
  <c r="J1797" i="12"/>
  <c r="J1795" i="12"/>
  <c r="H1795" i="12"/>
  <c r="J1794" i="12"/>
  <c r="J1793" i="12"/>
  <c r="J1791" i="12"/>
  <c r="J1790" i="12"/>
  <c r="H1789" i="12"/>
  <c r="J1789" i="12" s="1"/>
  <c r="J1788" i="12"/>
  <c r="J1787" i="12"/>
  <c r="J1786" i="12"/>
  <c r="J1785" i="12"/>
  <c r="J1784" i="12"/>
  <c r="J1783" i="12"/>
  <c r="J1782" i="12"/>
  <c r="J1781" i="12"/>
  <c r="J1780" i="12"/>
  <c r="J1779" i="12"/>
  <c r="J1778" i="12"/>
  <c r="J1777" i="12"/>
  <c r="J1776" i="12"/>
  <c r="J1775" i="12"/>
  <c r="J1774" i="12"/>
  <c r="J1773" i="12"/>
  <c r="J1772" i="12"/>
  <c r="J1771" i="12"/>
  <c r="J1770" i="12"/>
  <c r="J1769" i="12"/>
  <c r="J1768" i="12"/>
  <c r="J1767" i="12"/>
  <c r="J1766" i="12"/>
  <c r="J1765" i="12"/>
  <c r="J1764" i="12"/>
  <c r="J1763" i="12"/>
  <c r="J1762" i="12"/>
  <c r="J1761" i="12"/>
  <c r="J1760" i="12"/>
  <c r="J1759" i="12"/>
  <c r="J1758" i="12"/>
  <c r="J1757" i="12"/>
  <c r="J1756" i="12"/>
  <c r="J1755" i="12"/>
  <c r="J1754" i="12"/>
  <c r="J1753" i="12"/>
  <c r="J1752" i="12"/>
  <c r="J1751" i="12"/>
  <c r="J1750" i="12"/>
  <c r="J1749" i="12"/>
  <c r="J1748" i="12"/>
  <c r="J1747" i="12"/>
  <c r="J1746" i="12"/>
  <c r="J1745" i="12"/>
  <c r="J1744" i="12"/>
  <c r="H1744" i="12"/>
  <c r="J1743" i="12"/>
  <c r="J1741" i="12"/>
  <c r="H1741" i="12"/>
  <c r="J1737" i="12"/>
  <c r="H1737" i="12"/>
  <c r="J1736" i="12"/>
  <c r="H1736" i="12"/>
  <c r="J1730" i="12"/>
  <c r="J1729" i="12"/>
  <c r="H1729" i="12"/>
  <c r="J1728" i="12"/>
  <c r="J1727" i="12"/>
  <c r="H1727" i="12"/>
  <c r="J1726" i="12"/>
  <c r="J1725" i="12"/>
  <c r="J1724" i="12"/>
  <c r="J1723" i="12"/>
  <c r="J1722" i="12"/>
  <c r="H1722" i="12"/>
  <c r="J1719" i="12"/>
  <c r="J1716" i="12"/>
  <c r="J1715" i="12"/>
  <c r="H1715" i="12"/>
  <c r="J1709" i="12"/>
  <c r="J1708" i="12"/>
  <c r="J1707" i="12"/>
  <c r="H1707" i="12"/>
  <c r="J1704" i="12"/>
  <c r="H1704" i="12"/>
  <c r="J1702" i="12"/>
  <c r="H1702" i="12"/>
  <c r="J1700" i="12"/>
  <c r="J1699" i="12"/>
  <c r="J1698" i="12"/>
  <c r="J1697" i="12"/>
  <c r="H1687" i="12"/>
  <c r="J1687" i="12" s="1"/>
  <c r="J1682" i="12"/>
  <c r="H1682" i="12"/>
  <c r="J1681" i="12"/>
  <c r="J1680" i="12"/>
  <c r="J1679" i="12"/>
  <c r="J1678" i="12"/>
  <c r="J1677" i="12"/>
  <c r="J1676" i="12"/>
  <c r="J1675" i="12"/>
  <c r="J1674" i="12"/>
  <c r="J1673" i="12"/>
  <c r="J1672" i="12"/>
  <c r="J1671" i="12"/>
  <c r="J1670" i="12"/>
  <c r="J1669" i="12"/>
  <c r="J1668" i="12"/>
  <c r="J1667" i="12"/>
  <c r="J1666" i="12"/>
  <c r="J1665" i="12"/>
  <c r="J1664" i="12"/>
  <c r="J1663" i="12"/>
  <c r="J1662" i="12"/>
  <c r="J1661" i="12"/>
  <c r="J1660" i="12"/>
  <c r="J1659" i="12"/>
  <c r="J1658" i="12"/>
  <c r="J1657" i="12"/>
  <c r="J1656" i="12"/>
  <c r="J1655" i="12"/>
  <c r="J1654" i="12"/>
  <c r="J1653" i="12"/>
  <c r="J1652" i="12"/>
  <c r="J1651" i="12"/>
  <c r="J1650" i="12"/>
  <c r="J1649" i="12"/>
  <c r="J1648" i="12"/>
  <c r="J1647" i="12"/>
  <c r="J1646" i="12"/>
  <c r="J1645" i="12"/>
  <c r="J1644" i="12"/>
  <c r="J1637" i="12"/>
  <c r="H1637" i="12"/>
  <c r="J1631" i="12"/>
  <c r="H1631" i="12"/>
  <c r="J1627" i="12"/>
  <c r="H1627" i="12"/>
  <c r="J1622" i="12"/>
  <c r="H1622" i="12"/>
  <c r="J1620" i="12"/>
  <c r="J1621" i="12" s="1"/>
  <c r="J1619" i="12"/>
  <c r="J1618" i="12"/>
  <c r="J1617" i="12"/>
  <c r="H1617" i="12"/>
  <c r="J1613" i="12"/>
  <c r="H1613" i="12"/>
  <c r="J1611" i="12"/>
  <c r="J1610" i="12"/>
  <c r="J1609" i="12"/>
  <c r="J1608" i="12"/>
  <c r="J1607" i="12"/>
  <c r="H1607" i="12"/>
  <c r="J1606" i="12"/>
  <c r="J1605" i="12"/>
  <c r="J1604" i="12"/>
  <c r="J1603" i="12"/>
  <c r="H1603" i="12"/>
  <c r="J1602" i="12"/>
  <c r="J1601" i="12"/>
  <c r="J1600" i="12"/>
  <c r="H1600" i="12"/>
  <c r="J1598" i="12"/>
  <c r="J1597" i="12"/>
  <c r="J1596" i="12"/>
  <c r="J1595" i="12"/>
  <c r="H1595" i="12"/>
  <c r="J1594" i="12"/>
  <c r="J1593" i="12"/>
  <c r="J1592" i="12"/>
  <c r="J1591" i="12"/>
  <c r="J1590" i="12"/>
  <c r="J1589" i="12"/>
  <c r="J1588" i="12"/>
  <c r="J1587" i="12"/>
  <c r="J1586" i="12"/>
  <c r="H1586" i="12"/>
  <c r="J1585" i="12"/>
  <c r="J1584" i="12"/>
  <c r="J1583" i="12"/>
  <c r="J1582" i="12"/>
  <c r="J1581" i="12"/>
  <c r="H1581" i="12"/>
  <c r="J1580" i="12"/>
  <c r="J1579" i="12"/>
  <c r="J1578" i="12"/>
  <c r="J1577" i="12"/>
  <c r="J1576" i="12"/>
  <c r="H1576" i="12"/>
  <c r="J1570" i="12"/>
  <c r="J1569" i="12"/>
  <c r="J1568" i="12"/>
  <c r="H1568" i="12"/>
  <c r="J1565" i="12"/>
  <c r="H1565" i="12"/>
  <c r="J1564" i="12"/>
  <c r="J1563" i="12"/>
  <c r="H1563" i="12"/>
  <c r="J1562" i="12"/>
  <c r="J1559" i="12"/>
  <c r="H1559" i="12"/>
  <c r="J1558" i="12"/>
  <c r="J1557" i="12"/>
  <c r="H1557" i="12"/>
  <c r="J1556" i="12"/>
  <c r="J1555" i="12"/>
  <c r="J1554" i="12"/>
  <c r="H1554" i="12"/>
  <c r="J1552" i="12"/>
  <c r="H1552" i="12"/>
  <c r="J1551" i="12"/>
  <c r="J1550" i="12"/>
  <c r="J1549" i="12"/>
  <c r="H1549" i="12"/>
  <c r="J1548" i="12"/>
  <c r="J1543" i="12"/>
  <c r="J1542" i="12"/>
  <c r="H1542" i="12"/>
  <c r="J1541" i="12"/>
  <c r="J1540" i="12"/>
  <c r="J1539" i="12"/>
  <c r="J1538" i="12"/>
  <c r="H1538" i="12"/>
  <c r="J1537" i="12"/>
  <c r="J1536" i="12"/>
  <c r="H1536" i="12"/>
  <c r="J1534" i="12"/>
  <c r="H1534" i="12"/>
  <c r="H1532" i="12"/>
  <c r="J1531" i="12"/>
  <c r="J1530" i="12"/>
  <c r="J1529" i="12"/>
  <c r="J1528" i="12"/>
  <c r="J1527" i="12"/>
  <c r="H1527" i="12"/>
  <c r="J1525" i="12"/>
  <c r="H1525" i="12"/>
  <c r="J1524" i="12"/>
  <c r="H1524" i="12"/>
  <c r="J1520" i="12"/>
  <c r="H1520" i="12"/>
  <c r="J1519" i="12"/>
  <c r="J1518" i="12"/>
  <c r="J1517" i="12"/>
  <c r="J1516" i="12"/>
  <c r="J1515" i="12"/>
  <c r="J1514" i="12"/>
  <c r="J1513" i="12"/>
  <c r="J1512" i="12"/>
  <c r="J1511" i="12"/>
  <c r="H1511" i="12"/>
  <c r="J1510" i="12"/>
  <c r="J1509" i="12"/>
  <c r="J1508" i="12"/>
  <c r="J1507" i="12"/>
  <c r="J1506" i="12"/>
  <c r="H1506" i="12"/>
  <c r="J1497" i="12"/>
  <c r="H1497" i="12"/>
  <c r="J1493" i="12"/>
  <c r="H1493" i="12"/>
  <c r="J1492" i="12"/>
  <c r="H1491" i="12"/>
  <c r="J1490" i="12"/>
  <c r="H1490" i="12"/>
  <c r="J1488" i="12"/>
  <c r="H1488" i="12"/>
  <c r="J1485" i="12"/>
  <c r="H1485" i="12"/>
  <c r="J1481" i="12"/>
  <c r="H1481" i="12"/>
  <c r="J1480" i="12"/>
  <c r="H1480" i="12"/>
  <c r="J1479" i="12"/>
  <c r="H1479" i="12"/>
  <c r="J1477" i="12"/>
  <c r="H1477" i="12"/>
  <c r="J1475" i="12"/>
  <c r="H1475" i="12"/>
  <c r="J1473" i="12"/>
  <c r="H1473" i="12"/>
  <c r="J1469" i="12"/>
  <c r="H1469" i="12"/>
  <c r="J1467" i="12"/>
  <c r="H1467" i="12"/>
  <c r="J1464" i="12"/>
  <c r="H1464" i="12"/>
  <c r="J1459" i="12"/>
  <c r="H1459" i="12"/>
  <c r="J1455" i="12"/>
  <c r="H1455" i="12"/>
  <c r="J1453" i="12"/>
  <c r="H1453" i="12"/>
  <c r="J1449" i="12"/>
  <c r="H1449" i="12"/>
  <c r="J1446" i="12"/>
  <c r="H1446" i="12"/>
  <c r="J1441" i="12"/>
  <c r="H1441" i="12"/>
  <c r="J1436" i="12"/>
  <c r="H1436" i="12"/>
  <c r="J1432" i="12"/>
  <c r="H1432" i="12"/>
  <c r="J1431" i="12"/>
  <c r="H1431" i="12"/>
  <c r="J1412" i="12"/>
  <c r="H1412" i="12"/>
  <c r="J1409" i="12"/>
  <c r="H1409" i="12"/>
  <c r="J1407" i="12"/>
  <c r="H1407" i="12"/>
  <c r="H1402" i="12"/>
  <c r="J1401" i="12"/>
  <c r="H1401" i="12"/>
  <c r="J1399" i="12"/>
  <c r="H1399" i="12"/>
  <c r="J1395" i="12"/>
  <c r="H1395" i="12"/>
  <c r="J1392" i="12"/>
  <c r="H1392" i="12"/>
  <c r="J1387" i="12"/>
  <c r="H1387" i="12"/>
  <c r="J1380" i="12"/>
  <c r="H1380" i="12"/>
  <c r="J1379" i="12"/>
  <c r="J1378" i="12"/>
  <c r="H1378" i="12"/>
  <c r="J1377" i="12"/>
  <c r="H1377" i="12"/>
  <c r="J1371" i="12"/>
  <c r="H1371" i="12"/>
  <c r="J1369" i="12"/>
  <c r="H1369" i="12"/>
  <c r="J1363" i="12"/>
  <c r="H1363" i="12"/>
  <c r="J1360" i="12"/>
  <c r="H1360" i="12"/>
  <c r="J1348" i="12"/>
  <c r="H1348" i="12"/>
  <c r="J1345" i="12"/>
  <c r="H1345" i="12"/>
  <c r="J1337" i="12"/>
  <c r="H1337" i="12"/>
  <c r="J1330" i="12"/>
  <c r="H1330" i="12"/>
  <c r="J1272" i="12"/>
  <c r="H1272" i="12"/>
  <c r="J1262" i="12"/>
  <c r="H1262" i="12"/>
  <c r="J1256" i="12"/>
  <c r="H1256" i="12"/>
  <c r="J1236" i="12"/>
  <c r="H1236" i="12"/>
  <c r="J1234" i="12"/>
  <c r="H1234" i="12"/>
  <c r="J1233" i="12"/>
  <c r="H1233" i="12"/>
  <c r="J1228" i="12"/>
  <c r="H1228" i="12"/>
  <c r="J1216" i="12"/>
  <c r="H1216" i="12"/>
  <c r="J1213" i="12"/>
  <c r="H1213" i="12"/>
  <c r="J1212" i="12"/>
  <c r="H1212" i="12"/>
  <c r="J1165" i="12"/>
  <c r="H1165" i="12"/>
  <c r="J1162" i="12"/>
  <c r="H1162" i="12"/>
  <c r="J1154" i="12"/>
  <c r="H1154" i="12"/>
  <c r="J1153" i="12"/>
  <c r="H1153" i="12"/>
  <c r="H1152" i="12"/>
  <c r="J1147" i="12"/>
  <c r="H1147" i="12"/>
  <c r="J1145" i="12"/>
  <c r="H1145" i="12"/>
  <c r="J1142" i="12"/>
  <c r="H1142" i="12"/>
  <c r="J1140" i="12"/>
  <c r="H1140" i="12"/>
  <c r="J1131" i="12"/>
  <c r="H1131" i="12"/>
  <c r="J1128" i="12"/>
  <c r="H1128" i="12"/>
  <c r="J1126" i="12"/>
  <c r="H1126" i="12"/>
  <c r="J1125" i="12"/>
  <c r="H1125" i="12"/>
  <c r="J1124" i="12"/>
  <c r="H1124" i="12"/>
  <c r="J1123" i="12"/>
  <c r="H1123" i="12"/>
  <c r="J1120" i="12"/>
  <c r="H1120" i="12"/>
  <c r="J1118" i="12"/>
  <c r="H1118" i="12"/>
  <c r="J1117" i="12"/>
  <c r="H1117" i="12"/>
  <c r="J1116" i="12"/>
  <c r="H1116" i="12"/>
  <c r="J1112" i="12"/>
  <c r="H1112" i="12"/>
  <c r="J1109" i="12"/>
  <c r="H1109" i="12"/>
  <c r="J1106" i="12"/>
  <c r="H1106" i="12"/>
  <c r="J1105" i="12"/>
  <c r="H1105" i="12"/>
  <c r="J1104" i="12"/>
  <c r="J1103" i="12"/>
  <c r="H1103" i="12"/>
  <c r="J1101" i="12"/>
  <c r="H1101" i="12"/>
  <c r="J1099" i="12"/>
  <c r="H1099" i="12"/>
  <c r="J1098" i="12"/>
  <c r="H1098" i="12"/>
  <c r="J1094" i="12"/>
  <c r="H1094" i="12"/>
  <c r="J1091" i="12"/>
  <c r="H1091" i="12"/>
  <c r="J1089" i="12"/>
  <c r="H1089" i="12"/>
  <c r="J1071" i="12"/>
  <c r="H1071" i="12"/>
  <c r="H1066" i="12"/>
  <c r="J1063" i="12"/>
  <c r="H1063" i="12"/>
  <c r="J1060" i="12"/>
  <c r="H1060" i="12"/>
  <c r="J1058" i="12"/>
  <c r="H1058" i="12"/>
  <c r="J1056" i="12"/>
  <c r="H1056" i="12"/>
  <c r="J1050" i="12"/>
  <c r="H1050" i="12"/>
  <c r="J1045" i="12"/>
  <c r="H1045" i="12"/>
  <c r="J1043" i="12"/>
  <c r="H1043" i="12"/>
  <c r="J1039" i="12"/>
  <c r="H1039" i="12"/>
  <c r="J1037" i="12"/>
  <c r="H1037" i="12"/>
  <c r="H1032" i="12"/>
  <c r="J1032" i="12" s="1"/>
  <c r="J1008" i="12"/>
  <c r="H1008" i="12"/>
  <c r="J1004" i="12"/>
  <c r="H1004" i="12"/>
  <c r="J995" i="12"/>
  <c r="H995" i="12"/>
  <c r="J988" i="12"/>
  <c r="H988" i="12"/>
  <c r="J982" i="12"/>
  <c r="H982" i="12"/>
  <c r="J980" i="12"/>
  <c r="H980" i="12"/>
  <c r="J975" i="12"/>
  <c r="H975" i="12"/>
  <c r="H972" i="12"/>
  <c r="J968" i="12"/>
  <c r="H968" i="12"/>
  <c r="J967" i="12"/>
  <c r="H967" i="12"/>
  <c r="J965" i="12"/>
  <c r="H965" i="12"/>
  <c r="J964" i="12"/>
  <c r="H964" i="12"/>
  <c r="J961" i="12"/>
  <c r="H961" i="12"/>
  <c r="J958" i="12"/>
  <c r="H958" i="12"/>
  <c r="J957" i="12"/>
  <c r="H957" i="12"/>
  <c r="J951" i="12"/>
  <c r="H951" i="12"/>
  <c r="J950" i="12"/>
  <c r="J949" i="12"/>
  <c r="H949" i="12"/>
  <c r="J946" i="12"/>
  <c r="H946" i="12"/>
  <c r="J944" i="12"/>
  <c r="H944" i="12"/>
  <c r="J932" i="12"/>
  <c r="J933" i="12" s="1"/>
  <c r="J931" i="12"/>
  <c r="H931" i="12"/>
  <c r="J930" i="12"/>
  <c r="J918" i="12"/>
  <c r="H918" i="12"/>
  <c r="J917" i="12"/>
  <c r="H917" i="12"/>
  <c r="J913" i="12"/>
  <c r="H913" i="12"/>
  <c r="J912" i="12"/>
  <c r="J911" i="12"/>
  <c r="H911" i="12"/>
  <c r="H910" i="12"/>
  <c r="J910" i="12" s="1"/>
  <c r="J905" i="12"/>
  <c r="H905" i="12"/>
  <c r="J904" i="12"/>
  <c r="J903" i="12"/>
  <c r="J902" i="12"/>
  <c r="H902" i="12"/>
  <c r="J900" i="12"/>
  <c r="H900" i="12"/>
  <c r="J897" i="12"/>
  <c r="H897" i="12"/>
  <c r="J896" i="12"/>
  <c r="J895" i="12"/>
  <c r="J894" i="12"/>
  <c r="H894" i="12"/>
  <c r="J893" i="12"/>
  <c r="J892" i="12"/>
  <c r="H892" i="12"/>
  <c r="J891" i="12"/>
  <c r="J890" i="12"/>
  <c r="J889" i="12"/>
  <c r="H889" i="12"/>
  <c r="K888" i="12"/>
  <c r="J888" i="12"/>
  <c r="H888" i="12"/>
  <c r="H884" i="12"/>
  <c r="J880" i="12"/>
  <c r="H880" i="12"/>
  <c r="J879" i="12"/>
  <c r="J878" i="12"/>
  <c r="J877" i="12"/>
  <c r="H877" i="12"/>
  <c r="J876" i="12"/>
  <c r="H876" i="12"/>
  <c r="K875" i="12"/>
  <c r="J875" i="12"/>
  <c r="H875" i="12"/>
  <c r="K874" i="12"/>
  <c r="J874" i="12"/>
  <c r="H874" i="12"/>
  <c r="J871" i="12"/>
  <c r="J870" i="12"/>
  <c r="H870" i="12"/>
  <c r="J869" i="12"/>
  <c r="H869" i="12"/>
  <c r="K868" i="12"/>
  <c r="J868" i="12"/>
  <c r="H868" i="12"/>
  <c r="J867" i="12"/>
  <c r="H867" i="12"/>
  <c r="J866" i="12"/>
  <c r="H866" i="12"/>
  <c r="J862" i="12"/>
  <c r="H862" i="12"/>
  <c r="J842" i="12"/>
  <c r="J841" i="12"/>
  <c r="J840" i="12"/>
  <c r="H840" i="12"/>
  <c r="J831" i="12"/>
  <c r="H831" i="12"/>
  <c r="J828" i="12"/>
  <c r="H828" i="12"/>
  <c r="J825" i="12"/>
  <c r="H825" i="12"/>
  <c r="J824" i="12"/>
  <c r="H824" i="12"/>
  <c r="J819" i="12"/>
  <c r="H819" i="12"/>
  <c r="J815" i="12"/>
  <c r="H815" i="12"/>
  <c r="J814" i="12"/>
  <c r="J813" i="12"/>
  <c r="H813" i="12"/>
  <c r="J808" i="12"/>
  <c r="H808" i="12"/>
  <c r="J806" i="12"/>
  <c r="H806" i="12"/>
  <c r="J803" i="12"/>
  <c r="H803" i="12"/>
  <c r="J797" i="12"/>
  <c r="H797" i="12"/>
  <c r="J794" i="12"/>
  <c r="H794" i="12"/>
  <c r="J792" i="12"/>
  <c r="H792" i="12"/>
  <c r="J789" i="12"/>
  <c r="H789" i="12"/>
  <c r="J785" i="12"/>
  <c r="H785" i="12"/>
  <c r="J772" i="12"/>
  <c r="H772" i="12"/>
  <c r="J763" i="12"/>
  <c r="H763" i="12"/>
  <c r="J761" i="12"/>
  <c r="H761" i="12"/>
  <c r="H760" i="12"/>
  <c r="J760" i="12" s="1"/>
  <c r="J752" i="12"/>
  <c r="H752" i="12"/>
  <c r="J746" i="12"/>
  <c r="H746" i="12"/>
  <c r="J743" i="12"/>
  <c r="H743" i="12"/>
  <c r="J741" i="12"/>
  <c r="H741" i="12"/>
  <c r="J735" i="12"/>
  <c r="H735" i="12"/>
  <c r="J731" i="12"/>
  <c r="H731" i="12"/>
  <c r="J728" i="12"/>
  <c r="H728" i="12"/>
  <c r="J725" i="12"/>
  <c r="H725" i="12"/>
  <c r="J721" i="12"/>
  <c r="H721" i="12"/>
  <c r="J717" i="12"/>
  <c r="H717" i="12"/>
  <c r="H716" i="12"/>
  <c r="J716" i="12" s="1"/>
  <c r="J715" i="12"/>
  <c r="H715" i="12"/>
  <c r="H714" i="12"/>
  <c r="J714" i="12" s="1"/>
  <c r="J675" i="12"/>
  <c r="H675" i="12"/>
  <c r="J669" i="12"/>
  <c r="H669" i="12"/>
  <c r="J668" i="12"/>
  <c r="J667" i="12"/>
  <c r="J666" i="12"/>
  <c r="J665" i="12"/>
  <c r="J664" i="12"/>
  <c r="J663" i="12"/>
  <c r="J662" i="12"/>
  <c r="J661" i="12"/>
  <c r="J659" i="12"/>
  <c r="J654" i="12"/>
  <c r="H654" i="12"/>
  <c r="J653" i="12"/>
  <c r="J652" i="12"/>
  <c r="J651" i="12"/>
  <c r="J650" i="12"/>
  <c r="J648" i="12"/>
  <c r="J649" i="12" s="1"/>
  <c r="H648" i="12"/>
  <c r="J646" i="12"/>
  <c r="H646" i="12"/>
  <c r="J642" i="12"/>
  <c r="H642" i="12"/>
  <c r="J636" i="12"/>
  <c r="H636" i="12"/>
  <c r="J632" i="12"/>
  <c r="H632" i="12"/>
  <c r="J629" i="12"/>
  <c r="H629" i="12"/>
  <c r="J625" i="12"/>
  <c r="H625" i="12"/>
  <c r="J622" i="12"/>
  <c r="H622" i="12"/>
  <c r="J619" i="12"/>
  <c r="H619" i="12"/>
  <c r="J617" i="12"/>
  <c r="H617" i="12"/>
  <c r="J614" i="12"/>
  <c r="H614" i="12"/>
  <c r="J609" i="12"/>
  <c r="H609" i="12"/>
  <c r="J608" i="12"/>
  <c r="J607" i="12"/>
  <c r="J606" i="12"/>
  <c r="H606" i="12"/>
  <c r="J603" i="12"/>
  <c r="H603" i="12"/>
  <c r="J602" i="12"/>
  <c r="J601" i="12"/>
  <c r="J600" i="12"/>
  <c r="J599" i="12"/>
  <c r="J598" i="12"/>
  <c r="H598" i="12"/>
  <c r="J597" i="12"/>
  <c r="J596" i="12"/>
  <c r="J595" i="12"/>
  <c r="J594" i="12"/>
  <c r="J593" i="12"/>
  <c r="J592" i="12"/>
  <c r="H592" i="12"/>
  <c r="J591" i="12"/>
  <c r="J590" i="12"/>
  <c r="J589" i="12"/>
  <c r="J588" i="12"/>
  <c r="J587" i="12"/>
  <c r="J586" i="12"/>
  <c r="J585" i="12"/>
  <c r="J584" i="12"/>
  <c r="J583" i="12"/>
  <c r="H583" i="12"/>
  <c r="J582" i="12"/>
  <c r="J581" i="12"/>
  <c r="J580" i="12"/>
  <c r="J579" i="12"/>
  <c r="J578" i="12"/>
  <c r="J577" i="12"/>
  <c r="J576" i="12"/>
  <c r="J575" i="12"/>
  <c r="J574" i="12"/>
  <c r="H574" i="12"/>
  <c r="J573" i="12"/>
  <c r="J572" i="12"/>
  <c r="J571" i="12"/>
  <c r="J570" i="12"/>
  <c r="H570" i="12"/>
  <c r="J568" i="12"/>
  <c r="J567" i="12"/>
  <c r="J566" i="12"/>
  <c r="J565" i="12"/>
  <c r="J564" i="12"/>
  <c r="H564" i="12"/>
  <c r="J563" i="12"/>
  <c r="J562" i="12"/>
  <c r="J561" i="12"/>
  <c r="H561" i="12"/>
  <c r="J560" i="12"/>
  <c r="J559" i="12"/>
  <c r="J558" i="12"/>
  <c r="J557" i="12"/>
  <c r="J556" i="12"/>
  <c r="H556" i="12"/>
  <c r="J555" i="12"/>
  <c r="J554" i="12"/>
  <c r="J553" i="12"/>
  <c r="J552" i="12"/>
  <c r="J551" i="12"/>
  <c r="J550" i="12"/>
  <c r="H550" i="12"/>
  <c r="J549" i="12"/>
  <c r="J548" i="12"/>
  <c r="J547" i="12"/>
  <c r="J546" i="12"/>
  <c r="H546" i="12"/>
  <c r="J545" i="12"/>
  <c r="J544" i="12"/>
  <c r="H544" i="12"/>
  <c r="J543" i="12"/>
  <c r="J542" i="12"/>
  <c r="H542" i="12"/>
  <c r="J541" i="12"/>
  <c r="J540" i="12"/>
  <c r="H540" i="12"/>
  <c r="J536" i="12"/>
  <c r="H536" i="12"/>
  <c r="J535" i="12"/>
  <c r="J533" i="12"/>
  <c r="J532" i="12"/>
  <c r="H532" i="12"/>
  <c r="J530" i="12"/>
  <c r="H530" i="12"/>
  <c r="J528" i="12"/>
  <c r="H528" i="12"/>
  <c r="J526" i="12"/>
  <c r="H526" i="12"/>
  <c r="J515" i="12"/>
  <c r="H515" i="12"/>
  <c r="J503" i="12"/>
  <c r="H503" i="12"/>
  <c r="J499" i="12"/>
  <c r="H499" i="12"/>
  <c r="H497" i="12"/>
  <c r="J494" i="12"/>
  <c r="H494" i="12"/>
  <c r="J490" i="12"/>
  <c r="H490" i="12"/>
  <c r="J479" i="12"/>
  <c r="H479" i="12"/>
  <c r="J468" i="12"/>
  <c r="H468" i="12"/>
  <c r="J456" i="12"/>
  <c r="H456" i="12"/>
  <c r="J442" i="12"/>
  <c r="J437" i="12"/>
  <c r="H437" i="12"/>
  <c r="J426" i="12"/>
  <c r="H426" i="12"/>
  <c r="J411" i="12"/>
  <c r="H411" i="12"/>
  <c r="J407" i="12"/>
  <c r="H407" i="12"/>
  <c r="J394" i="12"/>
  <c r="H394" i="12"/>
  <c r="J369" i="12"/>
  <c r="H369" i="12"/>
  <c r="J366" i="12"/>
  <c r="H366" i="12"/>
  <c r="J363" i="12"/>
  <c r="H363" i="12"/>
  <c r="H362" i="12"/>
  <c r="J353" i="12"/>
  <c r="H353" i="12"/>
  <c r="J350" i="12"/>
  <c r="H350" i="12"/>
  <c r="J347" i="12"/>
  <c r="H347" i="12"/>
  <c r="J345" i="12"/>
  <c r="H345" i="12"/>
  <c r="J342" i="12"/>
  <c r="H342" i="12"/>
  <c r="H340" i="12"/>
  <c r="J336" i="12"/>
  <c r="H336" i="12"/>
  <c r="J331" i="12"/>
  <c r="H331" i="12"/>
  <c r="J326" i="12"/>
  <c r="H326" i="12"/>
  <c r="J322" i="12"/>
  <c r="H322" i="12"/>
  <c r="J321" i="12"/>
  <c r="J320" i="12"/>
  <c r="H320" i="12"/>
  <c r="J319" i="12"/>
  <c r="J315" i="12"/>
  <c r="H315" i="12"/>
  <c r="J314" i="12"/>
  <c r="H312" i="12"/>
  <c r="J312" i="12" s="1"/>
  <c r="J311" i="12"/>
  <c r="H311" i="12"/>
  <c r="J308" i="12"/>
  <c r="H308" i="12"/>
  <c r="K307" i="12"/>
  <c r="J307" i="12"/>
  <c r="K306" i="12"/>
  <c r="J306" i="12"/>
  <c r="H306" i="12"/>
  <c r="H305" i="12"/>
  <c r="H304" i="12"/>
  <c r="H303" i="12"/>
  <c r="J299" i="12"/>
  <c r="H299" i="12"/>
  <c r="J295" i="12"/>
  <c r="H295" i="12"/>
  <c r="J289" i="12"/>
  <c r="H289" i="12"/>
  <c r="J286" i="12"/>
  <c r="H286" i="12"/>
  <c r="J282" i="12"/>
  <c r="H282" i="12"/>
  <c r="J279" i="12"/>
  <c r="H279" i="12"/>
  <c r="J265" i="12"/>
  <c r="H265" i="12"/>
  <c r="J262" i="12"/>
  <c r="H262" i="12"/>
  <c r="J259" i="12"/>
  <c r="H259" i="12"/>
  <c r="J258" i="12"/>
  <c r="H258" i="12"/>
  <c r="J255" i="12"/>
  <c r="J245" i="12"/>
  <c r="H245" i="12"/>
  <c r="J242" i="12"/>
  <c r="H242" i="12"/>
  <c r="J231" i="12"/>
  <c r="H231" i="12"/>
  <c r="J216" i="12"/>
  <c r="H216" i="12"/>
  <c r="J215" i="12"/>
  <c r="H215" i="12"/>
  <c r="J213" i="12"/>
  <c r="H213" i="12"/>
  <c r="J210" i="12"/>
  <c r="H210" i="12"/>
  <c r="J206" i="12"/>
  <c r="H206" i="12"/>
  <c r="J197" i="12"/>
  <c r="H197" i="12"/>
  <c r="J196" i="12"/>
  <c r="H196" i="12"/>
  <c r="J186" i="12"/>
  <c r="H186" i="12"/>
  <c r="J180" i="12"/>
  <c r="H180" i="12"/>
  <c r="J178" i="12"/>
  <c r="H178" i="12"/>
  <c r="J175" i="12"/>
  <c r="H175" i="12"/>
  <c r="J172" i="12"/>
  <c r="J169" i="12"/>
  <c r="H169" i="12"/>
  <c r="J167" i="12"/>
  <c r="H167" i="12"/>
  <c r="J164" i="12"/>
  <c r="H164" i="12"/>
  <c r="J162" i="12"/>
  <c r="H162" i="12"/>
  <c r="J160" i="12"/>
  <c r="H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H130" i="12"/>
  <c r="J129" i="12"/>
  <c r="J128" i="12"/>
  <c r="H128" i="12"/>
  <c r="J125" i="12"/>
  <c r="H125" i="12"/>
  <c r="J122" i="12"/>
  <c r="H122" i="12"/>
  <c r="J121" i="12"/>
  <c r="J120" i="12"/>
  <c r="H120" i="12"/>
  <c r="J108" i="12"/>
  <c r="H108" i="12"/>
  <c r="J99" i="12"/>
  <c r="H99" i="12"/>
  <c r="J96" i="12"/>
  <c r="H96" i="12"/>
  <c r="J92" i="12"/>
  <c r="H92" i="12"/>
  <c r="J90" i="12"/>
  <c r="H90" i="12"/>
  <c r="J86" i="12"/>
  <c r="H86" i="12"/>
  <c r="J84" i="12"/>
  <c r="H84" i="12"/>
  <c r="J82" i="12"/>
  <c r="H82" i="12"/>
  <c r="J79" i="12"/>
  <c r="H79" i="12"/>
  <c r="J77" i="12"/>
  <c r="H77" i="12"/>
  <c r="J73" i="12"/>
  <c r="H73" i="12"/>
  <c r="J71" i="12"/>
  <c r="H71" i="12"/>
  <c r="J69" i="12"/>
  <c r="H69" i="12"/>
  <c r="J65" i="12"/>
  <c r="H65" i="12"/>
  <c r="J61" i="12"/>
  <c r="H61" i="12"/>
  <c r="J60" i="12"/>
  <c r="J58" i="12"/>
  <c r="H58" i="12"/>
  <c r="J54" i="12"/>
  <c r="J52" i="12"/>
  <c r="H52" i="12"/>
  <c r="J50" i="12"/>
  <c r="H50" i="12"/>
  <c r="J38" i="12"/>
  <c r="H38" i="12"/>
  <c r="J15" i="12"/>
  <c r="H15" i="12"/>
  <c r="J12" i="12"/>
  <c r="H12" i="12"/>
  <c r="J10" i="12"/>
  <c r="H10" i="12"/>
  <c r="J6" i="12"/>
  <c r="H6" i="12"/>
  <c r="J1938" i="12" l="1"/>
  <c r="J934" i="12"/>
  <c r="J935" i="12" l="1"/>
  <c r="J936" i="12" l="1"/>
  <c r="J937" i="12" l="1"/>
  <c r="J938" i="12" l="1"/>
  <c r="J939" i="12" l="1"/>
  <c r="J941" i="12" l="1"/>
  <c r="J940" i="12"/>
  <c r="J942" i="12" l="1"/>
  <c r="J943" i="12" l="1"/>
  <c r="I126" i="9" l="1"/>
  <c r="G126" i="9"/>
  <c r="F477" i="8" l="1"/>
  <c r="F412" i="8"/>
  <c r="F323" i="8"/>
  <c r="H59" i="8" l="1"/>
  <c r="H53" i="8"/>
  <c r="F512" i="8"/>
  <c r="F627" i="8"/>
  <c r="F478" i="8" l="1"/>
  <c r="F76" i="8" l="1"/>
  <c r="F42" i="8"/>
  <c r="F664" i="8"/>
  <c r="F663" i="8"/>
  <c r="F327" i="8"/>
  <c r="F299" i="8"/>
  <c r="G138" i="9"/>
  <c r="G48" i="9"/>
  <c r="G29" i="9"/>
  <c r="G21" i="9"/>
  <c r="G218" i="9" l="1"/>
  <c r="F60" i="8" l="1"/>
  <c r="F655" i="8" l="1"/>
  <c r="F654" i="8"/>
  <c r="H682" i="11"/>
  <c r="H683" i="11"/>
  <c r="H659" i="11" l="1"/>
  <c r="H658" i="11"/>
  <c r="G193" i="9" l="1"/>
  <c r="G104" i="9" l="1"/>
  <c r="F653" i="8"/>
  <c r="F87" i="8" l="1"/>
  <c r="G164" i="9" l="1"/>
  <c r="F495" i="8" l="1"/>
  <c r="F53" i="8"/>
  <c r="F59" i="8"/>
  <c r="G175" i="9" l="1"/>
  <c r="F595" i="8" l="1"/>
  <c r="F342" i="8" l="1"/>
  <c r="F201" i="8" l="1"/>
  <c r="G118" i="9"/>
  <c r="G108" i="9" l="1"/>
  <c r="F329" i="8" l="1"/>
  <c r="G8" i="9" l="1"/>
  <c r="H670" i="11"/>
  <c r="G182" i="9" l="1"/>
  <c r="G181" i="9"/>
  <c r="G132" i="9" l="1"/>
  <c r="F513" i="8" l="1"/>
  <c r="F547" i="8"/>
  <c r="F15" i="8"/>
  <c r="F311" i="8"/>
  <c r="G77" i="9" l="1"/>
  <c r="F40" i="8" l="1"/>
  <c r="F535" i="8"/>
  <c r="I52" i="9" l="1"/>
  <c r="F79" i="8" l="1"/>
  <c r="F100" i="8"/>
  <c r="F99" i="8"/>
  <c r="G51" i="9" l="1"/>
  <c r="I51" i="9" s="1"/>
  <c r="F456" i="8" l="1"/>
  <c r="F359" i="8" l="1"/>
  <c r="F262" i="8"/>
  <c r="F248" i="8"/>
  <c r="F232" i="8"/>
  <c r="F43" i="8"/>
  <c r="F300" i="8" l="1"/>
  <c r="G55" i="9" l="1"/>
  <c r="F105" i="8" l="1"/>
  <c r="F56" i="8" l="1"/>
  <c r="F106" i="8" l="1"/>
  <c r="F317" i="8" l="1"/>
  <c r="F20" i="8"/>
  <c r="F332" i="8" l="1"/>
  <c r="F63" i="8" l="1"/>
  <c r="G67" i="9" l="1"/>
  <c r="F23" i="8" l="1"/>
  <c r="F362" i="8" l="1"/>
  <c r="F347" i="8" l="1"/>
  <c r="G66" i="9" l="1"/>
  <c r="G47" i="9" l="1"/>
  <c r="G46" i="9"/>
  <c r="G45" i="9"/>
  <c r="F188" i="8"/>
  <c r="G210" i="9" l="1"/>
  <c r="G10" i="9" l="1"/>
  <c r="F335" i="8" l="1"/>
  <c r="F378" i="8" l="1"/>
  <c r="F379" i="8" l="1"/>
  <c r="G136" i="9" l="1"/>
  <c r="G171" i="9" l="1"/>
  <c r="G111" i="9" l="1"/>
  <c r="G68" i="9" l="1"/>
  <c r="G187" i="9" l="1"/>
  <c r="F349" i="8" l="1"/>
  <c r="G32" i="9" l="1"/>
  <c r="G162" i="9" l="1"/>
  <c r="G183" i="9" l="1"/>
  <c r="G69" i="9"/>
  <c r="G205" i="9" l="1"/>
  <c r="F538" i="8"/>
  <c r="G43" i="9" l="1"/>
  <c r="G124" i="9" l="1"/>
  <c r="G125" i="9"/>
  <c r="G36" i="9" l="1"/>
  <c r="G35" i="9"/>
  <c r="G214" i="9" l="1"/>
  <c r="F543" i="8" l="1"/>
  <c r="F198" i="8"/>
  <c r="F163" i="8"/>
  <c r="F161" i="8"/>
  <c r="G81" i="9" l="1"/>
  <c r="G102" i="9" l="1"/>
  <c r="G100" i="9"/>
  <c r="G130" i="9" l="1"/>
  <c r="G99" i="9" l="1"/>
  <c r="G23" i="9" l="1"/>
  <c r="G25" i="9" l="1"/>
  <c r="G59" i="9" l="1"/>
  <c r="G121" i="9" l="1"/>
  <c r="I121" i="9" l="1"/>
  <c r="I148" i="9"/>
  <c r="G113" i="9" l="1"/>
  <c r="G192" i="9" l="1"/>
</calcChain>
</file>

<file path=xl/sharedStrings.xml><?xml version="1.0" encoding="utf-8"?>
<sst xmlns="http://schemas.openxmlformats.org/spreadsheetml/2006/main" count="29155" uniqueCount="15389">
  <si>
    <t>Кемеровская область, Таштагольский район, п. Килинск</t>
  </si>
  <si>
    <t>В безвозмездном пользовании  МКУ "Центр социального обслуживания граждан пожилого возраста и инвалидов Мундыбашского городского поселения"</t>
  </si>
  <si>
    <t>1.1.3.</t>
  </si>
  <si>
    <t>1.1.3.3</t>
  </si>
  <si>
    <t>1.1.6.</t>
  </si>
  <si>
    <t>Отдельно стоящее нежилое здание школы № 37</t>
  </si>
  <si>
    <t>Отдельно стоящее нежилое здание котельной школы № 37</t>
  </si>
  <si>
    <t>В оперативном управлении МКОУ "Основная общеобразовательная школа №37"</t>
  </si>
  <si>
    <t>В оперативном управлении МКОУ "Основная общеобразовательная школа №70"</t>
  </si>
  <si>
    <t>Отдельно стоящее нежилое здание  котельной школы № 70</t>
  </si>
  <si>
    <t>Отдельно стоящее нежилое здание  ангара-гаража</t>
  </si>
  <si>
    <t xml:space="preserve">Отдельно стоящее нежилое здание </t>
  </si>
  <si>
    <t>Отдельно стоящее нежилое здание склада материалов</t>
  </si>
  <si>
    <t>Отдельно стоящее нежилое здание склада-гаража</t>
  </si>
  <si>
    <t>Отдельно стоящее нежилое здание котельной бани</t>
  </si>
  <si>
    <t>Отдельно стоящее нежилое здание склада под веники</t>
  </si>
  <si>
    <t>1940</t>
  </si>
  <si>
    <t>2-х этажное здание, кирпичное</t>
  </si>
  <si>
    <t>1960</t>
  </si>
  <si>
    <t>цокольный этаж, ветеринарная аптека</t>
  </si>
  <si>
    <t>цокольный этаж , офисное ЖКХ</t>
  </si>
  <si>
    <t>Россия, Кемеровская область, Таштагольский район, пгт.Темиртау</t>
  </si>
  <si>
    <t>Россия, Кемеровская область, Таштагольский район</t>
  </si>
  <si>
    <t>Россия, Кемеровская область, г. Таштагол</t>
  </si>
  <si>
    <t>42:34:0102028:165</t>
  </si>
  <si>
    <t>42:34:0106002:873</t>
  </si>
  <si>
    <t>42:12:0105002:2334</t>
  </si>
  <si>
    <t>42:34:0105007:99</t>
  </si>
  <si>
    <t>42:34:0105007:98</t>
  </si>
  <si>
    <t>42:12:0106002:1842</t>
  </si>
  <si>
    <t>42:12:0106003:648</t>
  </si>
  <si>
    <t>42:12:0106002:1600</t>
  </si>
  <si>
    <t>казна</t>
  </si>
  <si>
    <t>42:34:0106002:762</t>
  </si>
  <si>
    <t>Отдельно стоящее здание магазина</t>
  </si>
  <si>
    <t>1955</t>
  </si>
  <si>
    <t>1963</t>
  </si>
  <si>
    <t xml:space="preserve">5-ти этажное, кирпичное, первый этаж, офисное </t>
  </si>
  <si>
    <t>1984</t>
  </si>
  <si>
    <t>Кемеровская область, Таштагольский район, пгт.Мундыбаш, ул.Ленина,22</t>
  </si>
  <si>
    <t>Площадка под объект "Золотая Шория"</t>
  </si>
  <si>
    <t>42:12:0114002:1427</t>
  </si>
  <si>
    <t>42:12:0114002:928</t>
  </si>
  <si>
    <t>42:12:0114002:1274</t>
  </si>
  <si>
    <t>42:12:0114002:1555</t>
  </si>
  <si>
    <t>42:12:0114002:1361</t>
  </si>
  <si>
    <t>42:12:0114002:1675</t>
  </si>
  <si>
    <t>42:12:0114002:983</t>
  </si>
  <si>
    <t>42:12:0114002:1030</t>
  </si>
  <si>
    <t>42:12:0104001:2012</t>
  </si>
  <si>
    <t>42:12:0104001:2634</t>
  </si>
  <si>
    <t>42:12:0104001:3054</t>
  </si>
  <si>
    <t>42:12:0104001:3084</t>
  </si>
  <si>
    <t>1 этаж, прочие материалы</t>
  </si>
  <si>
    <t>42:12:0104001:3087</t>
  </si>
  <si>
    <t>высота 60 м., кирпич</t>
  </si>
  <si>
    <t>1-но этажное, металлическое</t>
  </si>
  <si>
    <t>1-но этажное, кирпич</t>
  </si>
  <si>
    <t>1-но этажное, ж/бетонное</t>
  </si>
  <si>
    <t>1-но этажное, бетонное</t>
  </si>
  <si>
    <t xml:space="preserve">1-но этажное, кирпичное </t>
  </si>
  <si>
    <t>1-но этажное,брус</t>
  </si>
  <si>
    <t>1978</t>
  </si>
  <si>
    <t>5-ти этажное, кирпичное (первый и цокольный этажи)</t>
  </si>
  <si>
    <t>1987</t>
  </si>
  <si>
    <t>3-х этажное, кирпичное</t>
  </si>
  <si>
    <t>1964</t>
  </si>
  <si>
    <t>1977</t>
  </si>
  <si>
    <t>2-х этажное здание (первый этаж)</t>
  </si>
  <si>
    <t xml:space="preserve">5-ти этажное, кирпичное </t>
  </si>
  <si>
    <t>1969</t>
  </si>
  <si>
    <t>1980</t>
  </si>
  <si>
    <t>5-ти этажное, кирпичное (подвальное)</t>
  </si>
  <si>
    <t>1986</t>
  </si>
  <si>
    <t>В аренде Управления Федеральной службы государственной регистрации, кадастра и картографии по Кемеровской области</t>
  </si>
  <si>
    <t>1992</t>
  </si>
  <si>
    <t>1972</t>
  </si>
  <si>
    <t>1952</t>
  </si>
  <si>
    <t>2-х этажное, кирпичное (первый этаж)</t>
  </si>
  <si>
    <t>5-ти этажное, кирпичное (подвальное, торговое)</t>
  </si>
  <si>
    <t>1991</t>
  </si>
  <si>
    <t>В аренде ООО "Таштагольская управляющая компания"</t>
  </si>
  <si>
    <t>1981</t>
  </si>
  <si>
    <t>42:12:0104001:3023</t>
  </si>
  <si>
    <t>42:12:0104001:3090</t>
  </si>
  <si>
    <t>В оперативном управлении МБДОУ детский сад №3 "Березка"</t>
  </si>
  <si>
    <t>1- этажное</t>
  </si>
  <si>
    <t>В оперативном управлении МКОУ "Основная общеобразовательная школа №31"</t>
  </si>
  <si>
    <t>В оперативном управлении МКОУ "Средняя общеобразовательная школа №30"</t>
  </si>
  <si>
    <t>Отдельно стоящее нежилое здание котельной школы № 30</t>
  </si>
  <si>
    <t>В оперативном управлении МБДОУ детский сад комбинированного вида №14 "Аленушка"</t>
  </si>
  <si>
    <t>Отдельно стоящее нежилое здание котельной детского сада №28</t>
  </si>
  <si>
    <t>В оперативном управлении МБДОУ детский сад №28 "Солнышко"</t>
  </si>
  <si>
    <t>В оперативном управлении МБОУ "Основная общеобразовательная школа №2"</t>
  </si>
  <si>
    <t>ограда металлическая школы №2</t>
  </si>
  <si>
    <t>В оперативном управлении МБОУ "Основная общеобразовательная школа №6"</t>
  </si>
  <si>
    <t>В оперативном управлении МБОУ "Основная общеобразовательная школа №8</t>
  </si>
  <si>
    <t>В оперативном управлении МБОУ "Основная общеобразовательная школа №13"</t>
  </si>
  <si>
    <t>Отдельно стоящее нежилое здание хозяйственного корпуса (гараж, котельная,склад, мастерские, подсобные помещения)</t>
  </si>
  <si>
    <t>Отдельно стоящее нежилое здание туалета школы №13</t>
  </si>
  <si>
    <t>42:12:0105002:2092</t>
  </si>
  <si>
    <t>42:12:0105002:2076</t>
  </si>
  <si>
    <t>2-х квартирный, дерево</t>
  </si>
  <si>
    <t>42:34:0110017:83</t>
  </si>
  <si>
    <t>бетонное</t>
  </si>
  <si>
    <t>42:12:0106003:819</t>
  </si>
  <si>
    <t>42:12:0106003:820</t>
  </si>
  <si>
    <t>42:12:0106003:823</t>
  </si>
  <si>
    <t>42:12:0106003:825</t>
  </si>
  <si>
    <t>№1/2</t>
  </si>
  <si>
    <t>№1/3</t>
  </si>
  <si>
    <t>№2/3</t>
  </si>
  <si>
    <t>№2/4</t>
  </si>
  <si>
    <t>№3/3</t>
  </si>
  <si>
    <t>№3/4</t>
  </si>
  <si>
    <t>№4/3</t>
  </si>
  <si>
    <t>№4/4</t>
  </si>
  <si>
    <t>№5/1</t>
  </si>
  <si>
    <t>№5/3</t>
  </si>
  <si>
    <t>№5/4</t>
  </si>
  <si>
    <t>№5/6</t>
  </si>
  <si>
    <t>№6/2</t>
  </si>
  <si>
    <t>№6/3</t>
  </si>
  <si>
    <t>№7/3</t>
  </si>
  <si>
    <t>№7/6</t>
  </si>
  <si>
    <t>№8/2</t>
  </si>
  <si>
    <t>№8/3</t>
  </si>
  <si>
    <t>5 этаж</t>
  </si>
  <si>
    <t>3 этаж</t>
  </si>
  <si>
    <t>42:12:0106002:3320</t>
  </si>
  <si>
    <t>42:12:0106002:3321</t>
  </si>
  <si>
    <t>42:12:0106002:3369</t>
  </si>
  <si>
    <t>42:12:0106002:3370</t>
  </si>
  <si>
    <t>42:12:0106002:3371</t>
  </si>
  <si>
    <t>2-3 этаж</t>
  </si>
  <si>
    <t>42:34:0114016:67</t>
  </si>
  <si>
    <t>42:12:0106002:2768</t>
  </si>
  <si>
    <t>1 этаж</t>
  </si>
  <si>
    <t>Кемеровская область, г.Таштагол, ул.Коммунальная,2</t>
  </si>
  <si>
    <t>42:34:0106002:631</t>
  </si>
  <si>
    <t>Трансформаторная подстанция 2 у насосной станции 2 (городская котельная)</t>
  </si>
  <si>
    <t>42:12:0106002:2031</t>
  </si>
  <si>
    <t>42:12:0112001:338</t>
  </si>
  <si>
    <t>42:12:0112001:352</t>
  </si>
  <si>
    <t>42:12:0112001:344</t>
  </si>
  <si>
    <t>1 этаж,          дерево</t>
  </si>
  <si>
    <t>42:12:0104001:3043</t>
  </si>
  <si>
    <t>42:12:0104001:3044</t>
  </si>
  <si>
    <t>42:12:0104001:3045</t>
  </si>
  <si>
    <t>42:12:0104001:3046</t>
  </si>
  <si>
    <t>42:12:0104001:3048</t>
  </si>
  <si>
    <t>42:12:0104001:3056</t>
  </si>
  <si>
    <t>42:12:0104001:3058</t>
  </si>
  <si>
    <t>42:12:0104001:3060</t>
  </si>
  <si>
    <t>42:12:0104001:3063</t>
  </si>
  <si>
    <t>42:12:0104001:3067</t>
  </si>
  <si>
    <t>42:12:0104001:3075</t>
  </si>
  <si>
    <t>42:12:0104001:3079</t>
  </si>
  <si>
    <t>5-ти этажное, кирпичное (первый этаж)</t>
  </si>
  <si>
    <t>1971</t>
  </si>
  <si>
    <t>1989</t>
  </si>
  <si>
    <t>1990</t>
  </si>
  <si>
    <t>9-ти этажное, кирпичное (первый этаж)</t>
  </si>
  <si>
    <t>1985</t>
  </si>
  <si>
    <t>2-х этажное, кирпичное</t>
  </si>
  <si>
    <t>1965</t>
  </si>
  <si>
    <t>первый этаж, офисное</t>
  </si>
  <si>
    <t>подвальное, торговое</t>
  </si>
  <si>
    <t>первый этаж</t>
  </si>
  <si>
    <t>цокольный этаж, парикмахерская</t>
  </si>
  <si>
    <t>цокольный этаж, кондитерский цех</t>
  </si>
  <si>
    <t>цокольный этаж, офисное</t>
  </si>
  <si>
    <t>цокольный этаж, торговое</t>
  </si>
  <si>
    <t>первый этаж, аптека</t>
  </si>
  <si>
    <t>42:12:0105002:2130</t>
  </si>
  <si>
    <t>42:12:0105004:121</t>
  </si>
  <si>
    <t>первый этаж,  филиал школы бокса</t>
  </si>
  <si>
    <t>1-но этажное, кирпичное</t>
  </si>
  <si>
    <t xml:space="preserve">1-этажное, кирпичное </t>
  </si>
  <si>
    <t xml:space="preserve">Отдельно стоящее нежилое здание подстанции </t>
  </si>
  <si>
    <t xml:space="preserve">Сети водоснабжения </t>
  </si>
  <si>
    <t>сталь</t>
  </si>
  <si>
    <t>42:34:0102028:116</t>
  </si>
  <si>
    <t>42:34:0102028:117</t>
  </si>
  <si>
    <t>42:34:0102028:118</t>
  </si>
  <si>
    <t>42:34:0110009:104</t>
  </si>
  <si>
    <t>Сборно-щитовые</t>
  </si>
  <si>
    <t>42:12:0114002:1111</t>
  </si>
  <si>
    <t>42:12:0114002:1582</t>
  </si>
  <si>
    <t>42:34:0102020:58</t>
  </si>
  <si>
    <t>дерево</t>
  </si>
  <si>
    <t>расп. Администрации города №1065-р от 29.12.05</t>
  </si>
  <si>
    <t>расп.Адм.899-р от 16.10.06</t>
  </si>
  <si>
    <t>Емкость под ГСМ</t>
  </si>
  <si>
    <t>42:12:0105002:2689</t>
  </si>
  <si>
    <t>42:12:0105002:2690</t>
  </si>
  <si>
    <t>42:12:0105002:2669</t>
  </si>
  <si>
    <t>42:12:0105002:2670</t>
  </si>
  <si>
    <t>42:12:0105003:586</t>
  </si>
  <si>
    <t>42:34:0102011:62</t>
  </si>
  <si>
    <t>42:34:0102011:60</t>
  </si>
  <si>
    <t>42:34:0102011:61</t>
  </si>
  <si>
    <t>42:34:0102011:50</t>
  </si>
  <si>
    <t>42:34:0102011:51</t>
  </si>
  <si>
    <t>42:34:0102011:67</t>
  </si>
  <si>
    <t>42:34:0102011:68</t>
  </si>
  <si>
    <t>42:34:0102012:142</t>
  </si>
  <si>
    <t>42:34:0102012:143</t>
  </si>
  <si>
    <t>42:34:0102012:146</t>
  </si>
  <si>
    <t>42:34:0102012:151</t>
  </si>
  <si>
    <t>42:34:0102012:145</t>
  </si>
  <si>
    <t>42:34:0102041:25</t>
  </si>
  <si>
    <t>42:34:0102012:133</t>
  </si>
  <si>
    <t>42:34:0102012:136</t>
  </si>
  <si>
    <t>42:34:0102012:131</t>
  </si>
  <si>
    <t>42:34:0110009:172</t>
  </si>
  <si>
    <t>42:34:0110009:173</t>
  </si>
  <si>
    <t>42:34:0112005:298</t>
  </si>
  <si>
    <t>42:34:0112005:287</t>
  </si>
  <si>
    <t>42:34:0112006:60</t>
  </si>
  <si>
    <t>42:34:0112006:61</t>
  </si>
  <si>
    <t>42:34:0112006:76</t>
  </si>
  <si>
    <t>42:34:0112006:77</t>
  </si>
  <si>
    <t>42:34:0112006:74</t>
  </si>
  <si>
    <t>42:34:0112006:79</t>
  </si>
  <si>
    <t>42:34:0112008:190</t>
  </si>
  <si>
    <t>11А</t>
  </si>
  <si>
    <t>42:34:0101036:85</t>
  </si>
  <si>
    <t>42:34:0101036:86</t>
  </si>
  <si>
    <t>42:34:0101020:49</t>
  </si>
  <si>
    <t>42:34:0110015:44</t>
  </si>
  <si>
    <t>42:34:0112005:285</t>
  </si>
  <si>
    <t>42:34:0112005:191</t>
  </si>
  <si>
    <t>42:34:0112006:68</t>
  </si>
  <si>
    <t>42:34:0112006:69</t>
  </si>
  <si>
    <t>42:34:0112005:277</t>
  </si>
  <si>
    <t>42:34:0112006:62</t>
  </si>
  <si>
    <t>42:34:0112005:160</t>
  </si>
  <si>
    <t>42:34:0112006:73</t>
  </si>
  <si>
    <t>42:34:0112008:157</t>
  </si>
  <si>
    <t>3А</t>
  </si>
  <si>
    <t>5А</t>
  </si>
  <si>
    <t>42:34:0112008:160</t>
  </si>
  <si>
    <t>42:34:0101037:90</t>
  </si>
  <si>
    <t>42:34:0101037:91</t>
  </si>
  <si>
    <t>42:34:0101037:92</t>
  </si>
  <si>
    <t>42:34:0101036:119</t>
  </si>
  <si>
    <t>42:34:0101036:122</t>
  </si>
  <si>
    <t>42:34:0101037:60</t>
  </si>
  <si>
    <t>42:34:0101037:56</t>
  </si>
  <si>
    <t>42:34:0101037:61</t>
  </si>
  <si>
    <t>42:34:0101036:128</t>
  </si>
  <si>
    <t>42:34:0101036:131</t>
  </si>
  <si>
    <t>42:34:0101036:132</t>
  </si>
  <si>
    <t>42:34:0101036:133</t>
  </si>
  <si>
    <t>42:34:0101036:135</t>
  </si>
  <si>
    <t>42:34:0101036:136</t>
  </si>
  <si>
    <t>42:34:0101036:139</t>
  </si>
  <si>
    <t>42:34:0114016:68</t>
  </si>
  <si>
    <t>42:34:0114016:70</t>
  </si>
  <si>
    <t>42:34:0114017:74</t>
  </si>
  <si>
    <t>42:34:0114017:59</t>
  </si>
  <si>
    <t>кирпич</t>
  </si>
  <si>
    <t>42:12:0102006:1008</t>
  </si>
  <si>
    <t>из прочих материалов</t>
  </si>
  <si>
    <t>42:12:0102008:229</t>
  </si>
  <si>
    <t>42:12:0102009:222</t>
  </si>
  <si>
    <t>42:12:0102009:232</t>
  </si>
  <si>
    <t>42:12:0102009:296</t>
  </si>
  <si>
    <t>42:12:0102009:206</t>
  </si>
  <si>
    <t>42:12:0105002:2053</t>
  </si>
  <si>
    <t>42:12:0105002:2663</t>
  </si>
  <si>
    <t>1996                                2003                        2004</t>
  </si>
  <si>
    <t>42:34:0102063:148</t>
  </si>
  <si>
    <t>г.Таштагол, ул.8 Марта,2</t>
  </si>
  <si>
    <t>42:34:0110008:137</t>
  </si>
  <si>
    <t>свободное (подвальное)</t>
  </si>
  <si>
    <t xml:space="preserve">свободное (подвальное) </t>
  </si>
  <si>
    <t>цокольный этаж, свободное</t>
  </si>
  <si>
    <t>торговое</t>
  </si>
  <si>
    <t>Кемеровская область, г.Таштагол, ул.Геологическая,73</t>
  </si>
  <si>
    <t>Встроенное нежилое помещение</t>
  </si>
  <si>
    <t>встроенное нежилое помещение</t>
  </si>
  <si>
    <t xml:space="preserve"> кирпичное</t>
  </si>
  <si>
    <t>МУП "ЖКХ", МУП "УЖХ № 1"</t>
  </si>
  <si>
    <t>на обслуживании МУП"ГКБ"</t>
  </si>
  <si>
    <t>Железнодорожная эстакада</t>
  </si>
  <si>
    <t>Внешние сети водопровода</t>
  </si>
  <si>
    <t>Будка металлическая</t>
  </si>
  <si>
    <t>1.2.</t>
  </si>
  <si>
    <t>1.3.</t>
  </si>
  <si>
    <t>1.1.1</t>
  </si>
  <si>
    <t>42:34:0106004:442</t>
  </si>
  <si>
    <t>1.19.15</t>
  </si>
  <si>
    <t>42:34:0106001:340</t>
  </si>
  <si>
    <t>квартира</t>
  </si>
  <si>
    <t>42:34:0110023:67</t>
  </si>
  <si>
    <t>Пешеходный мост с пропуском теплотрассы и водопровода, г.Таштагол, ул.Ноградская</t>
  </si>
  <si>
    <t>42:34:0114010:85</t>
  </si>
  <si>
    <t>комната</t>
  </si>
  <si>
    <t>42:34:0105015:47</t>
  </si>
  <si>
    <t>42:34:0105015:49</t>
  </si>
  <si>
    <t>2-х этажное кирпичное</t>
  </si>
  <si>
    <t>Администрация Усть-Кабырзинского сельского поселения</t>
  </si>
  <si>
    <t>Администрация Шерегешского городского поселения</t>
  </si>
  <si>
    <t>Администрация Темиртауского городского поселения</t>
  </si>
  <si>
    <t>Администрация Мундыбашского городского поселения</t>
  </si>
  <si>
    <t>жилой дом</t>
  </si>
  <si>
    <t xml:space="preserve">квартира </t>
  </si>
  <si>
    <t>Распоряжение КУМИ от 03.11.2010 №377</t>
  </si>
  <si>
    <t>Памятник "Неизвестный солдат", площадь Победы г.Таштагол</t>
  </si>
  <si>
    <t>Внутриплощадочные сети</t>
  </si>
  <si>
    <t>Водовод на хозфекальные</t>
  </si>
  <si>
    <t>Водовод наружный</t>
  </si>
  <si>
    <t>Иловые площадки</t>
  </si>
  <si>
    <t>Коллектор хозбытовой</t>
  </si>
  <si>
    <t>Блок контейнер (вагончик)</t>
  </si>
  <si>
    <t>Стадион</t>
  </si>
  <si>
    <t>Площадь имени Ленина с фонтаном</t>
  </si>
  <si>
    <t>Здание гаража</t>
  </si>
  <si>
    <t>Гараж</t>
  </si>
  <si>
    <t>Котельная</t>
  </si>
  <si>
    <t>Канализация ливневая</t>
  </si>
  <si>
    <t>Водопровод</t>
  </si>
  <si>
    <t>Сети теплоснабжения</t>
  </si>
  <si>
    <t>Стационарный опорный пост милиции</t>
  </si>
  <si>
    <t>Канатный миниподъемник</t>
  </si>
  <si>
    <t>Парк "Горняцкие горизонты"</t>
  </si>
  <si>
    <t>1970-2003</t>
  </si>
  <si>
    <t>В оперативном управлении МКУ "Управление образования Администрации Таштагольского муниципального района"</t>
  </si>
  <si>
    <t>в пользование МУП "ЖКХ"</t>
  </si>
  <si>
    <t>34а</t>
  </si>
  <si>
    <t>7а</t>
  </si>
  <si>
    <t>33а</t>
  </si>
  <si>
    <t>4а</t>
  </si>
  <si>
    <t>9а</t>
  </si>
  <si>
    <t>пгт.Темиртау, ул.Центральная,7а</t>
  </si>
  <si>
    <t>пгт.Темиртау (р-он телевышки)</t>
  </si>
  <si>
    <t>42:12:0102006:667</t>
  </si>
  <si>
    <t>8-А</t>
  </si>
  <si>
    <t>42:12:0102006:955</t>
  </si>
  <si>
    <t>42:12:0102006:942</t>
  </si>
  <si>
    <t>42:12:0102006:943</t>
  </si>
  <si>
    <t>42:12:0102006:956</t>
  </si>
  <si>
    <t>42:12:0102006:947</t>
  </si>
  <si>
    <t>42:12:0102006:948</t>
  </si>
  <si>
    <t>42:12:0102006:949</t>
  </si>
  <si>
    <t>42:12:0102006:951</t>
  </si>
  <si>
    <t>42:12:0102006:957</t>
  </si>
  <si>
    <t>42:12:0102006:952</t>
  </si>
  <si>
    <t>14А</t>
  </si>
  <si>
    <t>42:12:0102006:912</t>
  </si>
  <si>
    <t>42:12:0102006:917</t>
  </si>
  <si>
    <t>42:12:0102006:913</t>
  </si>
  <si>
    <t>42:34:0114014:82</t>
  </si>
  <si>
    <t>42:34:0114014:66</t>
  </si>
  <si>
    <t>42:34:0114014:67</t>
  </si>
  <si>
    <t>1а</t>
  </si>
  <si>
    <t>1б</t>
  </si>
  <si>
    <t>1в</t>
  </si>
  <si>
    <t>2б</t>
  </si>
  <si>
    <t xml:space="preserve"> </t>
  </si>
  <si>
    <t>1-этаж</t>
  </si>
  <si>
    <t>42:34:0114001:3:1/3</t>
  </si>
  <si>
    <t>42:12:0106002:3520</t>
  </si>
  <si>
    <t>42:12:0106002:3510</t>
  </si>
  <si>
    <t>42:12:0106002:3516</t>
  </si>
  <si>
    <t>42:12:0106002:3515</t>
  </si>
  <si>
    <t>4-х квартирный, 1 этаж, дерево</t>
  </si>
  <si>
    <t>г. Таштагол, ул.Крылова,16</t>
  </si>
  <si>
    <t>26А</t>
  </si>
  <si>
    <t>42:34:0110001:180</t>
  </si>
  <si>
    <t>42:34:0110001:183</t>
  </si>
  <si>
    <t>Центральный наружный водовод</t>
  </si>
  <si>
    <t>на обслуживании МУП "ЖКХ"</t>
  </si>
  <si>
    <t>Администрация пгт.Шерегеш</t>
  </si>
  <si>
    <t>в арендном пользовании ООО "Транзит-Водоканал", договор аренды № 8 от 15.02.2008г.</t>
  </si>
  <si>
    <t>аренда ООО"ЮЭСК"</t>
  </si>
  <si>
    <t>на обслуживании МУП"УЖХ-1"</t>
  </si>
  <si>
    <t>в арендном пользованиии ООО "Энергетик", договор № 159 от 10.01.2008г.</t>
  </si>
  <si>
    <t>2-х этажное здание, брус</t>
  </si>
  <si>
    <t>1-но этажное здание, кирпичное</t>
  </si>
  <si>
    <t>3-х этажное</t>
  </si>
  <si>
    <t>24г</t>
  </si>
  <si>
    <t xml:space="preserve"> 3а</t>
  </si>
  <si>
    <t>14а</t>
  </si>
  <si>
    <t xml:space="preserve">       -</t>
  </si>
  <si>
    <t>1А</t>
  </si>
  <si>
    <t>Администрация Каларского сельского поселения</t>
  </si>
  <si>
    <t xml:space="preserve">Администрация Шерегеш </t>
  </si>
  <si>
    <t>хоз.вед.МУП "Сензасс"</t>
  </si>
  <si>
    <t>хоз.вед.МУП"Ташт.газ.х-во"</t>
  </si>
  <si>
    <t xml:space="preserve">      6а</t>
  </si>
  <si>
    <t>37А</t>
  </si>
  <si>
    <t>42:34:0102063:68</t>
  </si>
  <si>
    <t>2А</t>
  </si>
  <si>
    <t>4А</t>
  </si>
  <si>
    <t>33А</t>
  </si>
  <si>
    <t>42:34:0110023:70</t>
  </si>
  <si>
    <t>42:12:0102003:466</t>
  </si>
  <si>
    <t>42:12:0102003:469</t>
  </si>
  <si>
    <t>42:12:0102003:657</t>
  </si>
  <si>
    <t>68-А</t>
  </si>
  <si>
    <t>42:12:0102003:937</t>
  </si>
  <si>
    <t>7-А</t>
  </si>
  <si>
    <t>7-Б</t>
  </si>
  <si>
    <t>7-В</t>
  </si>
  <si>
    <t>14-А</t>
  </si>
  <si>
    <t>18-А</t>
  </si>
  <si>
    <t>42:12:0102002:1333</t>
  </si>
  <si>
    <t>35-А</t>
  </si>
  <si>
    <t>12-А</t>
  </si>
  <si>
    <t>17-А</t>
  </si>
  <si>
    <t>23-А</t>
  </si>
  <si>
    <t>36-А</t>
  </si>
  <si>
    <t>41-А</t>
  </si>
  <si>
    <t>44-А</t>
  </si>
  <si>
    <t>50-А</t>
  </si>
  <si>
    <t>51-А</t>
  </si>
  <si>
    <t>58-А</t>
  </si>
  <si>
    <t>9-А</t>
  </si>
  <si>
    <t>9А</t>
  </si>
  <si>
    <t>9Б</t>
  </si>
  <si>
    <t>42:12:0102003:346</t>
  </si>
  <si>
    <t>2-А</t>
  </si>
  <si>
    <t>2-Б</t>
  </si>
  <si>
    <t>54-А</t>
  </si>
  <si>
    <t>42:12:0102003:320</t>
  </si>
  <si>
    <t>42:12:0102003:333</t>
  </si>
  <si>
    <t>42:12:0102003:796</t>
  </si>
  <si>
    <t>37-А</t>
  </si>
  <si>
    <t>42:12:0102002:783</t>
  </si>
  <si>
    <t>21-А</t>
  </si>
  <si>
    <t>60-А</t>
  </si>
  <si>
    <t>42:12:0102002:917</t>
  </si>
  <si>
    <t>42:12:0102002:1033</t>
  </si>
  <si>
    <t>32-А</t>
  </si>
  <si>
    <t>42:12:0102002:1146</t>
  </si>
  <si>
    <t>42:12:0102002:991</t>
  </si>
  <si>
    <t>42:12:0102002:992</t>
  </si>
  <si>
    <t>63-А</t>
  </si>
  <si>
    <t>42:12:0102002:751</t>
  </si>
  <si>
    <t>42:12:0102002:724</t>
  </si>
  <si>
    <t>42:12:0102005:653</t>
  </si>
  <si>
    <t>42:12:0102005:735</t>
  </si>
  <si>
    <t>Отдельно стоящее нежилое здание (баня)</t>
  </si>
  <si>
    <t>Отдельно стоящее нежилое здание</t>
  </si>
  <si>
    <t>5-и этажное, кирпичное (подвальное,  офисное)</t>
  </si>
  <si>
    <t>6</t>
  </si>
  <si>
    <t>42:34:0114014:84</t>
  </si>
  <si>
    <t>42:12:0115001:520</t>
  </si>
  <si>
    <t xml:space="preserve">брус, 1 этажное </t>
  </si>
  <si>
    <t>42:34:0114015:28</t>
  </si>
  <si>
    <t>42:34:0114015:29</t>
  </si>
  <si>
    <t>42:34:0114014:75</t>
  </si>
  <si>
    <t>42:34:0114008:65</t>
  </si>
  <si>
    <t>42:12:0105002:2832</t>
  </si>
  <si>
    <t>1-ый этаж</t>
  </si>
  <si>
    <t>ОАО "Шахтостроитель"</t>
  </si>
  <si>
    <t>на балансе Администрации пос.Мундыбаш</t>
  </si>
  <si>
    <t>автоматическая система пожарной сигнализации и оповещения о пожаре</t>
  </si>
  <si>
    <t>2012</t>
  </si>
  <si>
    <t>стеклянная перегородка, стеклянная дверь</t>
  </si>
  <si>
    <t>оградительная стеклянная конструкция</t>
  </si>
  <si>
    <t>Отдельно стоящее нежилое здание хлебозавода</t>
  </si>
  <si>
    <t>Отдельно стоящее нежилое здание гаража</t>
  </si>
  <si>
    <t>1-этажное</t>
  </si>
  <si>
    <t>Отдельно стоящее нежилое здание хозяйственного склада</t>
  </si>
  <si>
    <t>Отдельно стоящее нежилое здание школы №24</t>
  </si>
  <si>
    <t>В оперативном управлении МБОУ "Средняя общеобразовательная школа №24"</t>
  </si>
  <si>
    <t>Отдельно стоящее нежилое зание гаража</t>
  </si>
  <si>
    <t>Отдельно стоящее нежилое здание школы № 11</t>
  </si>
  <si>
    <t>В оперативном управлении МБОУ "Средняя общеобразовательная школа №20"</t>
  </si>
  <si>
    <t>1966</t>
  </si>
  <si>
    <t>В аренде индивидуального предпринимателя Хасановой О.А.</t>
  </si>
  <si>
    <t>1967</t>
  </si>
  <si>
    <t>В оперативном управлении МКОУ "Основная оющеобразовательная школа №34"</t>
  </si>
  <si>
    <t>В оперативном управлении МКОУ "Основная общеобразовательная школа №34"</t>
  </si>
  <si>
    <t>Отдельно стоящее нежилое здание гаража на 3 бокса</t>
  </si>
  <si>
    <t>В оперативном управлении МБУ "Спортивно-технический комплекс горных лыж и сноуборда"</t>
  </si>
  <si>
    <t>Отдельно стоящее нежилое здание Губернской чайной</t>
  </si>
  <si>
    <t>2003</t>
  </si>
  <si>
    <t>Мини - парковая зона</t>
  </si>
  <si>
    <t>2010</t>
  </si>
  <si>
    <t>1983</t>
  </si>
  <si>
    <t>Отдельно стоящее нежилое здание Дворец спорта "Кристалл"</t>
  </si>
  <si>
    <t xml:space="preserve">В оперативном управлении МБУ «Спортивный комплекс «Кристалл» </t>
  </si>
  <si>
    <t>5-ти этажное, кирпичное (первый этаж, шахматный клуб)</t>
  </si>
  <si>
    <t>1975</t>
  </si>
  <si>
    <t>ограда металлическая</t>
  </si>
  <si>
    <t>тепловой узел</t>
  </si>
  <si>
    <t>42:12:0102004:205:37/34</t>
  </si>
  <si>
    <t>Произведение изобразительного искуства-скульптура "Золотая Шория"</t>
  </si>
  <si>
    <t>секция №1</t>
  </si>
  <si>
    <t>секция №2</t>
  </si>
  <si>
    <t>в арендном пользовании</t>
  </si>
  <si>
    <t>не используется (полуразрушенное состояние)</t>
  </si>
  <si>
    <t>не используется</t>
  </si>
  <si>
    <t>аренда ООО "Водоканал"</t>
  </si>
  <si>
    <t>Администрация Спасского городского поселения</t>
  </si>
  <si>
    <t>2-х этажное, кирпичное (цокольный этаж, служба УТВ)</t>
  </si>
  <si>
    <t>Встроенное нежилое помещение (93,5 кв. м. свободн.)</t>
  </si>
  <si>
    <t>1973</t>
  </si>
  <si>
    <t>1949</t>
  </si>
  <si>
    <t>1996</t>
  </si>
  <si>
    <t>Сети теплоснабжения в двухтрубном исчислении</t>
  </si>
  <si>
    <t>В аренде ООО "Шерегеш-Благоустройство"</t>
  </si>
  <si>
    <t>4 этаж</t>
  </si>
  <si>
    <t>42:34:0106001:872</t>
  </si>
  <si>
    <t>136В</t>
  </si>
  <si>
    <t>136Д</t>
  </si>
  <si>
    <t>42:34:0102064:110</t>
  </si>
  <si>
    <t>2 этаж</t>
  </si>
  <si>
    <t>1</t>
  </si>
  <si>
    <t>В оперативном управлении МКОУ "Основная общеобразовательная школа №164"</t>
  </si>
  <si>
    <t>В хозяйственном ведении МП "Темиртауский хлебокомбинат"</t>
  </si>
  <si>
    <t>1-но этажное здание склада, металлическое</t>
  </si>
  <si>
    <t>Отдельно стоящее нежилое здание котельной</t>
  </si>
  <si>
    <t>Отдельно стоящее нежилое здание насосной станции</t>
  </si>
  <si>
    <t>1-но этажное здание, ж/б блоки</t>
  </si>
  <si>
    <t xml:space="preserve">1-но этажное здание, металлическое </t>
  </si>
  <si>
    <t>1953</t>
  </si>
  <si>
    <t>2-х этажное, деревянное</t>
  </si>
  <si>
    <t>14,1</t>
  </si>
  <si>
    <t>1.1.6.3</t>
  </si>
  <si>
    <t>1.1.6.5</t>
  </si>
  <si>
    <t>1.1.7.</t>
  </si>
  <si>
    <t>1.1.8.</t>
  </si>
  <si>
    <t>1.4.2</t>
  </si>
  <si>
    <t>1.4.3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</si>
  <si>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</si>
  <si>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</si>
  <si>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</si>
  <si>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</si>
  <si>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</si>
  <si>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</si>
  <si>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</si>
  <si>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</si>
  <si>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</si>
  <si>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1.4.16</t>
  </si>
  <si>
    <t>1.4.23</t>
  </si>
  <si>
    <t>1.4.24</t>
  </si>
  <si>
    <t>1.4.26</t>
  </si>
  <si>
    <t>1.1.1.6</t>
  </si>
  <si>
    <t>1.1.9.</t>
  </si>
  <si>
    <t>1.1.10.</t>
  </si>
  <si>
    <t>1.1.10.43</t>
  </si>
  <si>
    <t>1.1.12.</t>
  </si>
  <si>
    <t>1.1.12.1</t>
  </si>
  <si>
    <t>1.1.12.6</t>
  </si>
  <si>
    <t>1.1.12.7</t>
  </si>
  <si>
    <t>1.1.13.</t>
  </si>
  <si>
    <t>1.1.14.</t>
  </si>
  <si>
    <t>1.1.13.17</t>
  </si>
  <si>
    <t>1.1.13.30</t>
  </si>
  <si>
    <t>1.1.13.34</t>
  </si>
  <si>
    <t>1.1.14.38</t>
  </si>
  <si>
    <t>1.1.17.</t>
  </si>
  <si>
    <t>1.1.17.1</t>
  </si>
  <si>
    <t>1.1.18.</t>
  </si>
  <si>
    <t>1.1.18.4</t>
  </si>
  <si>
    <t>1.1.18.18</t>
  </si>
  <si>
    <t>1.1.18.21</t>
  </si>
  <si>
    <t>1.1.19.</t>
  </si>
  <si>
    <t>1.1.20.</t>
  </si>
  <si>
    <t>1.1.20.1</t>
  </si>
  <si>
    <t>1.1.20.3</t>
  </si>
  <si>
    <t>1.1.21.</t>
  </si>
  <si>
    <t>1.1.21.4</t>
  </si>
  <si>
    <t>1.1.25</t>
  </si>
  <si>
    <t>1.1.25.1</t>
  </si>
  <si>
    <t>1.1.26.</t>
  </si>
  <si>
    <t>1.1.26.1</t>
  </si>
  <si>
    <t>1.1.26.2</t>
  </si>
  <si>
    <t>1.1.26.3</t>
  </si>
  <si>
    <t>1.1.28.</t>
  </si>
  <si>
    <t>1.1.28.3</t>
  </si>
  <si>
    <t>1.1.29.</t>
  </si>
  <si>
    <t>1.1.29.1</t>
  </si>
  <si>
    <t>1.1.29.2</t>
  </si>
  <si>
    <t>1.1.29.4</t>
  </si>
  <si>
    <t>1.1.32.</t>
  </si>
  <si>
    <t>1.1.32.2</t>
  </si>
  <si>
    <t>1.1.32.4</t>
  </si>
  <si>
    <t>1.1.34.</t>
  </si>
  <si>
    <t>1.1.34.2</t>
  </si>
  <si>
    <t>1.1.34.3</t>
  </si>
  <si>
    <t>1.1.35.</t>
  </si>
  <si>
    <t>1.1.35.2</t>
  </si>
  <si>
    <t>1.1.35.4</t>
  </si>
  <si>
    <t>1.1.35.5</t>
  </si>
  <si>
    <t>1.1.35.10</t>
  </si>
  <si>
    <t>1.1.35.12</t>
  </si>
  <si>
    <t>1.1.35.17</t>
  </si>
  <si>
    <t>1.1.35.18</t>
  </si>
  <si>
    <t>1.1.35.19</t>
  </si>
  <si>
    <t>1.1.35.20</t>
  </si>
  <si>
    <t>1.1.38.</t>
  </si>
  <si>
    <t>1.1.39.</t>
  </si>
  <si>
    <t>1.1.39.1</t>
  </si>
  <si>
    <t>1.1.46.</t>
  </si>
  <si>
    <t>1.1.50.</t>
  </si>
  <si>
    <t>1.1.52.</t>
  </si>
  <si>
    <t>1.1.54.</t>
  </si>
  <si>
    <t>1.1.54.1</t>
  </si>
  <si>
    <t>1.1.56.</t>
  </si>
  <si>
    <t>1.1.56.5</t>
  </si>
  <si>
    <t>1.1.58.</t>
  </si>
  <si>
    <t>1.1.58.5</t>
  </si>
  <si>
    <t>1.1.59.</t>
  </si>
  <si>
    <t>1.1.61.</t>
  </si>
  <si>
    <t>1.1.61.1</t>
  </si>
  <si>
    <t>1.1.61.2</t>
  </si>
  <si>
    <t>1.1.67.</t>
  </si>
  <si>
    <t>1.1.68.</t>
  </si>
  <si>
    <t>1.1.69</t>
  </si>
  <si>
    <t>1.1.69.1</t>
  </si>
  <si>
    <t>1.1.69.3</t>
  </si>
  <si>
    <t>1.1.69.5</t>
  </si>
  <si>
    <t>1.1.70.</t>
  </si>
  <si>
    <t>1.1.70.1</t>
  </si>
  <si>
    <t>1.1.70.2</t>
  </si>
  <si>
    <t>1.1.70.3</t>
  </si>
  <si>
    <t>1.1.70.4</t>
  </si>
  <si>
    <t>1.1.70.5</t>
  </si>
  <si>
    <t>1.1.70.6</t>
  </si>
  <si>
    <t>1.1.70.8</t>
  </si>
  <si>
    <t>1.1.70.12</t>
  </si>
  <si>
    <t>1.1.70.13</t>
  </si>
  <si>
    <t>1.1.64.</t>
  </si>
  <si>
    <t>1.1.65.</t>
  </si>
  <si>
    <t>1.1.66.</t>
  </si>
  <si>
    <t>1.1.74.</t>
  </si>
  <si>
    <t>1.1.78.</t>
  </si>
  <si>
    <t>1.1.78.1</t>
  </si>
  <si>
    <t>1.1.78.2</t>
  </si>
  <si>
    <t>1.1.79.</t>
  </si>
  <si>
    <t>1.1.80.</t>
  </si>
  <si>
    <t>1.1.82.</t>
  </si>
  <si>
    <t>1.1.82.1</t>
  </si>
  <si>
    <t>1.1.83.</t>
  </si>
  <si>
    <t>1.1.83.1</t>
  </si>
  <si>
    <t>1.1.87.</t>
  </si>
  <si>
    <t>1.1.88.</t>
  </si>
  <si>
    <t>1.1.89.</t>
  </si>
  <si>
    <t>1.1.90.</t>
  </si>
  <si>
    <t>1.1.92.</t>
  </si>
  <si>
    <t>1.1.93.</t>
  </si>
  <si>
    <t>1.1.93.1</t>
  </si>
  <si>
    <t>1.1.94.</t>
  </si>
  <si>
    <t>1.1.94.1</t>
  </si>
  <si>
    <t>1.1.94.2</t>
  </si>
  <si>
    <t>1.1.95.</t>
  </si>
  <si>
    <t>1.1.96.</t>
  </si>
  <si>
    <t>1.1.97.</t>
  </si>
  <si>
    <t>1.1.98.</t>
  </si>
  <si>
    <t>1.1.99.</t>
  </si>
  <si>
    <t>1.1.99.1</t>
  </si>
  <si>
    <t>1.1.99.2</t>
  </si>
  <si>
    <t>1.1.100.</t>
  </si>
  <si>
    <t>1.1.100.1</t>
  </si>
  <si>
    <t>1.1.100.2</t>
  </si>
  <si>
    <t>1.1.102.</t>
  </si>
  <si>
    <t>1.1.104.</t>
  </si>
  <si>
    <t>1.1.104.2</t>
  </si>
  <si>
    <t>1.1.107.</t>
  </si>
  <si>
    <t>1.1.110.</t>
  </si>
  <si>
    <t>1.1.111.</t>
  </si>
  <si>
    <t>1.1.111.2</t>
  </si>
  <si>
    <t>1.1.111.4</t>
  </si>
  <si>
    <t>1.1.111.5</t>
  </si>
  <si>
    <t>1.1.112.</t>
  </si>
  <si>
    <t>1.1.112.1</t>
  </si>
  <si>
    <t>1.1.112.2</t>
  </si>
  <si>
    <t>1.1.112.3</t>
  </si>
  <si>
    <t>1.1.113.</t>
  </si>
  <si>
    <t>1.1.114.</t>
  </si>
  <si>
    <t>1.1.115.</t>
  </si>
  <si>
    <t>1.1.120.</t>
  </si>
  <si>
    <t>1.1.121.</t>
  </si>
  <si>
    <t>1.1.124.</t>
  </si>
  <si>
    <t>1.1.125.</t>
  </si>
  <si>
    <t>1.1.127.</t>
  </si>
  <si>
    <t>1.1.132.</t>
  </si>
  <si>
    <t>1.1.133.</t>
  </si>
  <si>
    <t>1.1.135.</t>
  </si>
  <si>
    <t>1.1.135.5</t>
  </si>
  <si>
    <t>1.1.135.7</t>
  </si>
  <si>
    <t>1.1.135.9</t>
  </si>
  <si>
    <t>1.1.137.</t>
  </si>
  <si>
    <t>1.1.138.</t>
  </si>
  <si>
    <t>1.1.138.1</t>
  </si>
  <si>
    <t>1.1.138.2</t>
  </si>
  <si>
    <t>1.1.139.</t>
  </si>
  <si>
    <t>1.1.141.</t>
  </si>
  <si>
    <t>1.1.142.</t>
  </si>
  <si>
    <t>1.1.144.</t>
  </si>
  <si>
    <t>1.1.145.</t>
  </si>
  <si>
    <t>1.1.146.</t>
  </si>
  <si>
    <t>1.1.147.</t>
  </si>
  <si>
    <t>1.1.149.</t>
  </si>
  <si>
    <t>1.1.150.</t>
  </si>
  <si>
    <t>1.1.150.2</t>
  </si>
  <si>
    <t>1.1.151.</t>
  </si>
  <si>
    <t>1.1.151.1</t>
  </si>
  <si>
    <t>1.1.151.2</t>
  </si>
  <si>
    <t>1.1.152.</t>
  </si>
  <si>
    <t>1.1.152.1</t>
  </si>
  <si>
    <t>1.1.152.2</t>
  </si>
  <si>
    <t>1.1.153.</t>
  </si>
  <si>
    <t>1.1.153.1</t>
  </si>
  <si>
    <t>1.1.153.2</t>
  </si>
  <si>
    <t>1.1.154.</t>
  </si>
  <si>
    <t>1.1.156.</t>
  </si>
  <si>
    <t>1.1.158.</t>
  </si>
  <si>
    <t>1.1.159.</t>
  </si>
  <si>
    <t>1.1.161.</t>
  </si>
  <si>
    <t>1.1.162.</t>
  </si>
  <si>
    <t>1.1.163.</t>
  </si>
  <si>
    <t>1.1.167.</t>
  </si>
  <si>
    <t>1.1.168.</t>
  </si>
  <si>
    <t>1.1.168.1</t>
  </si>
  <si>
    <t>1.1.168.3</t>
  </si>
  <si>
    <t>1.1.169.</t>
  </si>
  <si>
    <t>1.1.169.4</t>
  </si>
  <si>
    <t>1.1.170.</t>
  </si>
  <si>
    <t>1.1.171.1</t>
  </si>
  <si>
    <t>1.1.171.2</t>
  </si>
  <si>
    <t>1.1.171.3</t>
  </si>
  <si>
    <t>1.1.171.4</t>
  </si>
  <si>
    <t>1.1.171.5</t>
  </si>
  <si>
    <t>1.1.171.6</t>
  </si>
  <si>
    <t>1.1.171.7</t>
  </si>
  <si>
    <t>1.1.172.</t>
  </si>
  <si>
    <t>1.1.172.3</t>
  </si>
  <si>
    <t>1.1.172.4</t>
  </si>
  <si>
    <t>1.1.172.5</t>
  </si>
  <si>
    <t>1.1.173.</t>
  </si>
  <si>
    <t>1.1.173.3</t>
  </si>
  <si>
    <t>1.1.173.4</t>
  </si>
  <si>
    <t>1.1.174.</t>
  </si>
  <si>
    <t>1.1.174.1</t>
  </si>
  <si>
    <t>1.1.174.2</t>
  </si>
  <si>
    <t>1.1.174.4</t>
  </si>
  <si>
    <t>1.1.175.</t>
  </si>
  <si>
    <t>1.1.175.1</t>
  </si>
  <si>
    <t>1.1.175.2</t>
  </si>
  <si>
    <t>1.1.175.3</t>
  </si>
  <si>
    <t>1.1.175.4</t>
  </si>
  <si>
    <t>1.1.176.1</t>
  </si>
  <si>
    <t>1.1.176.2</t>
  </si>
  <si>
    <t>1.1.176.3</t>
  </si>
  <si>
    <t>1.1.176.4</t>
  </si>
  <si>
    <t>1.1.177.</t>
  </si>
  <si>
    <t>1.1.177.1</t>
  </si>
  <si>
    <t>1.1.177.2</t>
  </si>
  <si>
    <t>1.1.177.3</t>
  </si>
  <si>
    <t>1.1.177.4</t>
  </si>
  <si>
    <t>1.1.177.5</t>
  </si>
  <si>
    <t>1.1.177.6</t>
  </si>
  <si>
    <t>1.1.179.</t>
  </si>
  <si>
    <t>1.1.179.1</t>
  </si>
  <si>
    <t>1.1.181.</t>
  </si>
  <si>
    <t>1.1.181.1</t>
  </si>
  <si>
    <t>1.1.182.</t>
  </si>
  <si>
    <t>1.1.183.</t>
  </si>
  <si>
    <t>1.1.183.1</t>
  </si>
  <si>
    <t>1.1.183.2</t>
  </si>
  <si>
    <t>1.1.183.4</t>
  </si>
  <si>
    <t>1.1.187.</t>
  </si>
  <si>
    <t>1.1.188.</t>
  </si>
  <si>
    <t>1.1.190.</t>
  </si>
  <si>
    <t>1.1.190.2</t>
  </si>
  <si>
    <t>1.1.190.5</t>
  </si>
  <si>
    <t>1.1.192.</t>
  </si>
  <si>
    <t>1.1.192.2</t>
  </si>
  <si>
    <t>1.1.192.4</t>
  </si>
  <si>
    <t>1.1.192.6</t>
  </si>
  <si>
    <t>1.1.192.7</t>
  </si>
  <si>
    <t>1.1.193.</t>
  </si>
  <si>
    <t>1.1.193.1</t>
  </si>
  <si>
    <t>1.1.194.</t>
  </si>
  <si>
    <t>1.1.198.</t>
  </si>
  <si>
    <t>1.1.204.</t>
  </si>
  <si>
    <t>1.1.205.</t>
  </si>
  <si>
    <t>1.1.206.</t>
  </si>
  <si>
    <t>1.1.209.</t>
  </si>
  <si>
    <t>1.1.211.</t>
  </si>
  <si>
    <t>1.1.213.</t>
  </si>
  <si>
    <t>1.1.215.</t>
  </si>
  <si>
    <t>1.1.216.</t>
  </si>
  <si>
    <t>1.1.217.</t>
  </si>
  <si>
    <t>1.1.218.</t>
  </si>
  <si>
    <t>1.1.219.</t>
  </si>
  <si>
    <t>1.1.220.</t>
  </si>
  <si>
    <t>1.1.221.</t>
  </si>
  <si>
    <t>1.1.222.</t>
  </si>
  <si>
    <t>1.1.223.</t>
  </si>
  <si>
    <t>1.1.225.</t>
  </si>
  <si>
    <t>1.1.226.</t>
  </si>
  <si>
    <t>1.1.227.</t>
  </si>
  <si>
    <t>1.1.228.</t>
  </si>
  <si>
    <t>1.1.229.</t>
  </si>
  <si>
    <t>1.1.230.</t>
  </si>
  <si>
    <t>1.1.231.</t>
  </si>
  <si>
    <t>1.1.232.</t>
  </si>
  <si>
    <t>1.1.233.</t>
  </si>
  <si>
    <t>1.1.234.</t>
  </si>
  <si>
    <t>1.1.236.</t>
  </si>
  <si>
    <t>1.1.237.</t>
  </si>
  <si>
    <t>1.1.237.5</t>
  </si>
  <si>
    <t>1.1.238.</t>
  </si>
  <si>
    <t>1.1.239.</t>
  </si>
  <si>
    <t>1.1.238.2</t>
  </si>
  <si>
    <t>1.1.239.2</t>
  </si>
  <si>
    <t>1.1.239.4</t>
  </si>
  <si>
    <t>1.1.241.</t>
  </si>
  <si>
    <t>1.1.241.1</t>
  </si>
  <si>
    <t>1.1.241.6</t>
  </si>
  <si>
    <t>1.1.242.</t>
  </si>
  <si>
    <t>1.1.243.</t>
  </si>
  <si>
    <t>1.1.243.1</t>
  </si>
  <si>
    <t>1.1.243.4</t>
  </si>
  <si>
    <t>1.1.244.</t>
  </si>
  <si>
    <t>1.1.244.1</t>
  </si>
  <si>
    <t>1.1.244.3</t>
  </si>
  <si>
    <t>1.1.244.4</t>
  </si>
  <si>
    <t>1.1.245.</t>
  </si>
  <si>
    <t>1.1.245.4</t>
  </si>
  <si>
    <t>1.1.247.</t>
  </si>
  <si>
    <t>1.1.252.</t>
  </si>
  <si>
    <t>1.1.253.</t>
  </si>
  <si>
    <t>1.1.253.1</t>
  </si>
  <si>
    <t>1.1.253.2</t>
  </si>
  <si>
    <t>1.1.253.3</t>
  </si>
  <si>
    <t>1.1.253.4</t>
  </si>
  <si>
    <t>1.1.253.6</t>
  </si>
  <si>
    <t>1.1.253.7</t>
  </si>
  <si>
    <t>1.1.253.9</t>
  </si>
  <si>
    <t>1.1.253.14</t>
  </si>
  <si>
    <t>1.1.253.15</t>
  </si>
  <si>
    <t>1.1.253.16</t>
  </si>
  <si>
    <t>1.1.253.19</t>
  </si>
  <si>
    <t>1.1.256.</t>
  </si>
  <si>
    <t>1.1.257.</t>
  </si>
  <si>
    <t>1.1.258.</t>
  </si>
  <si>
    <t>1.1.263.</t>
  </si>
  <si>
    <t>1.1.264.</t>
  </si>
  <si>
    <t>1.1.265.</t>
  </si>
  <si>
    <t>1.1.266.</t>
  </si>
  <si>
    <t>1.1.266.2</t>
  </si>
  <si>
    <t>1.1.267.</t>
  </si>
  <si>
    <t>1.1.271.</t>
  </si>
  <si>
    <t>1.1.271.2</t>
  </si>
  <si>
    <t>1.1.272.</t>
  </si>
  <si>
    <t>1.1.272.3</t>
  </si>
  <si>
    <t>1.1.273.</t>
  </si>
  <si>
    <t>1.1.273.1</t>
  </si>
  <si>
    <t>1.1.273.2</t>
  </si>
  <si>
    <t>1.1.273.3</t>
  </si>
  <si>
    <t>1.1.273.4</t>
  </si>
  <si>
    <t>1.1.274.</t>
  </si>
  <si>
    <t>1.1.275.</t>
  </si>
  <si>
    <t>1.1.275.1</t>
  </si>
  <si>
    <t>1.1.275.2</t>
  </si>
  <si>
    <t>1.1.275.3</t>
  </si>
  <si>
    <t>1.1.275.6</t>
  </si>
  <si>
    <t>1.1.275.7</t>
  </si>
  <si>
    <t>1.1.275.9</t>
  </si>
  <si>
    <t>1.1.275.11</t>
  </si>
  <si>
    <t>1.1.276.</t>
  </si>
  <si>
    <t>1.1.276.3</t>
  </si>
  <si>
    <t>1.1.276.4</t>
  </si>
  <si>
    <t>1.1.276.6</t>
  </si>
  <si>
    <t>1.1.276.8</t>
  </si>
  <si>
    <t>1.1.276.9</t>
  </si>
  <si>
    <t>1.1.276.10</t>
  </si>
  <si>
    <t>1.1.276.11</t>
  </si>
  <si>
    <t>1.1.276.12</t>
  </si>
  <si>
    <t>1.1.276.13</t>
  </si>
  <si>
    <t>1.1.277.</t>
  </si>
  <si>
    <t>1.1.277.1</t>
  </si>
  <si>
    <t>1.1.277.4</t>
  </si>
  <si>
    <t>1.1.278.</t>
  </si>
  <si>
    <t>1.1.278.2</t>
  </si>
  <si>
    <t>1.1.278.4</t>
  </si>
  <si>
    <t>1.1.280.</t>
  </si>
  <si>
    <t>1.1.280.2</t>
  </si>
  <si>
    <t>1.1.282.</t>
  </si>
  <si>
    <t>1.1.283.</t>
  </si>
  <si>
    <t>1.1.283.1</t>
  </si>
  <si>
    <t>1.1.283.3</t>
  </si>
  <si>
    <t>1.1.285.</t>
  </si>
  <si>
    <t>1.1.285.3</t>
  </si>
  <si>
    <t>1.1.285.5</t>
  </si>
  <si>
    <t>1.1.287.</t>
  </si>
  <si>
    <t>1.1.287.1</t>
  </si>
  <si>
    <t>1.1.290.</t>
  </si>
  <si>
    <t>1.1.291.</t>
  </si>
  <si>
    <t>1.1.292.</t>
  </si>
  <si>
    <t>1.1.290.2</t>
  </si>
  <si>
    <t>1.1.290.3</t>
  </si>
  <si>
    <t>1.1.293.</t>
  </si>
  <si>
    <t>1.1.293.1</t>
  </si>
  <si>
    <t>1.1.293.3</t>
  </si>
  <si>
    <t>1.1.294.</t>
  </si>
  <si>
    <t>1.1.297.</t>
  </si>
  <si>
    <t>1.1.298.</t>
  </si>
  <si>
    <t>1.1.298.1</t>
  </si>
  <si>
    <t>1.1.298.2</t>
  </si>
  <si>
    <t>1.1.304.</t>
  </si>
  <si>
    <t>1.1.307.</t>
  </si>
  <si>
    <t>1.1.312.</t>
  </si>
  <si>
    <t>1.1.314.</t>
  </si>
  <si>
    <t>1.1.316.</t>
  </si>
  <si>
    <t>1.1.317.</t>
  </si>
  <si>
    <t>1.1.319.</t>
  </si>
  <si>
    <t>1.1.320.</t>
  </si>
  <si>
    <t>1.1.322.</t>
  </si>
  <si>
    <t>1.1.323.</t>
  </si>
  <si>
    <t>1.1.324.</t>
  </si>
  <si>
    <t>1.1.325.</t>
  </si>
  <si>
    <t>1.1.333.</t>
  </si>
  <si>
    <t>1.1.335.</t>
  </si>
  <si>
    <t>1.1.337.</t>
  </si>
  <si>
    <t>1.1.340.</t>
  </si>
  <si>
    <t>1.1.341.</t>
  </si>
  <si>
    <t>1.1.346.</t>
  </si>
  <si>
    <t>1.1.347.</t>
  </si>
  <si>
    <t>1.1.349.</t>
  </si>
  <si>
    <t>1.1.350.</t>
  </si>
  <si>
    <t>1.1.350.2</t>
  </si>
  <si>
    <t>1.1.351.</t>
  </si>
  <si>
    <t>1.1.353.</t>
  </si>
  <si>
    <t>1.1.356.</t>
  </si>
  <si>
    <t>1.1.357.</t>
  </si>
  <si>
    <t>1.1.358.</t>
  </si>
  <si>
    <t>1.1.360.</t>
  </si>
  <si>
    <t>1.1.367.</t>
  </si>
  <si>
    <t>1.1.367.1</t>
  </si>
  <si>
    <t>1.1.377.1</t>
  </si>
  <si>
    <t>1.1.377.2</t>
  </si>
  <si>
    <t>1.1.377.</t>
  </si>
  <si>
    <t>1.1.383.</t>
  </si>
  <si>
    <t>1.1.387.</t>
  </si>
  <si>
    <t>1.1.388.</t>
  </si>
  <si>
    <t>1.1.389.</t>
  </si>
  <si>
    <t>1.1.395.</t>
  </si>
  <si>
    <t>1.1.397.</t>
  </si>
  <si>
    <t>1.1.398.</t>
  </si>
  <si>
    <t>1.1.403.</t>
  </si>
  <si>
    <t>1.1.405.</t>
  </si>
  <si>
    <t>1.1.406.</t>
  </si>
  <si>
    <t>1.1.407.</t>
  </si>
  <si>
    <t>1.1.408.</t>
  </si>
  <si>
    <t>1.1.408.3</t>
  </si>
  <si>
    <t>1.1.410.</t>
  </si>
  <si>
    <t>1.1.410.2</t>
  </si>
  <si>
    <t>1.1.411.</t>
  </si>
  <si>
    <t>1.1.411.2</t>
  </si>
  <si>
    <t>1.1.412.</t>
  </si>
  <si>
    <t>1.1.414.</t>
  </si>
  <si>
    <t>1.1.414.1</t>
  </si>
  <si>
    <t>1.1.414.4</t>
  </si>
  <si>
    <t>1.1.414.6</t>
  </si>
  <si>
    <t>1.1.414.7</t>
  </si>
  <si>
    <t>1.1.414.8</t>
  </si>
  <si>
    <t>1.1.414.9</t>
  </si>
  <si>
    <t>1.1.416.</t>
  </si>
  <si>
    <t>1.1.417.</t>
  </si>
  <si>
    <t>1.1.416.1</t>
  </si>
  <si>
    <t>1.1.416.2</t>
  </si>
  <si>
    <t>1.1.417.1</t>
  </si>
  <si>
    <t>1.1.417.4</t>
  </si>
  <si>
    <t>1.1.417.5</t>
  </si>
  <si>
    <t>1.1.417.6</t>
  </si>
  <si>
    <t>1.1.417.7</t>
  </si>
  <si>
    <t>1.1.417.9</t>
  </si>
  <si>
    <t>1.1.418.</t>
  </si>
  <si>
    <t>1.1.419.</t>
  </si>
  <si>
    <t>1.1.419.2</t>
  </si>
  <si>
    <t>1.1.420.</t>
  </si>
  <si>
    <t>1.1.421.</t>
  </si>
  <si>
    <t>1.1.421.3</t>
  </si>
  <si>
    <t>1.1.423.</t>
  </si>
  <si>
    <t>1.1.423.1</t>
  </si>
  <si>
    <t>1.1.423.2</t>
  </si>
  <si>
    <t>1.1.425.</t>
  </si>
  <si>
    <t>1.1.426.</t>
  </si>
  <si>
    <t>1.1.426.2</t>
  </si>
  <si>
    <t>1.1.427.</t>
  </si>
  <si>
    <t>1.1.428.</t>
  </si>
  <si>
    <t>1.1.429.</t>
  </si>
  <si>
    <t>1.1.427.1</t>
  </si>
  <si>
    <t>1.1.428.1</t>
  </si>
  <si>
    <t>1.1.428.4</t>
  </si>
  <si>
    <t>1.1.429.1</t>
  </si>
  <si>
    <t>1.1.429.2</t>
  </si>
  <si>
    <t>1.1.431.</t>
  </si>
  <si>
    <t>1.1.431.1</t>
  </si>
  <si>
    <t>1.1.432.</t>
  </si>
  <si>
    <t>1.1.433.</t>
  </si>
  <si>
    <t>1.1.437.</t>
  </si>
  <si>
    <t>1.1.439.</t>
  </si>
  <si>
    <t>1.1.440.</t>
  </si>
  <si>
    <t>1.1.442.</t>
  </si>
  <si>
    <t>1.1.443.</t>
  </si>
  <si>
    <t>1.1.444.</t>
  </si>
  <si>
    <t>1.1.445.</t>
  </si>
  <si>
    <t>1.1.445.1</t>
  </si>
  <si>
    <t>1.1.445.2</t>
  </si>
  <si>
    <t>1.1.447.1</t>
  </si>
  <si>
    <t>1.1.447.</t>
  </si>
  <si>
    <t>1.1.450.</t>
  </si>
  <si>
    <t>1.1.451.</t>
  </si>
  <si>
    <t>1.1.452.</t>
  </si>
  <si>
    <t>1.1.453.</t>
  </si>
  <si>
    <t>1.1.454.</t>
  </si>
  <si>
    <t>1.1.456.</t>
  </si>
  <si>
    <t>1.1.458.</t>
  </si>
  <si>
    <t>1.1.459.</t>
  </si>
  <si>
    <t>1.1.461.</t>
  </si>
  <si>
    <t>1.1.462.</t>
  </si>
  <si>
    <t>1.1.467.</t>
  </si>
  <si>
    <t>1.1.472.</t>
  </si>
  <si>
    <t>1.1.474.</t>
  </si>
  <si>
    <t>1.1.477.</t>
  </si>
  <si>
    <t>1.1.481.</t>
  </si>
  <si>
    <t>1.1.483.</t>
  </si>
  <si>
    <t>1.1.484.</t>
  </si>
  <si>
    <t>1.1.485.</t>
  </si>
  <si>
    <t>1.1.488.</t>
  </si>
  <si>
    <t>1.1.488.2</t>
  </si>
  <si>
    <t>1.1.489.</t>
  </si>
  <si>
    <t>1.1.489.1</t>
  </si>
  <si>
    <t>1.1.489.2</t>
  </si>
  <si>
    <t>1.1.489.3</t>
  </si>
  <si>
    <t>1.1.489.4</t>
  </si>
  <si>
    <t>1.1.492.</t>
  </si>
  <si>
    <t>1.1.494.</t>
  </si>
  <si>
    <t>1.1.498.</t>
  </si>
  <si>
    <t>1.1.498.2</t>
  </si>
  <si>
    <t>1.1.499.</t>
  </si>
  <si>
    <t>1.1.499.1</t>
  </si>
  <si>
    <t>1.1.499.4</t>
  </si>
  <si>
    <t>1.1.499.5</t>
  </si>
  <si>
    <t>1.1.499.7</t>
  </si>
  <si>
    <t>1.1.500.</t>
  </si>
  <si>
    <t>1.1.502.</t>
  </si>
  <si>
    <t>1.1.503.</t>
  </si>
  <si>
    <t>1.1.503.1</t>
  </si>
  <si>
    <t>1.1.504.</t>
  </si>
  <si>
    <t>1.1.506.</t>
  </si>
  <si>
    <t>1.1.506.1</t>
  </si>
  <si>
    <t>1.1.506.2</t>
  </si>
  <si>
    <t>1.1.507.</t>
  </si>
  <si>
    <t>1.1.507.1</t>
  </si>
  <si>
    <t>1.1.507.2</t>
  </si>
  <si>
    <t>1.1.508.</t>
  </si>
  <si>
    <t>1.1.508.1</t>
  </si>
  <si>
    <t>1.1.508.2</t>
  </si>
  <si>
    <t>1.1.513.</t>
  </si>
  <si>
    <t>1.1.513.1</t>
  </si>
  <si>
    <t>1.1.513.2</t>
  </si>
  <si>
    <t>1.1.515.</t>
  </si>
  <si>
    <t>1.1.516.</t>
  </si>
  <si>
    <t>1.1.518.</t>
  </si>
  <si>
    <t>1.1.516.1</t>
  </si>
  <si>
    <t>1.1.518.1</t>
  </si>
  <si>
    <t>1.1.518.2</t>
  </si>
  <si>
    <t>1.1.520.</t>
  </si>
  <si>
    <t>1.1.520.1</t>
  </si>
  <si>
    <t>1.1.520.2</t>
  </si>
  <si>
    <t>1.1.520.3</t>
  </si>
  <si>
    <t>1.1.520.4</t>
  </si>
  <si>
    <t>1.1.527.</t>
  </si>
  <si>
    <t>1.1.530.</t>
  </si>
  <si>
    <t>1.1.537.</t>
  </si>
  <si>
    <t>1.1.538.</t>
  </si>
  <si>
    <t>1.1.539.</t>
  </si>
  <si>
    <t>1.1.539.1</t>
  </si>
  <si>
    <t>1.1.539.2</t>
  </si>
  <si>
    <t>1.1.542.2</t>
  </si>
  <si>
    <t>1.1.542.3</t>
  </si>
  <si>
    <t>1.1.543.</t>
  </si>
  <si>
    <t>1.1.544.</t>
  </si>
  <si>
    <t>1.1.547.</t>
  </si>
  <si>
    <t>1.1.549.</t>
  </si>
  <si>
    <t>1.1.552.</t>
  </si>
  <si>
    <t>1.1.554.</t>
  </si>
  <si>
    <t>1.1.555.</t>
  </si>
  <si>
    <t>1.1.555.1</t>
  </si>
  <si>
    <t>1.1.555.2</t>
  </si>
  <si>
    <t>1.1.556.</t>
  </si>
  <si>
    <t>1.1.557.</t>
  </si>
  <si>
    <t>1.1.556.1</t>
  </si>
  <si>
    <t>1.1.556.2</t>
  </si>
  <si>
    <t>1.1.559.</t>
  </si>
  <si>
    <t>1.1.559.1</t>
  </si>
  <si>
    <t>1.1.561.</t>
  </si>
  <si>
    <t>1.1.563.</t>
  </si>
  <si>
    <t>1.1.564.</t>
  </si>
  <si>
    <t>1.1.563.1</t>
  </si>
  <si>
    <t>1.1.563.2</t>
  </si>
  <si>
    <t>1.1.565.</t>
  </si>
  <si>
    <t>1.1.564.3</t>
  </si>
  <si>
    <t>1.1.566.</t>
  </si>
  <si>
    <t>1.1.566.1</t>
  </si>
  <si>
    <t>1.1.566.2</t>
  </si>
  <si>
    <t>1.1.567.</t>
  </si>
  <si>
    <t>1.1.568.</t>
  </si>
  <si>
    <t>1.1.567.1</t>
  </si>
  <si>
    <t>1.1.568.1</t>
  </si>
  <si>
    <t>1.1.568.2</t>
  </si>
  <si>
    <t>1.1.570.</t>
  </si>
  <si>
    <t>1.1.570.1</t>
  </si>
  <si>
    <t>1.1.570.2</t>
  </si>
  <si>
    <t>1.1.570.3</t>
  </si>
  <si>
    <t>1.1.571.</t>
  </si>
  <si>
    <t>1.1.571.1</t>
  </si>
  <si>
    <t>1.1.577.</t>
  </si>
  <si>
    <t>1.1.577.1</t>
  </si>
  <si>
    <t>1.1.578.</t>
  </si>
  <si>
    <t>1.1.578.1</t>
  </si>
  <si>
    <t>1.1.581.</t>
  </si>
  <si>
    <t>1.1.582.</t>
  </si>
  <si>
    <t>1.1.592.</t>
  </si>
  <si>
    <t>1.1.593.</t>
  </si>
  <si>
    <t>1.1.596.</t>
  </si>
  <si>
    <t>1.1.601.</t>
  </si>
  <si>
    <t>1.1.602.</t>
  </si>
  <si>
    <t>1.1.603.</t>
  </si>
  <si>
    <t>1.1.611.</t>
  </si>
  <si>
    <t>1.1.613.</t>
  </si>
  <si>
    <t>1.1.613.1</t>
  </si>
  <si>
    <t>1.1.614.</t>
  </si>
  <si>
    <t>1.1.615.</t>
  </si>
  <si>
    <t>1.1.616.</t>
  </si>
  <si>
    <t>1.1.617.</t>
  </si>
  <si>
    <t>1.1.618.</t>
  </si>
  <si>
    <t>1.1.619.</t>
  </si>
  <si>
    <t>1.1.620.</t>
  </si>
  <si>
    <t>1.1.621.</t>
  </si>
  <si>
    <t>1.1.628.</t>
  </si>
  <si>
    <t>1.1.631.</t>
  </si>
  <si>
    <t>1.1.635.</t>
  </si>
  <si>
    <t>1.1.638.</t>
  </si>
  <si>
    <t>1.1.640.</t>
  </si>
  <si>
    <t>1.1.643.</t>
  </si>
  <si>
    <t>1.1.644.</t>
  </si>
  <si>
    <t>1.1.647.</t>
  </si>
  <si>
    <t>1.1.654.</t>
  </si>
  <si>
    <t>1.1.656.</t>
  </si>
  <si>
    <t>1.1.658.</t>
  </si>
  <si>
    <t>1.1.661.</t>
  </si>
  <si>
    <t>1.1.662.</t>
  </si>
  <si>
    <t>1.1.663.</t>
  </si>
  <si>
    <t>1.1.666.</t>
  </si>
  <si>
    <t>1.1.668.</t>
  </si>
  <si>
    <t>1.1.670.</t>
  </si>
  <si>
    <t>1.1.672.</t>
  </si>
  <si>
    <t>1.1.673.</t>
  </si>
  <si>
    <t>1.1.674.</t>
  </si>
  <si>
    <t>1.1.675.</t>
  </si>
  <si>
    <t>1.1.676.</t>
  </si>
  <si>
    <t>1.1.677.</t>
  </si>
  <si>
    <t>1.1.678.</t>
  </si>
  <si>
    <t>1.1.679.</t>
  </si>
  <si>
    <t>1.1.680.</t>
  </si>
  <si>
    <t>1.1.683.</t>
  </si>
  <si>
    <t>1.1.684.</t>
  </si>
  <si>
    <t>1.1.687.</t>
  </si>
  <si>
    <t>1.1.708.</t>
  </si>
  <si>
    <t>1.1.709.</t>
  </si>
  <si>
    <t>1.1.709.1</t>
  </si>
  <si>
    <t>1.1.709.4</t>
  </si>
  <si>
    <t>1.1.709.5</t>
  </si>
  <si>
    <t>1.1.710.</t>
  </si>
  <si>
    <t>1.1.710.1</t>
  </si>
  <si>
    <t>1.1.710.2</t>
  </si>
  <si>
    <t>1.1.710.3</t>
  </si>
  <si>
    <t>1.1.710.4</t>
  </si>
  <si>
    <t>1.1.714.</t>
  </si>
  <si>
    <t>1.1.718.</t>
  </si>
  <si>
    <t>1.1.719.</t>
  </si>
  <si>
    <t>1.1.721.</t>
  </si>
  <si>
    <t>1.1.722.</t>
  </si>
  <si>
    <t>1.1.723.</t>
  </si>
  <si>
    <t>1.1.724.</t>
  </si>
  <si>
    <t>1.1.725.</t>
  </si>
  <si>
    <t>1.1.732.</t>
  </si>
  <si>
    <t>1.1.734.</t>
  </si>
  <si>
    <t>1.1.735.</t>
  </si>
  <si>
    <t>1.1.736.</t>
  </si>
  <si>
    <t>1.1.739.</t>
  </si>
  <si>
    <t>1.1.742.</t>
  </si>
  <si>
    <t>1.1.743.</t>
  </si>
  <si>
    <t>1.1.744.</t>
  </si>
  <si>
    <t>1.1.749.</t>
  </si>
  <si>
    <t>1.1.750.</t>
  </si>
  <si>
    <t>1.1.752.</t>
  </si>
  <si>
    <t>1.1.753.</t>
  </si>
  <si>
    <t>1.1.757.</t>
  </si>
  <si>
    <t>1.1.760.</t>
  </si>
  <si>
    <t>1.1.761.</t>
  </si>
  <si>
    <t>1.1.763.</t>
  </si>
  <si>
    <t>1.1.764.</t>
  </si>
  <si>
    <t>1.1.765.</t>
  </si>
  <si>
    <t>1.1.766.</t>
  </si>
  <si>
    <t>1.1.767.</t>
  </si>
  <si>
    <t>1.1.768.</t>
  </si>
  <si>
    <t>1.1.769.</t>
  </si>
  <si>
    <t>1.1.770.</t>
  </si>
  <si>
    <t>1.1.771.</t>
  </si>
  <si>
    <t>1.1.773.</t>
  </si>
  <si>
    <t>1.1.779.</t>
  </si>
  <si>
    <t>1.1.780.</t>
  </si>
  <si>
    <t>1.1.781.</t>
  </si>
  <si>
    <t>1.1.783.</t>
  </si>
  <si>
    <t>1.1.783.1</t>
  </si>
  <si>
    <t>1.1.783.4</t>
  </si>
  <si>
    <t>1.1.783.21</t>
  </si>
  <si>
    <t>1.1.786.</t>
  </si>
  <si>
    <t>1.1.787.</t>
  </si>
  <si>
    <t>1.1.790.2</t>
  </si>
  <si>
    <t>1.1.790.5</t>
  </si>
  <si>
    <t>1.1.790.14</t>
  </si>
  <si>
    <t>1.1.790.15</t>
  </si>
  <si>
    <t>1.1.790.17</t>
  </si>
  <si>
    <t>1.1.790.18</t>
  </si>
  <si>
    <t>1.1.791.</t>
  </si>
  <si>
    <t>1.1.792.</t>
  </si>
  <si>
    <t>1.1.795.</t>
  </si>
  <si>
    <t>1.1.795.11</t>
  </si>
  <si>
    <t>1.1.795.15</t>
  </si>
  <si>
    <t>1.1.795.22</t>
  </si>
  <si>
    <t>1.1.798.</t>
  </si>
  <si>
    <t>1.1.799.</t>
  </si>
  <si>
    <t>1.1.800.</t>
  </si>
  <si>
    <t>1.1.801.</t>
  </si>
  <si>
    <t>1.1.803.</t>
  </si>
  <si>
    <t>1.1.803.1</t>
  </si>
  <si>
    <t>1.1.803.3</t>
  </si>
  <si>
    <t>1.1.803.4</t>
  </si>
  <si>
    <t>1.1.806.</t>
  </si>
  <si>
    <t>1.1.806.1</t>
  </si>
  <si>
    <t>1.1.806.4</t>
  </si>
  <si>
    <t>1.1.808.</t>
  </si>
  <si>
    <t>1.1.809.</t>
  </si>
  <si>
    <t>1.1.809.3</t>
  </si>
  <si>
    <t>1.1.810.</t>
  </si>
  <si>
    <t>1.1.812.</t>
  </si>
  <si>
    <t>1.1.813.</t>
  </si>
  <si>
    <t>1.1.814.</t>
  </si>
  <si>
    <t>1.1.80.1</t>
  </si>
  <si>
    <t>1.1.80.3</t>
  </si>
  <si>
    <t>1.1.80.4</t>
  </si>
  <si>
    <t>1.1.82.3</t>
  </si>
  <si>
    <t>1.1.82.4</t>
  </si>
  <si>
    <t>1.1.88.1</t>
  </si>
  <si>
    <t>1.1.90.2</t>
  </si>
  <si>
    <t>1.1.90.3</t>
  </si>
  <si>
    <t>1.1.90.4</t>
  </si>
  <si>
    <t>1.1.90.5</t>
  </si>
  <si>
    <t>1.1.90.7</t>
  </si>
  <si>
    <t>1.1.90.8</t>
  </si>
  <si>
    <t>1.1.90.11</t>
  </si>
  <si>
    <t>1.1.90.13</t>
  </si>
  <si>
    <t>1.1.90.15</t>
  </si>
  <si>
    <t>1.1.90.16</t>
  </si>
  <si>
    <t>1.1.90.19</t>
  </si>
  <si>
    <t>1.1.92.6</t>
  </si>
  <si>
    <t>1.1.92.9</t>
  </si>
  <si>
    <t>1.1.92.10</t>
  </si>
  <si>
    <t>1.1.92.12</t>
  </si>
  <si>
    <t>1.1.92.13</t>
  </si>
  <si>
    <t>1.1.92.2</t>
  </si>
  <si>
    <t>1.1.92.14</t>
  </si>
  <si>
    <t>1.1.92.15</t>
  </si>
  <si>
    <t>1.1.92.16</t>
  </si>
  <si>
    <t>1.1.92.18</t>
  </si>
  <si>
    <t>1.1.93.2</t>
  </si>
  <si>
    <t>1.1.94.3</t>
  </si>
  <si>
    <t>1.1.94.5</t>
  </si>
  <si>
    <t>1.1.94.6</t>
  </si>
  <si>
    <t>1.1.94.8</t>
  </si>
  <si>
    <t>1.1.94.9</t>
  </si>
  <si>
    <t>1.1.94.10</t>
  </si>
  <si>
    <t>1.1.94.13</t>
  </si>
  <si>
    <t>1.1.96.1</t>
  </si>
  <si>
    <t>1.1.98.1</t>
  </si>
  <si>
    <t>1.1.98.2</t>
  </si>
  <si>
    <t>1.1.99.3</t>
  </si>
  <si>
    <t>1.1.99.4</t>
  </si>
  <si>
    <t>1.1.99.5</t>
  </si>
  <si>
    <t>1.1.99.6</t>
  </si>
  <si>
    <t>1.1.99.7</t>
  </si>
  <si>
    <t>1.1.99.8</t>
  </si>
  <si>
    <t>1.1.99.9</t>
  </si>
  <si>
    <t>1.1.99.10</t>
  </si>
  <si>
    <t>1.1.99.11</t>
  </si>
  <si>
    <t>1.1.99.12</t>
  </si>
  <si>
    <t>1.1.99.13</t>
  </si>
  <si>
    <t>1.1.102.2</t>
  </si>
  <si>
    <t>1.1.102.4</t>
  </si>
  <si>
    <t>1.1.102.8</t>
  </si>
  <si>
    <t>1.1.110.1</t>
  </si>
  <si>
    <t>1.1.110.2</t>
  </si>
  <si>
    <t>1.1.110.3</t>
  </si>
  <si>
    <t>1.1.110.4</t>
  </si>
  <si>
    <t>1.1.110.5</t>
  </si>
  <si>
    <t>1.1.120.2</t>
  </si>
  <si>
    <t>1.1.132.2</t>
  </si>
  <si>
    <t>1.1.132.3</t>
  </si>
  <si>
    <t>1.1.137.6</t>
  </si>
  <si>
    <t>1.1.137.10</t>
  </si>
  <si>
    <t>1.1.137.16</t>
  </si>
  <si>
    <t>1.1.137.20</t>
  </si>
  <si>
    <t>1.1.142.1</t>
  </si>
  <si>
    <t>1.1.149.1</t>
  </si>
  <si>
    <t>1.1.149.2</t>
  </si>
  <si>
    <t>1.1.167.2</t>
  </si>
  <si>
    <t>1.1.167.4</t>
  </si>
  <si>
    <t>1.1.169.5</t>
  </si>
  <si>
    <t>1.1.169.7</t>
  </si>
  <si>
    <t>1.1.170.1</t>
  </si>
  <si>
    <t>1.1.170.2</t>
  </si>
  <si>
    <t>1.1.170.3</t>
  </si>
  <si>
    <t>1.1.170.4</t>
  </si>
  <si>
    <t>1.1.170.5</t>
  </si>
  <si>
    <t>1.1.170.6</t>
  </si>
  <si>
    <t>1.1.171.</t>
  </si>
  <si>
    <t>1.1.171.8</t>
  </si>
  <si>
    <t>1.1.171.9</t>
  </si>
  <si>
    <t>1.1.175.5</t>
  </si>
  <si>
    <t>1.1.175.6</t>
  </si>
  <si>
    <t>1.1.177.7</t>
  </si>
  <si>
    <t>1.1.177.8</t>
  </si>
  <si>
    <t>1.1.181.3</t>
  </si>
  <si>
    <t>1.1.181.5</t>
  </si>
  <si>
    <t>1.1.182.1</t>
  </si>
  <si>
    <t>1.1.182.2</t>
  </si>
  <si>
    <t>1.1.182.3</t>
  </si>
  <si>
    <t>1.1.187.2</t>
  </si>
  <si>
    <t>1.1.188.3</t>
  </si>
  <si>
    <t>1.1.190.4</t>
  </si>
  <si>
    <t>1.1.193.2</t>
  </si>
  <si>
    <t>1.1.193.4</t>
  </si>
  <si>
    <t>1.1.193.5</t>
  </si>
  <si>
    <t>1.1.193.6</t>
  </si>
  <si>
    <t>1.1.193.7</t>
  </si>
  <si>
    <t>1.1.193.9</t>
  </si>
  <si>
    <t>1.1.193.10</t>
  </si>
  <si>
    <t>1.1.204.1</t>
  </si>
  <si>
    <t>1.1.217.1</t>
  </si>
  <si>
    <t>1.1.217.5</t>
  </si>
  <si>
    <t>1.1.217.6</t>
  </si>
  <si>
    <t>1.1.236.1</t>
  </si>
  <si>
    <t>1.1.236.2</t>
  </si>
  <si>
    <t>1.1.242.7</t>
  </si>
  <si>
    <t>1.1.242.9</t>
  </si>
  <si>
    <t>1.1.242.10</t>
  </si>
  <si>
    <t>1.1.245.6</t>
  </si>
  <si>
    <t>1.1.245.7</t>
  </si>
  <si>
    <t>1.1.245.9</t>
  </si>
  <si>
    <t>1.1.247.1</t>
  </si>
  <si>
    <t>1.1.247.3</t>
  </si>
  <si>
    <t>1.1.247.4</t>
  </si>
  <si>
    <t>1.1.249.</t>
  </si>
  <si>
    <t>1.1.249.1</t>
  </si>
  <si>
    <t>1.1.250.</t>
  </si>
  <si>
    <t>1.1.250.1</t>
  </si>
  <si>
    <t>1.1.250.2</t>
  </si>
  <si>
    <t>1.1.250.3</t>
  </si>
  <si>
    <t>1.1.250.4</t>
  </si>
  <si>
    <t>1.1.250.5</t>
  </si>
  <si>
    <t>1.1.251.</t>
  </si>
  <si>
    <t>1.1.251.1</t>
  </si>
  <si>
    <t>1.1.251.2</t>
  </si>
  <si>
    <t>1.1.251.3</t>
  </si>
  <si>
    <t>1.1.251.4</t>
  </si>
  <si>
    <t>1.1.251.7</t>
  </si>
  <si>
    <t>1.1.251.8</t>
  </si>
  <si>
    <t>1.1.251.9</t>
  </si>
  <si>
    <t>1.1.251.10</t>
  </si>
  <si>
    <t>1.1.251.11</t>
  </si>
  <si>
    <t>1.1.251.12</t>
  </si>
  <si>
    <t>1.1.251.15</t>
  </si>
  <si>
    <t>1.1.251.16</t>
  </si>
  <si>
    <t>1.1.251.17</t>
  </si>
  <si>
    <t>1.1.251.18</t>
  </si>
  <si>
    <t>1.1.252.6</t>
  </si>
  <si>
    <t>1.1.252.8</t>
  </si>
  <si>
    <t>1.1.252.11</t>
  </si>
  <si>
    <t>1.1.253.24</t>
  </si>
  <si>
    <t>1.1.253.25</t>
  </si>
  <si>
    <t>1.1.253.26</t>
  </si>
  <si>
    <t>1.1.253.27</t>
  </si>
  <si>
    <t>1.1.253.28</t>
  </si>
  <si>
    <t>1.1.253.30</t>
  </si>
  <si>
    <t>1.1.253.31</t>
  </si>
  <si>
    <t>1.1.253.32</t>
  </si>
  <si>
    <t>1.1.253.33</t>
  </si>
  <si>
    <t>1.1.253.34</t>
  </si>
  <si>
    <t>1.1.253.35</t>
  </si>
  <si>
    <t>1.1.253.37</t>
  </si>
  <si>
    <t>1.1.253.41</t>
  </si>
  <si>
    <t>1.1.253.43</t>
  </si>
  <si>
    <t>1.1.253.44</t>
  </si>
  <si>
    <t>1.1.253.45</t>
  </si>
  <si>
    <t>1.1.253.46</t>
  </si>
  <si>
    <t>1.1.253.47</t>
  </si>
  <si>
    <t>1.1.253.48</t>
  </si>
  <si>
    <t>1.1.253.52</t>
  </si>
  <si>
    <t>1.1.253.53</t>
  </si>
  <si>
    <t>1.1.253.54</t>
  </si>
  <si>
    <t>1.1.253.56</t>
  </si>
  <si>
    <t>1.1.253.57</t>
  </si>
  <si>
    <t>1.1.253.58</t>
  </si>
  <si>
    <t>1.1.258.2</t>
  </si>
  <si>
    <t>1.1.258.3</t>
  </si>
  <si>
    <t>1.1.258.4</t>
  </si>
  <si>
    <t>1.1.263.2</t>
  </si>
  <si>
    <t>1.1.263.6</t>
  </si>
  <si>
    <t>1.1.264.6</t>
  </si>
  <si>
    <t>1.1.265.1</t>
  </si>
  <si>
    <t>1.1.265.6</t>
  </si>
  <si>
    <t>1.1.46.2</t>
  </si>
  <si>
    <t>1.1.266.7</t>
  </si>
  <si>
    <t>1.1.267.1</t>
  </si>
  <si>
    <t>1.1.267.6</t>
  </si>
  <si>
    <t>1.1.267.7</t>
  </si>
  <si>
    <t>1.1.267.9</t>
  </si>
  <si>
    <t>1.1.267.11</t>
  </si>
  <si>
    <t>1.1.268.</t>
  </si>
  <si>
    <t>1.1.268.5</t>
  </si>
  <si>
    <t>1.1.272.5</t>
  </si>
  <si>
    <t>1.1.272.7</t>
  </si>
  <si>
    <t>1.1.272.10</t>
  </si>
  <si>
    <t>1.1.272.11</t>
  </si>
  <si>
    <t>1.1.273.6</t>
  </si>
  <si>
    <t>1.1.273.13</t>
  </si>
  <si>
    <t>1.1.273.14</t>
  </si>
  <si>
    <t>1.1.274.3</t>
  </si>
  <si>
    <t>1.1.277.5</t>
  </si>
  <si>
    <t>1.1.282.7</t>
  </si>
  <si>
    <t>1.1.282.9</t>
  </si>
  <si>
    <t>1.1.283.9</t>
  </si>
  <si>
    <t>1.1.283.10</t>
  </si>
  <si>
    <t>1.1.283.11</t>
  </si>
  <si>
    <t>1.1.292.6</t>
  </si>
  <si>
    <t>1.1.293.6</t>
  </si>
  <si>
    <t>1.1.297.1</t>
  </si>
  <si>
    <t>1.1.297.3</t>
  </si>
  <si>
    <t>1.1.307.1</t>
  </si>
  <si>
    <t>1.1.307.2</t>
  </si>
  <si>
    <t>1.1.307.3</t>
  </si>
  <si>
    <t>1.1.307.4</t>
  </si>
  <si>
    <t>1.1.307.6</t>
  </si>
  <si>
    <t>1.1.307.7</t>
  </si>
  <si>
    <t>1.1.307.8</t>
  </si>
  <si>
    <t>1.1.307.9</t>
  </si>
  <si>
    <t>1.1.307.10</t>
  </si>
  <si>
    <t>1.1.307.11</t>
  </si>
  <si>
    <t>1.1.307.12</t>
  </si>
  <si>
    <t>1.1.307.13</t>
  </si>
  <si>
    <t>1.1.312.1</t>
  </si>
  <si>
    <t>1.1.312.2</t>
  </si>
  <si>
    <t>1.1.327</t>
  </si>
  <si>
    <t>1.1.333.1</t>
  </si>
  <si>
    <t>1.1.333.2</t>
  </si>
  <si>
    <t>1.1.333.3</t>
  </si>
  <si>
    <t>1.1.346.1</t>
  </si>
  <si>
    <t>1.1.346.2</t>
  </si>
  <si>
    <t>1.1.347.2</t>
  </si>
  <si>
    <t>1.1.350.4</t>
  </si>
  <si>
    <t>1.1.350.5</t>
  </si>
  <si>
    <t>1.1.350.6</t>
  </si>
  <si>
    <t>1.1.356.1</t>
  </si>
  <si>
    <t>1.1.356.2</t>
  </si>
  <si>
    <t>1.1.356.3</t>
  </si>
  <si>
    <t>1.1.358.1</t>
  </si>
  <si>
    <t>1.1.358.2</t>
  </si>
  <si>
    <t>1.1.358.3</t>
  </si>
  <si>
    <t>1.1.358.4</t>
  </si>
  <si>
    <t>1.1.358.5</t>
  </si>
  <si>
    <t>1.1.358.6</t>
  </si>
  <si>
    <t>1.1.358.8</t>
  </si>
  <si>
    <t>1.1.358.9</t>
  </si>
  <si>
    <t>1.1.358.10</t>
  </si>
  <si>
    <t>1.1.358.11</t>
  </si>
  <si>
    <t>1.1.358.12</t>
  </si>
  <si>
    <t>1.1.360.1</t>
  </si>
  <si>
    <t>1.1.360.2</t>
  </si>
  <si>
    <t>1.1.360.3</t>
  </si>
  <si>
    <t>1.1.360.4</t>
  </si>
  <si>
    <t>1.1.360.5</t>
  </si>
  <si>
    <t>1.1.360.6</t>
  </si>
  <si>
    <t>1.1.360.7</t>
  </si>
  <si>
    <t>1.1.360.8</t>
  </si>
  <si>
    <t>1.1.360.9</t>
  </si>
  <si>
    <t>1.1.360.10</t>
  </si>
  <si>
    <t>1.1.360.11</t>
  </si>
  <si>
    <t>1.1.397.1</t>
  </si>
  <si>
    <t>1.1.397.2</t>
  </si>
  <si>
    <t>1.1.398.1</t>
  </si>
  <si>
    <t>1.1.398.2</t>
  </si>
  <si>
    <t>1.1.405.1</t>
  </si>
  <si>
    <t>1.1.407.1</t>
  </si>
  <si>
    <t>1.1.407.2</t>
  </si>
  <si>
    <t>1.1.407.4</t>
  </si>
  <si>
    <t>1.1.407.5</t>
  </si>
  <si>
    <t>1.1.407.6</t>
  </si>
  <si>
    <t>1.1.412.1</t>
  </si>
  <si>
    <t>1.1.412.3</t>
  </si>
  <si>
    <t>1.1.414.10</t>
  </si>
  <si>
    <t>1.1.417.11</t>
  </si>
  <si>
    <t>1.1.417.13</t>
  </si>
  <si>
    <t>1.1.417.14</t>
  </si>
  <si>
    <t>1.1.417.15</t>
  </si>
  <si>
    <t>1.1.417.16</t>
  </si>
  <si>
    <t>1.1.417.17</t>
  </si>
  <si>
    <t>1.1.417.18</t>
  </si>
  <si>
    <t>1.1.417.20</t>
  </si>
  <si>
    <t>1.1.417.21</t>
  </si>
  <si>
    <t>1.1.417.22</t>
  </si>
  <si>
    <t>1.1.417.23</t>
  </si>
  <si>
    <t>1.1.417.25</t>
  </si>
  <si>
    <t>1.1.417.26</t>
  </si>
  <si>
    <t>1.1.417.27</t>
  </si>
  <si>
    <t>1.1.417.29</t>
  </si>
  <si>
    <t>1.1.417.30</t>
  </si>
  <si>
    <t>1.1.417.31</t>
  </si>
  <si>
    <t>1.1.417.33</t>
  </si>
  <si>
    <t>1.1.417.34</t>
  </si>
  <si>
    <t>1.1.417.35</t>
  </si>
  <si>
    <t>1.1.418.3</t>
  </si>
  <si>
    <t>1.1.419.3</t>
  </si>
  <si>
    <t>1.1.419.4</t>
  </si>
  <si>
    <t>1.1.421.4</t>
  </si>
  <si>
    <t>1.1.421.7</t>
  </si>
  <si>
    <t>1.1.423.6</t>
  </si>
  <si>
    <t>1.1.423.11</t>
  </si>
  <si>
    <t>1.1.425.2</t>
  </si>
  <si>
    <t>1.1.433.1</t>
  </si>
  <si>
    <t>1.1.433.3</t>
  </si>
  <si>
    <t>1.1.440.2</t>
  </si>
  <si>
    <t>1.1.442.2</t>
  </si>
  <si>
    <t>1.1.444.1</t>
  </si>
  <si>
    <t>1.1.444.2</t>
  </si>
  <si>
    <t>1.1.452.1</t>
  </si>
  <si>
    <t>1.1.453.2</t>
  </si>
  <si>
    <t>1.1.461.1</t>
  </si>
  <si>
    <t>1.1.462.1</t>
  </si>
  <si>
    <t>1.1.481.2</t>
  </si>
  <si>
    <t>1.1.481.5</t>
  </si>
  <si>
    <t>1.1.485.1</t>
  </si>
  <si>
    <t>1.1.489.5</t>
  </si>
  <si>
    <t>1.1.489.6</t>
  </si>
  <si>
    <t>1.1.489.7</t>
  </si>
  <si>
    <t>1.1.489.8</t>
  </si>
  <si>
    <t>1.1.489.9</t>
  </si>
  <si>
    <t>1.1.489.10</t>
  </si>
  <si>
    <t>1.1.489.11</t>
  </si>
  <si>
    <t>1.1.489.12</t>
  </si>
  <si>
    <t>1.1.489.13</t>
  </si>
  <si>
    <t>1.1.489.14</t>
  </si>
  <si>
    <t>1.1.489.15</t>
  </si>
  <si>
    <t>1.1.489.16</t>
  </si>
  <si>
    <t>1.1.489.17</t>
  </si>
  <si>
    <t>1.1.489.18</t>
  </si>
  <si>
    <t>1.1.489.19</t>
  </si>
  <si>
    <t>1.1.489.20</t>
  </si>
  <si>
    <t>1.1.489.21</t>
  </si>
  <si>
    <t>1.1.489.22</t>
  </si>
  <si>
    <t>1.1.489.23</t>
  </si>
  <si>
    <t>1.1.489.24</t>
  </si>
  <si>
    <t>1.1.489.25</t>
  </si>
  <si>
    <t>1.1.489.26</t>
  </si>
  <si>
    <t>1.1.489.27</t>
  </si>
  <si>
    <t>1.1.489.28</t>
  </si>
  <si>
    <t>1.1.489.29</t>
  </si>
  <si>
    <t>1.1.489.30</t>
  </si>
  <si>
    <t>1.1.489.31</t>
  </si>
  <si>
    <t>1.1.489.32</t>
  </si>
  <si>
    <t>1.1.489.33</t>
  </si>
  <si>
    <t>1.1.489.34</t>
  </si>
  <si>
    <t>1.1.489.35</t>
  </si>
  <si>
    <t>1.1.489.36</t>
  </si>
  <si>
    <t>1.1.489.37</t>
  </si>
  <si>
    <t>1.1.489.38</t>
  </si>
  <si>
    <t>1.1.489.39</t>
  </si>
  <si>
    <t>1.1.489.40</t>
  </si>
  <si>
    <t>1.1.489.41</t>
  </si>
  <si>
    <t>1.1.489.42</t>
  </si>
  <si>
    <t>1.1.499.8</t>
  </si>
  <si>
    <t>1.1.500.6</t>
  </si>
  <si>
    <t>1.1.504.1</t>
  </si>
  <si>
    <t>1.1.504.4</t>
  </si>
  <si>
    <t>1.1.504.7</t>
  </si>
  <si>
    <t>1.1.504.8</t>
  </si>
  <si>
    <t>1.1.504.9</t>
  </si>
  <si>
    <t>1.1.504.10</t>
  </si>
  <si>
    <t>1.1.504.11</t>
  </si>
  <si>
    <t>1.1.504.12</t>
  </si>
  <si>
    <t>1.1.504.13</t>
  </si>
  <si>
    <t>1.1.504.14</t>
  </si>
  <si>
    <t>1.1.504.15</t>
  </si>
  <si>
    <t>1.1.504.16</t>
  </si>
  <si>
    <t>1.1.504.17</t>
  </si>
  <si>
    <t>1.1.504.18</t>
  </si>
  <si>
    <t>1.1.504.19</t>
  </si>
  <si>
    <t>1.1.504.20</t>
  </si>
  <si>
    <t>1.1.504.21</t>
  </si>
  <si>
    <t>1.1.504.24</t>
  </si>
  <si>
    <t>1.1.504.27</t>
  </si>
  <si>
    <t>1.1.508.3</t>
  </si>
  <si>
    <t>1.1.508.4</t>
  </si>
  <si>
    <t>1.1.508.5</t>
  </si>
  <si>
    <t>1.1.508.6</t>
  </si>
  <si>
    <t>1.1.508.7</t>
  </si>
  <si>
    <t>1.1.508.8</t>
  </si>
  <si>
    <t>1.1.508.9</t>
  </si>
  <si>
    <t>1.1.508.10</t>
  </si>
  <si>
    <t>1.1.508.11</t>
  </si>
  <si>
    <t>1.1.508.12</t>
  </si>
  <si>
    <t>1.1.508.13</t>
  </si>
  <si>
    <t>1.1.508.14</t>
  </si>
  <si>
    <t>1.1.508.15</t>
  </si>
  <si>
    <t>1.1.508.16</t>
  </si>
  <si>
    <t>1.1.508.17</t>
  </si>
  <si>
    <t>1.1.508.18</t>
  </si>
  <si>
    <t>1.1.508.19</t>
  </si>
  <si>
    <t>1.1.508.20</t>
  </si>
  <si>
    <t>1.1.508.21</t>
  </si>
  <si>
    <t>1.1.508.22</t>
  </si>
  <si>
    <t>1.1.508.23</t>
  </si>
  <si>
    <t>1.1.508.24</t>
  </si>
  <si>
    <t>1.1.508.25</t>
  </si>
  <si>
    <t>1.1.508.26</t>
  </si>
  <si>
    <t>1.1.508.27</t>
  </si>
  <si>
    <t>1.1.508.28</t>
  </si>
  <si>
    <t>1.1.508.29</t>
  </si>
  <si>
    <t>1.1.508.30</t>
  </si>
  <si>
    <t>1.1.508.31</t>
  </si>
  <si>
    <t>1.1.508.32</t>
  </si>
  <si>
    <t>1.1.508.33</t>
  </si>
  <si>
    <t>1.1.508.34</t>
  </si>
  <si>
    <t>1.1.508.35</t>
  </si>
  <si>
    <t>1.1.508.36</t>
  </si>
  <si>
    <t>1.1.508.37</t>
  </si>
  <si>
    <t>1.1.508.38</t>
  </si>
  <si>
    <t>1.1.508.39</t>
  </si>
  <si>
    <t>1.1.508.40</t>
  </si>
  <si>
    <t>1.1.508.41</t>
  </si>
  <si>
    <t>1.1.508.42</t>
  </si>
  <si>
    <t>1.1.508.43</t>
  </si>
  <si>
    <t>1.1.508.44</t>
  </si>
  <si>
    <t>1.1.508.45</t>
  </si>
  <si>
    <t>1.1.508.46</t>
  </si>
  <si>
    <t>1.1.508.47</t>
  </si>
  <si>
    <t>1.1.508.48</t>
  </si>
  <si>
    <t>1.1.508.49</t>
  </si>
  <si>
    <t>1.1.508.50</t>
  </si>
  <si>
    <t>1.1.508.51</t>
  </si>
  <si>
    <t>1.1.508.52</t>
  </si>
  <si>
    <t>1.1.508.53</t>
  </si>
  <si>
    <t>1.1.508.54</t>
  </si>
  <si>
    <t>1.1.508.55</t>
  </si>
  <si>
    <t>1.1.508.56</t>
  </si>
  <si>
    <t>1.1.508.57</t>
  </si>
  <si>
    <t>1.1.515.1</t>
  </si>
  <si>
    <t>1.1.515.2</t>
  </si>
  <si>
    <t>1.1.530.1</t>
  </si>
  <si>
    <t>1.1.530.2</t>
  </si>
  <si>
    <t>1.1.539.3</t>
  </si>
  <si>
    <t>1.1.542.</t>
  </si>
  <si>
    <t>1.1.542.4</t>
  </si>
  <si>
    <t>1.1.542.5</t>
  </si>
  <si>
    <t>1.1.543.1</t>
  </si>
  <si>
    <t>1.1.543.2</t>
  </si>
  <si>
    <t>1.1.544.3</t>
  </si>
  <si>
    <t>1.1.552.2</t>
  </si>
  <si>
    <t>1.1.556.5</t>
  </si>
  <si>
    <t>1.1.556.6</t>
  </si>
  <si>
    <t>1.1.556.7</t>
  </si>
  <si>
    <t>1.1.556.8</t>
  </si>
  <si>
    <t>1.1.556.10</t>
  </si>
  <si>
    <t>1.1.556.11</t>
  </si>
  <si>
    <t>1.1.556.12</t>
  </si>
  <si>
    <t>1.1.556.13</t>
  </si>
  <si>
    <t>1.1.556.14</t>
  </si>
  <si>
    <t>1.1.556.16</t>
  </si>
  <si>
    <t>1.1.556.18</t>
  </si>
  <si>
    <t>1.1.556.19</t>
  </si>
  <si>
    <t>1.1.556.21</t>
  </si>
  <si>
    <t>1.1.556.22</t>
  </si>
  <si>
    <t>1.1.556.23</t>
  </si>
  <si>
    <t>1.1.556.24</t>
  </si>
  <si>
    <t>1.1.561.2</t>
  </si>
  <si>
    <t>1.1.567.4</t>
  </si>
  <si>
    <t>1.1.582.1</t>
  </si>
  <si>
    <t>1.1.582.2</t>
  </si>
  <si>
    <t>1.1.582.4</t>
  </si>
  <si>
    <t>1.1.592.3</t>
  </si>
  <si>
    <t>1.1.592.4</t>
  </si>
  <si>
    <t>1.1.593.5</t>
  </si>
  <si>
    <t>1.1.602.1</t>
  </si>
  <si>
    <t>1.1.602.2</t>
  </si>
  <si>
    <t>1.1.602.3</t>
  </si>
  <si>
    <t>1.1.603.1</t>
  </si>
  <si>
    <t>1.1.603.2</t>
  </si>
  <si>
    <t>1.1.603.3</t>
  </si>
  <si>
    <t>1.1.603.4</t>
  </si>
  <si>
    <t>1.1.606</t>
  </si>
  <si>
    <t>1.1.608</t>
  </si>
  <si>
    <t>1.1.610</t>
  </si>
  <si>
    <t>1.1.610.1</t>
  </si>
  <si>
    <t>1.1.615.2</t>
  </si>
  <si>
    <t xml:space="preserve">1.1.624.  </t>
  </si>
  <si>
    <t>1.1.610.2</t>
  </si>
  <si>
    <t>1.1.638.2</t>
  </si>
  <si>
    <t>1.1.647.1</t>
  </si>
  <si>
    <t>1.1.647.2</t>
  </si>
  <si>
    <t>1.1.686.</t>
  </si>
  <si>
    <t>1.1.708.1</t>
  </si>
  <si>
    <t>1.1.708.5</t>
  </si>
  <si>
    <t>1.1.710.5</t>
  </si>
  <si>
    <t>1.1.710.6</t>
  </si>
  <si>
    <t>1.1.714.1</t>
  </si>
  <si>
    <t>1.1.714.2</t>
  </si>
  <si>
    <t>1.1.718.4</t>
  </si>
  <si>
    <t>1.1.718.6</t>
  </si>
  <si>
    <t>1.1.718.7</t>
  </si>
  <si>
    <t>1.1.718.9</t>
  </si>
  <si>
    <t>1.1.718.10</t>
  </si>
  <si>
    <t>1.1.718.11</t>
  </si>
  <si>
    <t>1.1.718.12</t>
  </si>
  <si>
    <t>1.1.751.</t>
  </si>
  <si>
    <t>1.1.751.9</t>
  </si>
  <si>
    <t>1.1.755.</t>
  </si>
  <si>
    <t>1.1.755.3</t>
  </si>
  <si>
    <t>1.1.756.</t>
  </si>
  <si>
    <t>1.1.763.3</t>
  </si>
  <si>
    <t>1.1.763.5</t>
  </si>
  <si>
    <t>1.1.766.9</t>
  </si>
  <si>
    <t>1.1.766.40</t>
  </si>
  <si>
    <t>1.1.766.63</t>
  </si>
  <si>
    <t>1.1.772</t>
  </si>
  <si>
    <t>1.1.775.</t>
  </si>
  <si>
    <t>1.1.780.5</t>
  </si>
  <si>
    <t>1.1.780.8</t>
  </si>
  <si>
    <t>1.1.780.9</t>
  </si>
  <si>
    <t>1.1.780.11</t>
  </si>
  <si>
    <t>1.1.780.19</t>
  </si>
  <si>
    <t>1.1.781.5</t>
  </si>
  <si>
    <t>1.1.781.6</t>
  </si>
  <si>
    <t>1.1.781.13</t>
  </si>
  <si>
    <t>1.1.781.14</t>
  </si>
  <si>
    <t>1.1.783.23</t>
  </si>
  <si>
    <t>1.1.783.38</t>
  </si>
  <si>
    <t>1.1.783.39</t>
  </si>
  <si>
    <t>1.1.787.3</t>
  </si>
  <si>
    <t>1.1.787.7</t>
  </si>
  <si>
    <t>1.1.787.10</t>
  </si>
  <si>
    <t>1.1.787.16</t>
  </si>
  <si>
    <t>1.1.788.</t>
  </si>
  <si>
    <t>1.1.790.</t>
  </si>
  <si>
    <t>1.1.790.1</t>
  </si>
  <si>
    <t>1.1.791.46</t>
  </si>
  <si>
    <t>1.1.791.61</t>
  </si>
  <si>
    <t>1.1.792.27</t>
  </si>
  <si>
    <t>1.1.792.36</t>
  </si>
  <si>
    <t>1.1.799.3</t>
  </si>
  <si>
    <t>1.1.800.2</t>
  </si>
  <si>
    <t>1.1.800.3</t>
  </si>
  <si>
    <t>1.1.801.2</t>
  </si>
  <si>
    <t>1.1.809.5</t>
  </si>
  <si>
    <t>1.1.809.7</t>
  </si>
  <si>
    <t>1.1.809.18</t>
  </si>
  <si>
    <t>1.1.810.13</t>
  </si>
  <si>
    <t>1.1.67.2</t>
  </si>
  <si>
    <t>1.1.68.1</t>
  </si>
  <si>
    <t>1.5.</t>
  </si>
  <si>
    <t>1.5.1</t>
  </si>
  <si>
    <t>1.5.3</t>
  </si>
  <si>
    <t>1.5.4</t>
  </si>
  <si>
    <t>1.5.5</t>
  </si>
  <si>
    <t>1.5.6</t>
  </si>
  <si>
    <t>1.5.8</t>
  </si>
  <si>
    <t>1.5.9</t>
  </si>
  <si>
    <t>1.5.10</t>
  </si>
  <si>
    <t>1.5.11</t>
  </si>
  <si>
    <t>1.5.15</t>
  </si>
  <si>
    <t>1.5.16</t>
  </si>
  <si>
    <t>1.5.17</t>
  </si>
  <si>
    <t>1.5.18</t>
  </si>
  <si>
    <t>1.5.19</t>
  </si>
  <si>
    <t>1.5.20</t>
  </si>
  <si>
    <t>1.5.21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</si>
  <si>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</si>
  <si>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</si>
  <si>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</si>
  <si>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</si>
  <si>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</si>
  <si>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</si>
  <si>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</si>
  <si>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</si>
  <si>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</si>
  <si>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</si>
  <si>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</si>
  <si>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</si>
  <si>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</si>
  <si>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</si>
  <si>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</si>
  <si>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</si>
  <si>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</si>
  <si>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</si>
  <si>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</si>
  <si>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</si>
  <si>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</si>
  <si>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</si>
  <si>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</si>
  <si>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</si>
  <si>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</si>
  <si>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</si>
  <si>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</si>
  <si>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</si>
  <si>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</si>
  <si>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</si>
  <si>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</si>
  <si>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</si>
  <si>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</si>
  <si>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</si>
  <si>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</si>
  <si>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</si>
  <si>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1.5.59</t>
  </si>
  <si>
    <t>1.5.60</t>
  </si>
  <si>
    <t>1.5.61</t>
  </si>
  <si>
    <t>1.5.62</t>
  </si>
  <si>
    <t>1.5.63</t>
  </si>
  <si>
    <t>1.5.64</t>
  </si>
  <si>
    <t>1.5.65</t>
  </si>
  <si>
    <t>1.5.66</t>
  </si>
  <si>
    <t>1.5.67</t>
  </si>
  <si>
    <t>1.5.68</t>
  </si>
  <si>
    <t>1.5.69</t>
  </si>
  <si>
    <t>1.5.70</t>
  </si>
  <si>
    <t>1.5.71</t>
  </si>
  <si>
    <t>1.5.76</t>
  </si>
  <si>
    <t>1.5.77</t>
  </si>
  <si>
    <t>1.5.78</t>
  </si>
  <si>
    <t>1.5.79</t>
  </si>
  <si>
    <t>1.5.80</t>
  </si>
  <si>
    <t>1.5.84</t>
  </si>
  <si>
    <t>1.5.87</t>
  </si>
  <si>
    <t>1.5.89</t>
  </si>
  <si>
    <t>1.5.90</t>
  </si>
  <si>
    <t>1.5.100</t>
  </si>
  <si>
    <t>1.5.111</t>
  </si>
  <si>
    <t>1.5.113</t>
  </si>
  <si>
    <t>1.5.116</t>
  </si>
  <si>
    <t>1.5.117</t>
  </si>
  <si>
    <t>1.5.118</t>
  </si>
  <si>
    <t>1.5.119</t>
  </si>
  <si>
    <t>1.5.122</t>
  </si>
  <si>
    <t>1.5.123</t>
  </si>
  <si>
    <t>1.5.124</t>
  </si>
  <si>
    <t>1.5.125</t>
  </si>
  <si>
    <t>1.5.126</t>
  </si>
  <si>
    <t>1.5.127</t>
  </si>
  <si>
    <t>1.5.128</t>
  </si>
  <si>
    <t>1.5.130</t>
  </si>
  <si>
    <t>1.5.131</t>
  </si>
  <si>
    <t>1.5.132</t>
  </si>
  <si>
    <t>1.5.134</t>
  </si>
  <si>
    <t>1.5.139</t>
  </si>
  <si>
    <t>1.5.140</t>
  </si>
  <si>
    <t>1.5.141</t>
  </si>
  <si>
    <t>1.5.143</t>
  </si>
  <si>
    <t>1.5.146</t>
  </si>
  <si>
    <t>1.5.147</t>
  </si>
  <si>
    <t>1.5.148</t>
  </si>
  <si>
    <t>1.5.149</t>
  </si>
  <si>
    <t>1.5.150</t>
  </si>
  <si>
    <t>1.5.151</t>
  </si>
  <si>
    <t>1.5.152</t>
  </si>
  <si>
    <t>1.5.153</t>
  </si>
  <si>
    <t>1.5.154</t>
  </si>
  <si>
    <t>1.5.155</t>
  </si>
  <si>
    <t>1.5.156</t>
  </si>
  <si>
    <t>1.5.157</t>
  </si>
  <si>
    <t>1.5.158</t>
  </si>
  <si>
    <t>1.5.159</t>
  </si>
  <si>
    <t>1.5.161</t>
  </si>
  <si>
    <t>1.5.162</t>
  </si>
  <si>
    <t>1.5.173</t>
  </si>
  <si>
    <t>1.5.174</t>
  </si>
  <si>
    <t>1.5.175</t>
  </si>
  <si>
    <t>1.5.177</t>
  </si>
  <si>
    <t>1.5.180</t>
  </si>
  <si>
    <t>1.5.181</t>
  </si>
  <si>
    <t>1.5.183</t>
  </si>
  <si>
    <t>1.5.184</t>
  </si>
  <si>
    <t>1.5.185</t>
  </si>
  <si>
    <t>1.5.186</t>
  </si>
  <si>
    <t>1.5.187</t>
  </si>
  <si>
    <t>1.5.188</t>
  </si>
  <si>
    <t>1.5.189</t>
  </si>
  <si>
    <t>1.5.192</t>
  </si>
  <si>
    <t>1.5.199</t>
  </si>
  <si>
    <t>1.5.200</t>
  </si>
  <si>
    <t>1.5.201</t>
  </si>
  <si>
    <t>1.5.202</t>
  </si>
  <si>
    <t>1.5.205</t>
  </si>
  <si>
    <t>1.5.206</t>
  </si>
  <si>
    <t>1.5.207</t>
  </si>
  <si>
    <t>1.5.208</t>
  </si>
  <si>
    <t>1.5.209</t>
  </si>
  <si>
    <t>1.5.210</t>
  </si>
  <si>
    <t>1.5.211</t>
  </si>
  <si>
    <t>1.5.212</t>
  </si>
  <si>
    <t>1.5.213</t>
  </si>
  <si>
    <t>1.5.214</t>
  </si>
  <si>
    <t>1.5.297</t>
  </si>
  <si>
    <t>1.5.301</t>
  </si>
  <si>
    <t>1.5.302</t>
  </si>
  <si>
    <t>1.5.304</t>
  </si>
  <si>
    <t>1.5.306</t>
  </si>
  <si>
    <t>1.5.307</t>
  </si>
  <si>
    <t>1.5.308</t>
  </si>
  <si>
    <t>1.5.309</t>
  </si>
  <si>
    <t>1.5.310</t>
  </si>
  <si>
    <t>1.5.317</t>
  </si>
  <si>
    <t>1.5.319</t>
  </si>
  <si>
    <t>1.5.320</t>
  </si>
  <si>
    <t>1.5.321</t>
  </si>
  <si>
    <t>1.5.323</t>
  </si>
  <si>
    <t>1.5.324</t>
  </si>
  <si>
    <t>1.5.325</t>
  </si>
  <si>
    <t>1.5.326</t>
  </si>
  <si>
    <t>1.5.328</t>
  </si>
  <si>
    <t>1.5.329</t>
  </si>
  <si>
    <t>1.5.331</t>
  </si>
  <si>
    <t>1.5.332</t>
  </si>
  <si>
    <t>1.5.333</t>
  </si>
  <si>
    <t>1.5.334</t>
  </si>
  <si>
    <t>1.5.335</t>
  </si>
  <si>
    <t>1.5.336</t>
  </si>
  <si>
    <t>1.5.338</t>
  </si>
  <si>
    <t>1.5.340</t>
  </si>
  <si>
    <t>1.5.341</t>
  </si>
  <si>
    <t>1.5.342</t>
  </si>
  <si>
    <t>1.5.343</t>
  </si>
  <si>
    <t>1.5.346</t>
  </si>
  <si>
    <t>1.5.354</t>
  </si>
  <si>
    <t>1.5.355</t>
  </si>
  <si>
    <t>1.5.361</t>
  </si>
  <si>
    <t>1.5.365</t>
  </si>
  <si>
    <t>1.5.381</t>
  </si>
  <si>
    <t>1.5.382</t>
  </si>
  <si>
    <t>1.5.383</t>
  </si>
  <si>
    <t>1.5.384</t>
  </si>
  <si>
    <t>1.5.387</t>
  </si>
  <si>
    <t>1.5.389</t>
  </si>
  <si>
    <t>1.5.390</t>
  </si>
  <si>
    <t>1.5.391</t>
  </si>
  <si>
    <t>ОТДЕЛЬНО СТОЯЩИЕ СООРУЖЕНИЯ</t>
  </si>
  <si>
    <t>1.5.314</t>
  </si>
  <si>
    <t>1.5.316</t>
  </si>
  <si>
    <t>1.5.318</t>
  </si>
  <si>
    <t>1.5.330</t>
  </si>
  <si>
    <t>1.5.392</t>
  </si>
  <si>
    <t>1.5.393</t>
  </si>
  <si>
    <t>1.5.394</t>
  </si>
  <si>
    <t>1.5.395</t>
  </si>
  <si>
    <t>1.5.397</t>
  </si>
  <si>
    <t>1.5.400</t>
  </si>
  <si>
    <t>1.5.404</t>
  </si>
  <si>
    <t>1.5.405</t>
  </si>
  <si>
    <t>1.5.407</t>
  </si>
  <si>
    <t>1.5.408</t>
  </si>
  <si>
    <t xml:space="preserve">железобетон </t>
  </si>
  <si>
    <t>асфальт</t>
  </si>
  <si>
    <t xml:space="preserve"> металл</t>
  </si>
  <si>
    <t>железобетон</t>
  </si>
  <si>
    <t xml:space="preserve">сталь </t>
  </si>
  <si>
    <t xml:space="preserve"> сталь</t>
  </si>
  <si>
    <t xml:space="preserve"> сталь </t>
  </si>
  <si>
    <t>протяж. 140 м.</t>
  </si>
  <si>
    <t>Здание детского отделения</t>
  </si>
  <si>
    <t>Здание склада материалов</t>
  </si>
  <si>
    <t>Здание гаража УТВ</t>
  </si>
  <si>
    <t>Здание гаража на 5 боксов</t>
  </si>
  <si>
    <t>Здание хлебозавода</t>
  </si>
  <si>
    <t>Здание склада</t>
  </si>
  <si>
    <t>Здание квашпункта</t>
  </si>
  <si>
    <t>Здание овощехранилища</t>
  </si>
  <si>
    <t>Здание котельной</t>
  </si>
  <si>
    <t>Здание бывшей обсерватории</t>
  </si>
  <si>
    <t>Павильон "Уралочка"</t>
  </si>
  <si>
    <t>Здание электростанции</t>
  </si>
  <si>
    <t>Здание бани</t>
  </si>
  <si>
    <t>Здание штаба</t>
  </si>
  <si>
    <t>Здание пожарного депо</t>
  </si>
  <si>
    <t>Здание гаража, конторы</t>
  </si>
  <si>
    <t>Здание трансформаторной подстанции</t>
  </si>
  <si>
    <t>Трансформаторная подстанция ТП-6/0,4 кВ на очистных сооружениях</t>
  </si>
  <si>
    <t>Здание трансформаторной подстанции 110/35/6кВ</t>
  </si>
  <si>
    <t>Финишный домик</t>
  </si>
  <si>
    <t>1.2.3</t>
  </si>
  <si>
    <t>1.2.13.2</t>
  </si>
  <si>
    <t>1.2.15</t>
  </si>
  <si>
    <t>1.2.16</t>
  </si>
  <si>
    <t>1.2.17</t>
  </si>
  <si>
    <t>1.2.18</t>
  </si>
  <si>
    <t>1.2.19</t>
  </si>
  <si>
    <t>1.2.20</t>
  </si>
  <si>
    <t>1.2.22</t>
  </si>
  <si>
    <t>1.2.23</t>
  </si>
  <si>
    <t>1.2.24</t>
  </si>
  <si>
    <t>1.2.25</t>
  </si>
  <si>
    <t>Отдельно стоящее нежилое здание школы бокса</t>
  </si>
  <si>
    <t>1.2.27</t>
  </si>
  <si>
    <t>1.2.28</t>
  </si>
  <si>
    <t>1.2.29</t>
  </si>
  <si>
    <t>1.2.30</t>
  </si>
  <si>
    <t>1.2.31</t>
  </si>
  <si>
    <t>1.2.32</t>
  </si>
  <si>
    <t>1.2.33</t>
  </si>
  <si>
    <t>Пристрой к мастерской</t>
  </si>
  <si>
    <t>1.2.35</t>
  </si>
  <si>
    <t>1.2.36</t>
  </si>
  <si>
    <t>1.2.38</t>
  </si>
  <si>
    <t>1.2.39</t>
  </si>
  <si>
    <t>1.2.40</t>
  </si>
  <si>
    <t>1.2.42</t>
  </si>
  <si>
    <t>1.2.43.1</t>
  </si>
  <si>
    <t>1.2.45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</si>
  <si>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</si>
  <si>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</si>
  <si>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</si>
  <si>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</si>
  <si>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</si>
  <si>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</si>
  <si>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</si>
  <si>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</si>
  <si>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</si>
  <si>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</si>
  <si>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1.3.2</t>
  </si>
  <si>
    <t>1.3.6</t>
  </si>
  <si>
    <t>1.3.7</t>
  </si>
  <si>
    <t>1.3.9</t>
  </si>
  <si>
    <t>1.3.10</t>
  </si>
  <si>
    <t>1.3.11</t>
  </si>
  <si>
    <t>1.3.13</t>
  </si>
  <si>
    <t>1.3.14</t>
  </si>
  <si>
    <t>1.3.17</t>
  </si>
  <si>
    <t>1.3.18</t>
  </si>
  <si>
    <t>1.3.21</t>
  </si>
  <si>
    <t>1.3.22</t>
  </si>
  <si>
    <t>1.3.23</t>
  </si>
  <si>
    <t>1.3.24</t>
  </si>
  <si>
    <t>1.3.25</t>
  </si>
  <si>
    <t>1.3.28</t>
  </si>
  <si>
    <t>1.3.30</t>
  </si>
  <si>
    <t>1.3.33</t>
  </si>
  <si>
    <t>1.3.40</t>
  </si>
  <si>
    <t>1.3.42</t>
  </si>
  <si>
    <t>1.3.43</t>
  </si>
  <si>
    <t>1.3.45</t>
  </si>
  <si>
    <t>1.3.46</t>
  </si>
  <si>
    <t>1.3.47</t>
  </si>
  <si>
    <t>1.3.48</t>
  </si>
  <si>
    <t>1.3.50</t>
  </si>
  <si>
    <t>1.3.52</t>
  </si>
  <si>
    <t>1.3.60</t>
  </si>
  <si>
    <t>1.3.62</t>
  </si>
  <si>
    <t>1.3.65</t>
  </si>
  <si>
    <t>1.3.66</t>
  </si>
  <si>
    <t>1.3.67</t>
  </si>
  <si>
    <t>1.3.69</t>
  </si>
  <si>
    <t>1.3.70</t>
  </si>
  <si>
    <t>1.3.71</t>
  </si>
  <si>
    <t>1.3.73</t>
  </si>
  <si>
    <t>1.3.74</t>
  </si>
  <si>
    <t>1.3.75</t>
  </si>
  <si>
    <t>1.3.76</t>
  </si>
  <si>
    <t>1.3.78</t>
  </si>
  <si>
    <t>1.3.79</t>
  </si>
  <si>
    <t>1.3.80</t>
  </si>
  <si>
    <t>1.3.81</t>
  </si>
  <si>
    <t>1.3.82</t>
  </si>
  <si>
    <t>1.3.83</t>
  </si>
  <si>
    <t>1.3.84</t>
  </si>
  <si>
    <t>1.3.85</t>
  </si>
  <si>
    <t>1.3.90</t>
  </si>
  <si>
    <t>1.3.91</t>
  </si>
  <si>
    <t>1.3.92</t>
  </si>
  <si>
    <t>1.3.94</t>
  </si>
  <si>
    <t>1.3.95</t>
  </si>
  <si>
    <t>1.3.96</t>
  </si>
  <si>
    <t>1.3.97</t>
  </si>
  <si>
    <t>1.3.99</t>
  </si>
  <si>
    <t>1.3.102</t>
  </si>
  <si>
    <t>1.3.104</t>
  </si>
  <si>
    <t>1.3.106</t>
  </si>
  <si>
    <t>1.3.108</t>
  </si>
  <si>
    <t>1.3.109</t>
  </si>
  <si>
    <t>1.3.113</t>
  </si>
  <si>
    <t>1.3.114</t>
  </si>
  <si>
    <t>1.3.115</t>
  </si>
  <si>
    <t>1.3.117</t>
  </si>
  <si>
    <t>1.3.121</t>
  </si>
  <si>
    <t>1.3.122</t>
  </si>
  <si>
    <t>1.3.124</t>
  </si>
  <si>
    <t>1.3.125</t>
  </si>
  <si>
    <t>1.3.126</t>
  </si>
  <si>
    <t>1.3.128</t>
  </si>
  <si>
    <t>1.3.130</t>
  </si>
  <si>
    <t>1.3.136</t>
  </si>
  <si>
    <t>1.3.138</t>
  </si>
  <si>
    <t>1.3.139</t>
  </si>
  <si>
    <t>1.3.155</t>
  </si>
  <si>
    <t>1.3.156</t>
  </si>
  <si>
    <t>1.3.157</t>
  </si>
  <si>
    <t>1.3.159</t>
  </si>
  <si>
    <t>1.3.161</t>
  </si>
  <si>
    <t>1.3.162</t>
  </si>
  <si>
    <t>1.3.173</t>
  </si>
  <si>
    <t>1.3.174</t>
  </si>
  <si>
    <t>1.3.176</t>
  </si>
  <si>
    <t>1.3.178</t>
  </si>
  <si>
    <t>1.3.183</t>
  </si>
  <si>
    <t>1.3.184</t>
  </si>
  <si>
    <t>1.3.185</t>
  </si>
  <si>
    <t>1.3.186</t>
  </si>
  <si>
    <t>1.3.190</t>
  </si>
  <si>
    <t>1.3.191</t>
  </si>
  <si>
    <t>1.3.192</t>
  </si>
  <si>
    <t>1.3.194</t>
  </si>
  <si>
    <t>1.3.195</t>
  </si>
  <si>
    <t>1.3.196</t>
  </si>
  <si>
    <t>1.3.202</t>
  </si>
  <si>
    <t>1.3.208</t>
  </si>
  <si>
    <t>1.3.209</t>
  </si>
  <si>
    <t>1.3.211</t>
  </si>
  <si>
    <t>1.3.212</t>
  </si>
  <si>
    <t>1.3.213</t>
  </si>
  <si>
    <t xml:space="preserve">первый этаж, отделение почтамта </t>
  </si>
  <si>
    <t xml:space="preserve"> протяж.10000 м., Ф 75, 150, 159х4,5</t>
  </si>
  <si>
    <t xml:space="preserve"> чугун</t>
  </si>
  <si>
    <t>покрытие-асфальт</t>
  </si>
  <si>
    <t>кирпичная</t>
  </si>
  <si>
    <t>бетон</t>
  </si>
  <si>
    <t>ж/б</t>
  </si>
  <si>
    <t>чугун</t>
  </si>
  <si>
    <t>1.5.13</t>
  </si>
  <si>
    <t>1.5.14</t>
  </si>
  <si>
    <t>1.5.74</t>
  </si>
  <si>
    <t>1.5.75</t>
  </si>
  <si>
    <t>1.5.81</t>
  </si>
  <si>
    <t>1.5.82</t>
  </si>
  <si>
    <t>1.5.83</t>
  </si>
  <si>
    <t>1.5.91</t>
  </si>
  <si>
    <t>1.5.92</t>
  </si>
  <si>
    <t>1.5.93</t>
  </si>
  <si>
    <t>протяж.12 км.</t>
  </si>
  <si>
    <t>1.5.110</t>
  </si>
  <si>
    <t>1.5.114</t>
  </si>
  <si>
    <t>1.5.115</t>
  </si>
  <si>
    <t>1.5.120</t>
  </si>
  <si>
    <t>1.5.121</t>
  </si>
  <si>
    <t>1.5.129</t>
  </si>
  <si>
    <t>1.5.136</t>
  </si>
  <si>
    <t xml:space="preserve">металл. конструкция </t>
  </si>
  <si>
    <t xml:space="preserve"> высотой 20 м.</t>
  </si>
  <si>
    <t>1.5.160</t>
  </si>
  <si>
    <t>фундамент-ж/б балки, покрытие-пиломатериал</t>
  </si>
  <si>
    <t>1.5.191</t>
  </si>
  <si>
    <t>1.5.311</t>
  </si>
  <si>
    <t>1.5.313</t>
  </si>
  <si>
    <t>1.5.327</t>
  </si>
  <si>
    <t>1.5.348</t>
  </si>
  <si>
    <t>1.5.350</t>
  </si>
  <si>
    <t xml:space="preserve"> сталь, чугун, асбестоцемент</t>
  </si>
  <si>
    <t xml:space="preserve"> протяж .228 м</t>
  </si>
  <si>
    <t>площ.71,5 кв.м., длина 65м., ширина 1,1м.</t>
  </si>
  <si>
    <t>металлоконструкция</t>
  </si>
  <si>
    <t>ж/б опоры</t>
  </si>
  <si>
    <t>протяж. 8779м</t>
  </si>
  <si>
    <t>керамич.чугун</t>
  </si>
  <si>
    <t xml:space="preserve"> чугун, асбестоцементные, керамические</t>
  </si>
  <si>
    <t>1.5.72</t>
  </si>
  <si>
    <t>1.5.85</t>
  </si>
  <si>
    <t>1.5.12</t>
  </si>
  <si>
    <t>1.5.98</t>
  </si>
  <si>
    <t>1.5.176</t>
  </si>
  <si>
    <t>1.5.179</t>
  </si>
  <si>
    <t>1.5.296</t>
  </si>
  <si>
    <t>1.5.298</t>
  </si>
  <si>
    <t>1.5.312</t>
  </si>
  <si>
    <t>1.5.337</t>
  </si>
  <si>
    <t>1.5.182</t>
  </si>
  <si>
    <t>1.5.299</t>
  </si>
  <si>
    <t>1.5.303</t>
  </si>
  <si>
    <t>1.5.315</t>
  </si>
  <si>
    <t>протяж.3706 м.</t>
  </si>
  <si>
    <t>протяж. 750м</t>
  </si>
  <si>
    <t>протяж.1400м</t>
  </si>
  <si>
    <t>асфал</t>
  </si>
  <si>
    <t>протяж. 650м</t>
  </si>
  <si>
    <t xml:space="preserve"> протяж. 2500м</t>
  </si>
  <si>
    <t>3700 кв.м.</t>
  </si>
  <si>
    <t xml:space="preserve"> сталь, чугун</t>
  </si>
  <si>
    <t>полиэтилен</t>
  </si>
  <si>
    <t>покрытие-металлоконструкция, дерево</t>
  </si>
  <si>
    <t>1.2.60</t>
  </si>
  <si>
    <t>1.2.61</t>
  </si>
  <si>
    <t>1.2.62</t>
  </si>
  <si>
    <t>1.2.63</t>
  </si>
  <si>
    <t>1.2.65</t>
  </si>
  <si>
    <t>1.2.66</t>
  </si>
  <si>
    <t>1.2.68</t>
  </si>
  <si>
    <t>1.2.69</t>
  </si>
  <si>
    <t>1.2.70</t>
  </si>
  <si>
    <t>1.2.71</t>
  </si>
  <si>
    <t>1.2.72</t>
  </si>
  <si>
    <t>1.2.73</t>
  </si>
  <si>
    <t>1.5.86</t>
  </si>
  <si>
    <t>1.5.99</t>
  </si>
  <si>
    <t>1.5.410</t>
  </si>
  <si>
    <t>1.5.411</t>
  </si>
  <si>
    <t>1.5.412</t>
  </si>
  <si>
    <t>1.5.413</t>
  </si>
  <si>
    <t>1.5.414</t>
  </si>
  <si>
    <t>1.5.444</t>
  </si>
  <si>
    <t>1.5.445</t>
  </si>
  <si>
    <t>1.5.446</t>
  </si>
  <si>
    <t>1.5.447</t>
  </si>
  <si>
    <t>1.5.448</t>
  </si>
  <si>
    <t>1.5.449</t>
  </si>
  <si>
    <t>1.5.450</t>
  </si>
  <si>
    <t>1.5.451</t>
  </si>
  <si>
    <t>1.5.452</t>
  </si>
  <si>
    <t>1.5.453</t>
  </si>
  <si>
    <t>1.5.454</t>
  </si>
  <si>
    <t>1.5.455</t>
  </si>
  <si>
    <t>1.5.459</t>
  </si>
  <si>
    <t>металл</t>
  </si>
  <si>
    <t>кирпичное</t>
  </si>
  <si>
    <t xml:space="preserve"> металлическое</t>
  </si>
  <si>
    <t>1-но этажное металлическое</t>
  </si>
  <si>
    <t>4-х этажное кирпичное</t>
  </si>
  <si>
    <t xml:space="preserve">1-но этажное </t>
  </si>
  <si>
    <t>2-х этажное,ж/б плиты</t>
  </si>
  <si>
    <t>1-но этажное , кирпичное</t>
  </si>
  <si>
    <t>1-но этажное</t>
  </si>
  <si>
    <t>1-но этажное, ж/б блоки</t>
  </si>
  <si>
    <t xml:space="preserve">1-но этажное, металлическое </t>
  </si>
  <si>
    <t>1-но этажное,  кирпичое и бетонные блоки</t>
  </si>
  <si>
    <t>Пристроенный склад</t>
  </si>
  <si>
    <t xml:space="preserve">металлический </t>
  </si>
  <si>
    <t>Здание холодного склада</t>
  </si>
  <si>
    <t>1-но этажное , фундамент-бетон, стены-кирпич и ж/б блоки</t>
  </si>
  <si>
    <t>2-х этажное , кирпичное</t>
  </si>
  <si>
    <t>1-но этажное, брус</t>
  </si>
  <si>
    <t>1-но этажное, бревенчатое</t>
  </si>
  <si>
    <t xml:space="preserve">ограда </t>
  </si>
  <si>
    <t>металлическая</t>
  </si>
  <si>
    <t>Здание продовольственного склада</t>
  </si>
  <si>
    <t xml:space="preserve">металлическая </t>
  </si>
  <si>
    <t>300 п.м.</t>
  </si>
  <si>
    <t>124 п.м.</t>
  </si>
  <si>
    <t>1-но этажное (с подвалом), ж/б блоки</t>
  </si>
  <si>
    <t>1-но этажное , ж/б блоки</t>
  </si>
  <si>
    <t>1-но этажное, кирпичное и  бревенчатое</t>
  </si>
  <si>
    <t>1-но этажное, шлакоблоки</t>
  </si>
  <si>
    <t xml:space="preserve">Встроенное нежилое помещение </t>
  </si>
  <si>
    <t>Пристройка к школе № 15</t>
  </si>
  <si>
    <t>Административное здание управления</t>
  </si>
  <si>
    <t>Вагончик контейнерного типа</t>
  </si>
  <si>
    <t xml:space="preserve"> металлич.каркас</t>
  </si>
  <si>
    <t>Ячейка модульная</t>
  </si>
  <si>
    <t xml:space="preserve"> 2-х этажное, кирпичное</t>
  </si>
  <si>
    <t>3-х этажное , кирпичное</t>
  </si>
  <si>
    <t xml:space="preserve">2-х этажное, кирпичное </t>
  </si>
  <si>
    <t>1-но этажное , брус</t>
  </si>
  <si>
    <t xml:space="preserve">Здание ангара </t>
  </si>
  <si>
    <t>металлическое</t>
  </si>
  <si>
    <t xml:space="preserve">Здание гаража </t>
  </si>
  <si>
    <t>Здание диспетчерской службы</t>
  </si>
  <si>
    <t>Здание раздевалки</t>
  </si>
  <si>
    <t xml:space="preserve"> металлический </t>
  </si>
  <si>
    <t>Склад</t>
  </si>
  <si>
    <t>1.2.22.1</t>
  </si>
  <si>
    <t>1.2.25.1</t>
  </si>
  <si>
    <t>1.2.25.2</t>
  </si>
  <si>
    <t>1.2.26</t>
  </si>
  <si>
    <t>1.2.40.1</t>
  </si>
  <si>
    <t>1.2.41</t>
  </si>
  <si>
    <t>1.2.42.1</t>
  </si>
  <si>
    <t>1.2.43</t>
  </si>
  <si>
    <t>1.2.43.2</t>
  </si>
  <si>
    <t>1.2.43.3</t>
  </si>
  <si>
    <t>1.2.44</t>
  </si>
  <si>
    <t>1-но этажное , металлические</t>
  </si>
  <si>
    <t xml:space="preserve">1-но этажное , ж/б блоки </t>
  </si>
  <si>
    <t>Пристройка к зданию пилорамы</t>
  </si>
  <si>
    <t>1-но этажное , шлакоблоки, кирпич</t>
  </si>
  <si>
    <t>Административное здание территориального Управления</t>
  </si>
  <si>
    <t xml:space="preserve">3-х этажное, кирпич, ж/б плиты </t>
  </si>
  <si>
    <t>1-но этажное с подвалом , кирпич</t>
  </si>
  <si>
    <t>ж/бетонные плиты, шифер</t>
  </si>
  <si>
    <t xml:space="preserve"> бетон</t>
  </si>
  <si>
    <t>1-но этажное , кирпич</t>
  </si>
  <si>
    <t>1-но этажное , кирпич, дерево</t>
  </si>
  <si>
    <t>Здание котельной очистных сооружений</t>
  </si>
  <si>
    <t>1-но этажное , ж/бетонные блоки</t>
  </si>
  <si>
    <t>Здание насосно-фильтровальной станции на очистных сооружениях</t>
  </si>
  <si>
    <t>Здание фекальной насосной станции на очистных сооружениях</t>
  </si>
  <si>
    <t>1-но этажное, деревянное</t>
  </si>
  <si>
    <t xml:space="preserve"> Здание локальной энергоустановки</t>
  </si>
  <si>
    <t xml:space="preserve">1-но этажное, шлакоблок </t>
  </si>
  <si>
    <t>Киоск-кафе "Губернаторская чайная"</t>
  </si>
  <si>
    <t>Здание электрокотельной</t>
  </si>
  <si>
    <t>Здание</t>
  </si>
  <si>
    <t>1-этажное, ж/б блоки</t>
  </si>
  <si>
    <t>1-этажное, металлическое</t>
  </si>
  <si>
    <t>1-этажное , кирпич и шлакоблоки</t>
  </si>
  <si>
    <t>1-этажное , брус</t>
  </si>
  <si>
    <t>Производственно-вспомогательное здание очистных сооружений</t>
  </si>
  <si>
    <t>1-но этаж., бетонные блоки</t>
  </si>
  <si>
    <t>2-х этажное, кирпич</t>
  </si>
  <si>
    <t>1-но этажное , металлокаркас</t>
  </si>
  <si>
    <t>1-но этажное , металл</t>
  </si>
  <si>
    <t>Здание склада угля</t>
  </si>
  <si>
    <t>1-но этажное , шлакоблоки, бетонные блоки</t>
  </si>
  <si>
    <t>1-но этажное , металлическое</t>
  </si>
  <si>
    <t xml:space="preserve">1-но этажное, брус </t>
  </si>
  <si>
    <t>Пристроенное к теплице  здание столярного цеха</t>
  </si>
  <si>
    <t>1.2.76</t>
  </si>
  <si>
    <t>1.2.78</t>
  </si>
  <si>
    <t>1.2.80</t>
  </si>
  <si>
    <t>1.2.81</t>
  </si>
  <si>
    <t>1.2.82</t>
  </si>
  <si>
    <t>1.2.83</t>
  </si>
  <si>
    <t>1.2.84</t>
  </si>
  <si>
    <t>1.2.85</t>
  </si>
  <si>
    <t>1.2.86</t>
  </si>
  <si>
    <t>1.2.87</t>
  </si>
  <si>
    <t>1.2.89</t>
  </si>
  <si>
    <t>1.2.90</t>
  </si>
  <si>
    <t>1.2.91</t>
  </si>
  <si>
    <t>1.2.92</t>
  </si>
  <si>
    <t>1.2.93</t>
  </si>
  <si>
    <t>1.2.94</t>
  </si>
  <si>
    <t>1.2.95</t>
  </si>
  <si>
    <t>1.2.96</t>
  </si>
  <si>
    <t>1.2.98</t>
  </si>
  <si>
    <t>1.2.99</t>
  </si>
  <si>
    <t>1.2.100</t>
  </si>
  <si>
    <t>1.2.101</t>
  </si>
  <si>
    <t>1.2.102</t>
  </si>
  <si>
    <t>1.2.103</t>
  </si>
  <si>
    <t>1.2.104</t>
  </si>
  <si>
    <t>1.2.106</t>
  </si>
  <si>
    <t>1.2.108</t>
  </si>
  <si>
    <t>1.2.109</t>
  </si>
  <si>
    <t>1.2.110</t>
  </si>
  <si>
    <t>1.2.111</t>
  </si>
  <si>
    <t>1.2.112</t>
  </si>
  <si>
    <t>1.2.117</t>
  </si>
  <si>
    <t>1.2.118</t>
  </si>
  <si>
    <t>1.2.122</t>
  </si>
  <si>
    <t>1.2.125</t>
  </si>
  <si>
    <t>1.2.127</t>
  </si>
  <si>
    <t>1.2.128</t>
  </si>
  <si>
    <t>1.2.129</t>
  </si>
  <si>
    <t>1.2.130</t>
  </si>
  <si>
    <t>1.2.131</t>
  </si>
  <si>
    <t>1.2.133</t>
  </si>
  <si>
    <t>1.2.137</t>
  </si>
  <si>
    <t>1.2.138</t>
  </si>
  <si>
    <t>1.2.139</t>
  </si>
  <si>
    <t>1.2.140</t>
  </si>
  <si>
    <t>1.2.141</t>
  </si>
  <si>
    <t>1.2.142</t>
  </si>
  <si>
    <t>1.2.143</t>
  </si>
  <si>
    <t>1.2.146</t>
  </si>
  <si>
    <t>1.2.149</t>
  </si>
  <si>
    <t>1.2.151</t>
  </si>
  <si>
    <t>1.2.154</t>
  </si>
  <si>
    <t>1.2.155</t>
  </si>
  <si>
    <t>1.2.156</t>
  </si>
  <si>
    <t>1.2.158</t>
  </si>
  <si>
    <t>1.2.160</t>
  </si>
  <si>
    <t>1.2.162</t>
  </si>
  <si>
    <t>1.2.163</t>
  </si>
  <si>
    <t>1.2.164</t>
  </si>
  <si>
    <t>1.2.165</t>
  </si>
  <si>
    <t>1.2.166</t>
  </si>
  <si>
    <t>1.2.167</t>
  </si>
  <si>
    <t>1.2.168</t>
  </si>
  <si>
    <t>1.2.171</t>
  </si>
  <si>
    <t>1.2.174</t>
  </si>
  <si>
    <t>1.2.175</t>
  </si>
  <si>
    <t>1.2.176</t>
  </si>
  <si>
    <t>1.2.177</t>
  </si>
  <si>
    <t>1.2.178</t>
  </si>
  <si>
    <t>Здание закрытого склада угля</t>
  </si>
  <si>
    <t>1.2.180</t>
  </si>
  <si>
    <t>1.2.181</t>
  </si>
  <si>
    <t>1.2.187</t>
  </si>
  <si>
    <t>1.2.192</t>
  </si>
  <si>
    <t>1.2.193</t>
  </si>
  <si>
    <t>1.2.195</t>
  </si>
  <si>
    <t>1.2.196</t>
  </si>
  <si>
    <t>1.2.197</t>
  </si>
  <si>
    <t>1.2.198</t>
  </si>
  <si>
    <t>1.2.199</t>
  </si>
  <si>
    <t>1.2.200</t>
  </si>
  <si>
    <t>1.2.204</t>
  </si>
  <si>
    <t>1.2.206</t>
  </si>
  <si>
    <t>1.2.207</t>
  </si>
  <si>
    <t>1.2.209</t>
  </si>
  <si>
    <t>1.2.210</t>
  </si>
  <si>
    <t>1.2.211</t>
  </si>
  <si>
    <t>1.2.212</t>
  </si>
  <si>
    <t>1.2.213</t>
  </si>
  <si>
    <t>1.2.215</t>
  </si>
  <si>
    <t>1.2.216</t>
  </si>
  <si>
    <t>1.2.218</t>
  </si>
  <si>
    <t>1.2.219</t>
  </si>
  <si>
    <t>1.2.220</t>
  </si>
  <si>
    <t>1.2.221</t>
  </si>
  <si>
    <t>1.2.222</t>
  </si>
  <si>
    <t>1.2.224</t>
  </si>
  <si>
    <t>1.2.225</t>
  </si>
  <si>
    <t>1.2.226</t>
  </si>
  <si>
    <t>1.2.227</t>
  </si>
  <si>
    <t>1.2.228</t>
  </si>
  <si>
    <t>Нежилое отдельно стоящее здание  гаража</t>
  </si>
  <si>
    <t xml:space="preserve">Наружное освещение </t>
  </si>
  <si>
    <t xml:space="preserve">Гараж  </t>
  </si>
  <si>
    <t>металлический</t>
  </si>
  <si>
    <t xml:space="preserve">Теплотрасса </t>
  </si>
  <si>
    <t xml:space="preserve">Пешеходный мост </t>
  </si>
  <si>
    <t xml:space="preserve">Площадь ЦМК </t>
  </si>
  <si>
    <t>Пешеходный мост</t>
  </si>
  <si>
    <t xml:space="preserve">Водопровод </t>
  </si>
  <si>
    <t xml:space="preserve">Сети  водоснабжения </t>
  </si>
  <si>
    <t xml:space="preserve">Сети тепловодоснабжения и канализации </t>
  </si>
  <si>
    <t>ГЗУ аварийная емкость №3 на 3500 м3</t>
  </si>
  <si>
    <t>ГЗУ аварийная емкость № 2 на 1700 м3</t>
  </si>
  <si>
    <t>ГЗУ руслоотводной канал</t>
  </si>
  <si>
    <t>ГЗУ правобережный быстроток</t>
  </si>
  <si>
    <t>ГЗУ плотина золоотвала</t>
  </si>
  <si>
    <t>ГЗУ левобережный быстроток</t>
  </si>
  <si>
    <t>ГЗУ паводковый водосброс</t>
  </si>
  <si>
    <t>ГЗУ отсечная дамба</t>
  </si>
  <si>
    <t>марка провода 6 кВ АС-70</t>
  </si>
  <si>
    <t>деревянное ограждение</t>
  </si>
  <si>
    <t>1.5.73</t>
  </si>
  <si>
    <t>протяж. 292 м.</t>
  </si>
  <si>
    <t xml:space="preserve">Напорный водовод, сети расходного водоснабжения </t>
  </si>
  <si>
    <t>полиэтилен.</t>
  </si>
  <si>
    <t xml:space="preserve">Остановка  </t>
  </si>
  <si>
    <t>Башня радиосвязи</t>
  </si>
  <si>
    <t xml:space="preserve">Аварийный водовод для котельной школы </t>
  </si>
  <si>
    <t>инв. №1а-7378/1, литера г</t>
  </si>
  <si>
    <t>протяж.1419 м</t>
  </si>
  <si>
    <t xml:space="preserve">Автомобильная дорога Первомайка-Сайзак </t>
  </si>
  <si>
    <t xml:space="preserve">Благоустройство I,II,III очередей жилых домов </t>
  </si>
  <si>
    <t xml:space="preserve">Пешеходный мост ч/з р.Кочура </t>
  </si>
  <si>
    <t>Благоустройство к жилому дому</t>
  </si>
  <si>
    <t xml:space="preserve">Сеть канализационная </t>
  </si>
  <si>
    <t xml:space="preserve">Скважина артезианская </t>
  </si>
  <si>
    <t xml:space="preserve">Сеть водопроводная </t>
  </si>
  <si>
    <t xml:space="preserve">Линия электропередачи </t>
  </si>
  <si>
    <t xml:space="preserve">Дорога </t>
  </si>
  <si>
    <t xml:space="preserve">Тепловые сети </t>
  </si>
  <si>
    <t>чугун, сталь</t>
  </si>
  <si>
    <t xml:space="preserve">Ответственные сети водопровода </t>
  </si>
  <si>
    <t xml:space="preserve">Самотечные водоводы </t>
  </si>
  <si>
    <t xml:space="preserve">Сеть водопровода 2-го подъема к фильтровальной </t>
  </si>
  <si>
    <t>Канализационные сети</t>
  </si>
  <si>
    <t>Тепловые сети</t>
  </si>
  <si>
    <t>8 м.</t>
  </si>
  <si>
    <t xml:space="preserve">Площадь у кинотеатра "Мустаг" </t>
  </si>
  <si>
    <t>протяж. 70 м.</t>
  </si>
  <si>
    <t xml:space="preserve">Наружные сети канализации </t>
  </si>
  <si>
    <t xml:space="preserve">Наружные тепловые сети </t>
  </si>
  <si>
    <t xml:space="preserve">Наружные сети водоснабжения </t>
  </si>
  <si>
    <t xml:space="preserve">Водопроводные сети </t>
  </si>
  <si>
    <t xml:space="preserve">Напорный водовод </t>
  </si>
  <si>
    <t xml:space="preserve"> сталь  </t>
  </si>
  <si>
    <t>Дорога</t>
  </si>
  <si>
    <t xml:space="preserve">Телефонные сети тел.станции "Квант" </t>
  </si>
  <si>
    <t xml:space="preserve">Отпайка воздушной линии электропередачи  ВЛ-6 кВ к очистным сооружениям </t>
  </si>
  <si>
    <t xml:space="preserve">Внеквартальные дороги </t>
  </si>
  <si>
    <t xml:space="preserve">Наружное освещение станции техобслуживания </t>
  </si>
  <si>
    <t>1.5.487</t>
  </si>
  <si>
    <t>204-А</t>
  </si>
  <si>
    <t>1.1.7.6</t>
  </si>
  <si>
    <t>704-А</t>
  </si>
  <si>
    <t>704-Б</t>
  </si>
  <si>
    <t>819-А</t>
  </si>
  <si>
    <t>1.1.7.10</t>
  </si>
  <si>
    <t>1.1.7.12</t>
  </si>
  <si>
    <t>1.1.7.13</t>
  </si>
  <si>
    <t>1.1.7.14</t>
  </si>
  <si>
    <t>1.1.7.20</t>
  </si>
  <si>
    <t>1.1.7.21</t>
  </si>
  <si>
    <t>1.1.7.24</t>
  </si>
  <si>
    <t>1.1.7.26</t>
  </si>
  <si>
    <t>1.1.7.28</t>
  </si>
  <si>
    <t>1.1.7.33</t>
  </si>
  <si>
    <t>1.1.7.37</t>
  </si>
  <si>
    <t>1.1.7.38</t>
  </si>
  <si>
    <t>1.1.7.39</t>
  </si>
  <si>
    <t>1.1.7.40</t>
  </si>
  <si>
    <t>1.1.7.43</t>
  </si>
  <si>
    <t>1.1.7.48</t>
  </si>
  <si>
    <t>1.1.7.49</t>
  </si>
  <si>
    <t>1.1.7.50</t>
  </si>
  <si>
    <t>808-А</t>
  </si>
  <si>
    <t>1.1.7.54</t>
  </si>
  <si>
    <t>1.1.7.55</t>
  </si>
  <si>
    <t>1.1.7.58</t>
  </si>
  <si>
    <t>1.1.7.64</t>
  </si>
  <si>
    <t>1.1.7.65</t>
  </si>
  <si>
    <t>1.1.7.66</t>
  </si>
  <si>
    <t>1.1.7.68</t>
  </si>
  <si>
    <t>1.1.7.71</t>
  </si>
  <si>
    <t xml:space="preserve">42:34:0106003:225 </t>
  </si>
  <si>
    <t xml:space="preserve">42:34:0106003:181 </t>
  </si>
  <si>
    <t>1.1.8.9</t>
  </si>
  <si>
    <t>1.1.9.9</t>
  </si>
  <si>
    <t>1.1.9.15</t>
  </si>
  <si>
    <t>1.1.291.1</t>
  </si>
  <si>
    <t xml:space="preserve">42:12:0102006:784 </t>
  </si>
  <si>
    <t>1.1.684.3</t>
  </si>
  <si>
    <t>1.1.687.3</t>
  </si>
  <si>
    <t>1.1.687.8</t>
  </si>
  <si>
    <t>1.1.687.10</t>
  </si>
  <si>
    <t>42:12:0102002:224</t>
  </si>
  <si>
    <t>1996-2000</t>
  </si>
  <si>
    <t>5-ти этаж., кирпич.,75 квартирный,жилой дом</t>
  </si>
  <si>
    <t>1.1.755.5</t>
  </si>
  <si>
    <t xml:space="preserve">42:12:0102006:766 </t>
  </si>
  <si>
    <t xml:space="preserve">42:12:0103002:413 </t>
  </si>
  <si>
    <t>42:12:0103002:561</t>
  </si>
  <si>
    <t>42:12:0103002:562</t>
  </si>
  <si>
    <t>42:12:0103002:563</t>
  </si>
  <si>
    <t xml:space="preserve">42:12:0103002:564 </t>
  </si>
  <si>
    <t>1.1.686.1</t>
  </si>
  <si>
    <t>1.1.686.2</t>
  </si>
  <si>
    <t>1.1.686.3</t>
  </si>
  <si>
    <t>1.1.686.4</t>
  </si>
  <si>
    <t xml:space="preserve">42:12:0114002:910 </t>
  </si>
  <si>
    <t>2-х этаж. кирпичное</t>
  </si>
  <si>
    <t>1.1.750.1</t>
  </si>
  <si>
    <t>1.1.124.1</t>
  </si>
  <si>
    <t>1.1.52.1</t>
  </si>
  <si>
    <t>1.1.753.9</t>
  </si>
  <si>
    <t>1.1.753.11</t>
  </si>
  <si>
    <t>1966 (реконструкция 2003 год)</t>
  </si>
  <si>
    <t>1.1.360.12</t>
  </si>
  <si>
    <t>33-А</t>
  </si>
  <si>
    <t>33-Б</t>
  </si>
  <si>
    <t>45-А</t>
  </si>
  <si>
    <t>45-Б</t>
  </si>
  <si>
    <t>70-А</t>
  </si>
  <si>
    <t xml:space="preserve">42:12:0102006:481                            </t>
  </si>
  <si>
    <t>Встроенное нежилое помещение библиотеки</t>
  </si>
  <si>
    <t>Встроенное нежилое помещение церкви</t>
  </si>
  <si>
    <t>42:12:0106002:1149</t>
  </si>
  <si>
    <t xml:space="preserve">42:34:0106002:1030 </t>
  </si>
  <si>
    <t xml:space="preserve">42:34:0106002:1033 </t>
  </si>
  <si>
    <t xml:space="preserve">42:12:0106002:1424 </t>
  </si>
  <si>
    <t xml:space="preserve">42:12:0106002:2045 </t>
  </si>
  <si>
    <t>Деревянные</t>
  </si>
  <si>
    <t xml:space="preserve">Кирпичные </t>
  </si>
  <si>
    <t>брус</t>
  </si>
  <si>
    <t xml:space="preserve">42:34:0106002:1044 </t>
  </si>
  <si>
    <t xml:space="preserve">42:34:0106002:1081 </t>
  </si>
  <si>
    <t>42:34:0106002:1051</t>
  </si>
  <si>
    <t>1.1.764.7</t>
  </si>
  <si>
    <t>1.1.767.3</t>
  </si>
  <si>
    <t xml:space="preserve">42:12:0106003:729 </t>
  </si>
  <si>
    <t>2-х этаж., ж/бетон</t>
  </si>
  <si>
    <t>1.1.779.2</t>
  </si>
  <si>
    <t>42:12:0105002:1242</t>
  </si>
  <si>
    <t>42:12:0105002:2195</t>
  </si>
  <si>
    <t>42:34:0114008:99</t>
  </si>
  <si>
    <t>3-х этаж., монолит</t>
  </si>
  <si>
    <t>7 этаж</t>
  </si>
  <si>
    <t xml:space="preserve">42:30:0603058:5487 </t>
  </si>
  <si>
    <t>42:30:0603058:5496</t>
  </si>
  <si>
    <t>8 этаж</t>
  </si>
  <si>
    <t>9 этаж</t>
  </si>
  <si>
    <t>10 этаж</t>
  </si>
  <si>
    <t>42:30:0603058:772</t>
  </si>
  <si>
    <t>3-х этаж, стены-сендвич</t>
  </si>
  <si>
    <t>этаж мансарда №3</t>
  </si>
  <si>
    <t>1.1.798.7</t>
  </si>
  <si>
    <t>1.1.798.8</t>
  </si>
  <si>
    <t>1.1.808.5</t>
  </si>
  <si>
    <t>1.1.808.11</t>
  </si>
  <si>
    <t>1.1.808.16</t>
  </si>
  <si>
    <t>1.1.808.22</t>
  </si>
  <si>
    <t>1.1.808.26</t>
  </si>
  <si>
    <t>1.1.808.30</t>
  </si>
  <si>
    <t>1.1.808.35</t>
  </si>
  <si>
    <t>1.1.814.11</t>
  </si>
  <si>
    <t>1.1.814.12</t>
  </si>
  <si>
    <t>42:34:0114014:27</t>
  </si>
  <si>
    <t xml:space="preserve">42:12:0104001:2846 </t>
  </si>
  <si>
    <t xml:space="preserve">42:34:0114002:46 </t>
  </si>
  <si>
    <t>1-этаж, сендвич</t>
  </si>
  <si>
    <t>1-но этаж., сендвич</t>
  </si>
  <si>
    <t>21/1</t>
  </si>
  <si>
    <t>42:12:0102005:768</t>
  </si>
  <si>
    <t xml:space="preserve">42:12:0102005:766 </t>
  </si>
  <si>
    <t>5-ти этаж., панельные</t>
  </si>
  <si>
    <t>2-я блок-секция</t>
  </si>
  <si>
    <t>1-я блок-секция</t>
  </si>
  <si>
    <t>42:12:0102004:371</t>
  </si>
  <si>
    <t>42:12:0105002:1135</t>
  </si>
  <si>
    <t>42:12:0105002:1149</t>
  </si>
  <si>
    <t xml:space="preserve">42:12:0105002:2909 </t>
  </si>
  <si>
    <t xml:space="preserve">42:12:0105002:2950 </t>
  </si>
  <si>
    <t xml:space="preserve">42:12:0106002:3607 </t>
  </si>
  <si>
    <t>3-х этажное, сендвич- панели</t>
  </si>
  <si>
    <t>42:34:0114008:28:1</t>
  </si>
  <si>
    <t>4-х этаж., кирпичное</t>
  </si>
  <si>
    <t>Россия, Кемеровская область, Таштагольский район, пгт. Темиртау</t>
  </si>
  <si>
    <t>Россия, Кемеровская область, Таштагольский район, пос. Кедровка</t>
  </si>
  <si>
    <t>42:12:0105011:200</t>
  </si>
  <si>
    <t>42:34:0115010:24</t>
  </si>
  <si>
    <t>Россия, Кемеровская область, г. Таштагол,ул. Дальняя Каменушка,№ 26</t>
  </si>
  <si>
    <t>1.4.29</t>
  </si>
  <si>
    <t>1.4.32</t>
  </si>
  <si>
    <t>1.4.33</t>
  </si>
  <si>
    <t>1.4.34</t>
  </si>
  <si>
    <t>Россия, Кемеровская область,  Таштагольский район</t>
  </si>
  <si>
    <t>42:12:0102015:112</t>
  </si>
  <si>
    <t>42:12:0112002:196</t>
  </si>
  <si>
    <t>42:12:0102011:248</t>
  </si>
  <si>
    <t>42:12:0103004:145</t>
  </si>
  <si>
    <t>42:12:0102011:250</t>
  </si>
  <si>
    <t>1.4.35</t>
  </si>
  <si>
    <t>лит Г</t>
  </si>
  <si>
    <t>1.4.36</t>
  </si>
  <si>
    <t>ОТДЕЛЬНО СТОЯЩИЕ НЕЖИЛЫЕ ЗДАНИЯ</t>
  </si>
  <si>
    <t>5-ти этаж., кирпичное</t>
  </si>
  <si>
    <t>1988</t>
  </si>
  <si>
    <t>1982</t>
  </si>
  <si>
    <t>5-ти этажное, кирпичное (первый этаж, офисное)</t>
  </si>
  <si>
    <t>5-ти этажное, кирпичное  (подвальное, ЖКХ)</t>
  </si>
  <si>
    <t>В арендном пользовании  Кувшинова А.А</t>
  </si>
  <si>
    <t>Администрация муниц. образования  "Таштагольский муниципальный район"</t>
  </si>
  <si>
    <t>1.2.48.1</t>
  </si>
  <si>
    <t>42:34:0106002:1287</t>
  </si>
  <si>
    <t>42:12:0104001:3212</t>
  </si>
  <si>
    <t>1.2.97</t>
  </si>
  <si>
    <t>2002</t>
  </si>
  <si>
    <t>Отдельно стоящее  здание бойлерной (насос ЦНС-60х66,насос ЦНС-60х165 с эл/дв)</t>
  </si>
  <si>
    <t>Хозяйственное  ведение МУП "Темиртауское"</t>
  </si>
  <si>
    <t xml:space="preserve">42:12:000000:0000:330/8:1001/А </t>
  </si>
  <si>
    <t>первый этаж,  отделение почтамта</t>
  </si>
  <si>
    <t>1.3.5</t>
  </si>
  <si>
    <t>1.3.19</t>
  </si>
  <si>
    <t>1.3.20</t>
  </si>
  <si>
    <t>5-ти этажное, кирпичное (подвальное, складское)</t>
  </si>
  <si>
    <t>5-ти этажное, кирпичное (подвальное, швейное ателье)</t>
  </si>
  <si>
    <t>4-х этажное, кирпичное (4-ый этаж адм. здания)</t>
  </si>
  <si>
    <t>1.3.31</t>
  </si>
  <si>
    <t>5-ти этажное, кирпичное (первый этаж, швейное ателье)</t>
  </si>
  <si>
    <t xml:space="preserve">5-ти этажное, кирпичное (первый этаж) </t>
  </si>
  <si>
    <t>5-ти этажное, кирпичное (первый этаж, аптека)</t>
  </si>
  <si>
    <t>1.1.52.2</t>
  </si>
  <si>
    <t>8а</t>
  </si>
  <si>
    <t xml:space="preserve">42:34:0102011:97 </t>
  </si>
  <si>
    <t>42:34:0102011:100</t>
  </si>
  <si>
    <t xml:space="preserve">42:34:0102011:104 </t>
  </si>
  <si>
    <t xml:space="preserve">42:34:0102011:109 </t>
  </si>
  <si>
    <t xml:space="preserve">42:34:0102011:114 </t>
  </si>
  <si>
    <t xml:space="preserve">42:34:0102011:96 </t>
  </si>
  <si>
    <t xml:space="preserve">42:34:0102011:34 </t>
  </si>
  <si>
    <t>2-х этаж., кирпичное</t>
  </si>
  <si>
    <t xml:space="preserve">42:34:0102011:70 </t>
  </si>
  <si>
    <t xml:space="preserve">42:34:0102011:71 </t>
  </si>
  <si>
    <t xml:space="preserve">42:34:0102011:75 </t>
  </si>
  <si>
    <t xml:space="preserve">42:34:0102011:76 </t>
  </si>
  <si>
    <t xml:space="preserve">42:34:0102011:82 </t>
  </si>
  <si>
    <t xml:space="preserve">42:34:0102011:85 </t>
  </si>
  <si>
    <t xml:space="preserve">42:34:0102011:87 </t>
  </si>
  <si>
    <t xml:space="preserve">42:34:0102011:89 </t>
  </si>
  <si>
    <t>1999</t>
  </si>
  <si>
    <t>5-ти этажное, кирпичное (первый этаж, лифтерная)</t>
  </si>
  <si>
    <t>1.3.34</t>
  </si>
  <si>
    <t>1.3.35</t>
  </si>
  <si>
    <t>1.3.37</t>
  </si>
  <si>
    <t>1.3.38</t>
  </si>
  <si>
    <t>1.3.193</t>
  </si>
  <si>
    <t>5-ти этажное, кирпично (первый этаж, юридическая консультация)</t>
  </si>
  <si>
    <t>5-ти этажное, кирпично (подвальное, торговое)</t>
  </si>
  <si>
    <t>9-ти этажное, кирпичное (первый этаж, офис)</t>
  </si>
  <si>
    <t>Галерея</t>
  </si>
  <si>
    <t>1974</t>
  </si>
  <si>
    <t>1-но этаж., ж/бетонные плиты</t>
  </si>
  <si>
    <t>3-х этаж., ж/бетонные плиты</t>
  </si>
  <si>
    <t>1.4.38</t>
  </si>
  <si>
    <t>1.2.40.2</t>
  </si>
  <si>
    <t>1.2.40.3</t>
  </si>
  <si>
    <t>1.2.40.4</t>
  </si>
  <si>
    <t>1.2.40.5</t>
  </si>
  <si>
    <t>1.2.58</t>
  </si>
  <si>
    <t>1.2.61.1</t>
  </si>
  <si>
    <t>1.2.75</t>
  </si>
  <si>
    <t>1.2.235</t>
  </si>
  <si>
    <t>1.2.236</t>
  </si>
  <si>
    <t>1.2.237</t>
  </si>
  <si>
    <t>1.2.238</t>
  </si>
  <si>
    <t>1.2.239</t>
  </si>
  <si>
    <t>1.2.240</t>
  </si>
  <si>
    <t>1.2.241</t>
  </si>
  <si>
    <t>1.2.242</t>
  </si>
  <si>
    <t>1.2.243</t>
  </si>
  <si>
    <t>1.2.247</t>
  </si>
  <si>
    <t>1.2.248</t>
  </si>
  <si>
    <t>1.2.252</t>
  </si>
  <si>
    <t>1.2.254</t>
  </si>
  <si>
    <t>1.2.255</t>
  </si>
  <si>
    <t>1.2.258</t>
  </si>
  <si>
    <t>1.2.259</t>
  </si>
  <si>
    <t>1.2.260</t>
  </si>
  <si>
    <t>1.2.262</t>
  </si>
  <si>
    <t>1.2.265</t>
  </si>
  <si>
    <t>1.2.266</t>
  </si>
  <si>
    <t>1.2.267</t>
  </si>
  <si>
    <t>1.2.268</t>
  </si>
  <si>
    <t>1.2.270</t>
  </si>
  <si>
    <t>1.2.271</t>
  </si>
  <si>
    <t>1.2.272</t>
  </si>
  <si>
    <t>1.2.273</t>
  </si>
  <si>
    <t>1.2.276</t>
  </si>
  <si>
    <t>1.2.277</t>
  </si>
  <si>
    <t>1.2.278</t>
  </si>
  <si>
    <t>1.2.279</t>
  </si>
  <si>
    <t>1.2.280</t>
  </si>
  <si>
    <t>1.2.281</t>
  </si>
  <si>
    <t>1.2.282</t>
  </si>
  <si>
    <t>1.2.283</t>
  </si>
  <si>
    <t>1.2.284</t>
  </si>
  <si>
    <t>1.2.285</t>
  </si>
  <si>
    <t>1.2.286</t>
  </si>
  <si>
    <t>1.2.287</t>
  </si>
  <si>
    <t>1.2.288</t>
  </si>
  <si>
    <t>1.2.289</t>
  </si>
  <si>
    <t>1.2.291</t>
  </si>
  <si>
    <t>1.2.292</t>
  </si>
  <si>
    <t>1.2.293</t>
  </si>
  <si>
    <t>1.2.294</t>
  </si>
  <si>
    <t>1.2.295</t>
  </si>
  <si>
    <t>1.2.296</t>
  </si>
  <si>
    <t>1.2.297</t>
  </si>
  <si>
    <t>1.2.298</t>
  </si>
  <si>
    <t>1.2.299</t>
  </si>
  <si>
    <t>1.2.300</t>
  </si>
  <si>
    <t>1.2.301</t>
  </si>
  <si>
    <t>1.2.302</t>
  </si>
  <si>
    <t>1.2.304</t>
  </si>
  <si>
    <t>1.2.307</t>
  </si>
  <si>
    <t>1.2.308</t>
  </si>
  <si>
    <t>1.2.310</t>
  </si>
  <si>
    <t>1.2.311</t>
  </si>
  <si>
    <t>1.2.314</t>
  </si>
  <si>
    <t>1.2.315</t>
  </si>
  <si>
    <t>1.2.316</t>
  </si>
  <si>
    <t>1.2.317</t>
  </si>
  <si>
    <t>1.2.318</t>
  </si>
  <si>
    <t>1.2.319</t>
  </si>
  <si>
    <t>1.2.320</t>
  </si>
  <si>
    <t>1.2.321</t>
  </si>
  <si>
    <t>1.2.323</t>
  </si>
  <si>
    <t>1.2.324</t>
  </si>
  <si>
    <t>1.2.325</t>
  </si>
  <si>
    <t>1.2.326</t>
  </si>
  <si>
    <t>1.2.328</t>
  </si>
  <si>
    <t>1.2.330</t>
  </si>
  <si>
    <t>1.2.331</t>
  </si>
  <si>
    <t>1.2.332</t>
  </si>
  <si>
    <t>1.2.333</t>
  </si>
  <si>
    <t>1.2.334</t>
  </si>
  <si>
    <t>1.2.335</t>
  </si>
  <si>
    <t>1.2.336</t>
  </si>
  <si>
    <t>1.2.337</t>
  </si>
  <si>
    <t>1.2.338</t>
  </si>
  <si>
    <t>1.2.339</t>
  </si>
  <si>
    <t>1.2.340</t>
  </si>
  <si>
    <t>1.2.341</t>
  </si>
  <si>
    <t>1.2.342</t>
  </si>
  <si>
    <t>1.2.343</t>
  </si>
  <si>
    <t>1.2.344</t>
  </si>
  <si>
    <t>1.2.346</t>
  </si>
  <si>
    <t>1.2.347</t>
  </si>
  <si>
    <t>1.2.348</t>
  </si>
  <si>
    <t>1.2.349</t>
  </si>
  <si>
    <t>1.2.350</t>
  </si>
  <si>
    <t>1.2.351</t>
  </si>
  <si>
    <t>1.2.352</t>
  </si>
  <si>
    <t>1.2.353</t>
  </si>
  <si>
    <t>1.2.354</t>
  </si>
  <si>
    <t>1.2.355</t>
  </si>
  <si>
    <t>1.2.356</t>
  </si>
  <si>
    <t>1.2.357</t>
  </si>
  <si>
    <t>1.2.358</t>
  </si>
  <si>
    <t>1.2.359</t>
  </si>
  <si>
    <t>1.2.360</t>
  </si>
  <si>
    <t>1.2.362</t>
  </si>
  <si>
    <t>1.2.363</t>
  </si>
  <si>
    <t>1.2.364</t>
  </si>
  <si>
    <t>1.2.365</t>
  </si>
  <si>
    <t>1.2.367</t>
  </si>
  <si>
    <t>1.2.368</t>
  </si>
  <si>
    <t>1.2.369</t>
  </si>
  <si>
    <t>1.2.375</t>
  </si>
  <si>
    <t>1.2.376</t>
  </si>
  <si>
    <t>1.2.377</t>
  </si>
  <si>
    <t>1.2.384</t>
  </si>
  <si>
    <t>1.2.387</t>
  </si>
  <si>
    <t>1.2.388</t>
  </si>
  <si>
    <t>1.2.390</t>
  </si>
  <si>
    <t>1.2.391</t>
  </si>
  <si>
    <t>1.2.392</t>
  </si>
  <si>
    <t>1.2.393</t>
  </si>
  <si>
    <t>1.2.395</t>
  </si>
  <si>
    <t>1.2.397</t>
  </si>
  <si>
    <t>1.2.399</t>
  </si>
  <si>
    <t>1.2.407</t>
  </si>
  <si>
    <t>1.2.409</t>
  </si>
  <si>
    <t>1.2.412</t>
  </si>
  <si>
    <t>1.2.413</t>
  </si>
  <si>
    <t>1.2.415</t>
  </si>
  <si>
    <t>1.2.416</t>
  </si>
  <si>
    <t>1.2.417</t>
  </si>
  <si>
    <t>1.2.418</t>
  </si>
  <si>
    <t>1.2.419</t>
  </si>
  <si>
    <t>1.2.420</t>
  </si>
  <si>
    <t>1.2.443</t>
  </si>
  <si>
    <t>1.2.444</t>
  </si>
  <si>
    <t>1.2.446</t>
  </si>
  <si>
    <t>Отдельно стоящее нежилое здание (Крытая стоянка автомашин)</t>
  </si>
  <si>
    <t>1.5.493</t>
  </si>
  <si>
    <t>1.5.494</t>
  </si>
  <si>
    <t>1.5.495</t>
  </si>
  <si>
    <t>Ж/д путь к котельной</t>
  </si>
  <si>
    <t>5-ти этажное, кирпичное (первый этаж, офис)</t>
  </si>
  <si>
    <t>1-этажное, оцинков. профнастил</t>
  </si>
  <si>
    <t>1970</t>
  </si>
  <si>
    <t>3-этаж., кирпичное (первый этаж, офисное)</t>
  </si>
  <si>
    <t>9-ти этажное, кирпичное  (первый этаж, лифтерная)</t>
  </si>
  <si>
    <t xml:space="preserve">9-ти этажное, кирпичное </t>
  </si>
  <si>
    <t>В арендном пользовании ИП Орлова Д.Г.</t>
  </si>
  <si>
    <t>Металлический гараж ДЮКФП</t>
  </si>
  <si>
    <t>1.2.290</t>
  </si>
  <si>
    <t>1.2.303</t>
  </si>
  <si>
    <t>1.2.118.1</t>
  </si>
  <si>
    <t>1.2.119</t>
  </si>
  <si>
    <t>1.2.121</t>
  </si>
  <si>
    <t>1.2.124</t>
  </si>
  <si>
    <t>1.2.148</t>
  </si>
  <si>
    <t>1.2.234</t>
  </si>
  <si>
    <t>1.2.246</t>
  </si>
  <si>
    <t>1.2.256</t>
  </si>
  <si>
    <t>В оперативном управлении МБДОУ детский сад №21 "Светлячок"</t>
  </si>
  <si>
    <t>дерево.металл</t>
  </si>
  <si>
    <t>бетон,кирпич</t>
  </si>
  <si>
    <t>1-но этажное , бревенчатое</t>
  </si>
  <si>
    <t>3-х этажное, кирпичное (первый этаж, офисное)</t>
  </si>
  <si>
    <t>3-х этажное, кирпичное (первый этаж, ЗАГС)</t>
  </si>
  <si>
    <t>3-х этажное, кирпичное (первый этаж)</t>
  </si>
  <si>
    <t>В оперативном управлении МБОУ  «Основная общеобразовательная школа №1»</t>
  </si>
  <si>
    <t>1этаж</t>
  </si>
  <si>
    <t>42:34:0106002:1327</t>
  </si>
  <si>
    <t>42:34:0106002:571</t>
  </si>
  <si>
    <t>42:34:0106002:633</t>
  </si>
  <si>
    <t>6 этаж</t>
  </si>
  <si>
    <t>42:34:0106001:410</t>
  </si>
  <si>
    <t xml:space="preserve">42:34:0106001:996 </t>
  </si>
  <si>
    <t xml:space="preserve">42:34:0106001:912 </t>
  </si>
  <si>
    <t xml:space="preserve">42:34:0102064:329 </t>
  </si>
  <si>
    <t xml:space="preserve">42:34:0101040:148 </t>
  </si>
  <si>
    <t xml:space="preserve">42:34:0101040:151 </t>
  </si>
  <si>
    <t>1.1.816.</t>
  </si>
  <si>
    <t>5а</t>
  </si>
  <si>
    <t>1.4.39</t>
  </si>
  <si>
    <t xml:space="preserve">Сборно-щитовые </t>
  </si>
  <si>
    <t xml:space="preserve">42:34:0102009:28 </t>
  </si>
  <si>
    <t xml:space="preserve">1-но этаж., сборно-щитовые </t>
  </si>
  <si>
    <t>3-х этаж., ж/б</t>
  </si>
  <si>
    <t>42:34:0114012:98</t>
  </si>
  <si>
    <t>1.1.810.16</t>
  </si>
  <si>
    <t>1.1.810.17</t>
  </si>
  <si>
    <t>1.1.812.2</t>
  </si>
  <si>
    <t>1.1.812.3</t>
  </si>
  <si>
    <t>1.1.812.4</t>
  </si>
  <si>
    <t>1.1.813.3</t>
  </si>
  <si>
    <t>1.1.813.4</t>
  </si>
  <si>
    <t>4-х квартирный, 1 этаж, к/зас</t>
  </si>
  <si>
    <t xml:space="preserve">42:34:0114001:23 </t>
  </si>
  <si>
    <t xml:space="preserve">42:34:0114001:28 </t>
  </si>
  <si>
    <t xml:space="preserve">42:12:0104001:1194 </t>
  </si>
  <si>
    <t xml:space="preserve">42:34:0114014:32 </t>
  </si>
  <si>
    <t xml:space="preserve">42:34:0114014:34 </t>
  </si>
  <si>
    <t xml:space="preserve">42:34:0114014:87 </t>
  </si>
  <si>
    <t>42:34:0114014:90</t>
  </si>
  <si>
    <t xml:space="preserve">42:34:0114008:40 </t>
  </si>
  <si>
    <t xml:space="preserve">42:34:0114008:53 </t>
  </si>
  <si>
    <t xml:space="preserve">42:12:0105002:1238 </t>
  </si>
  <si>
    <t xml:space="preserve">42:12:0105002:1241 </t>
  </si>
  <si>
    <t>б/н</t>
  </si>
  <si>
    <t xml:space="preserve">42:34:0110001:174 </t>
  </si>
  <si>
    <t xml:space="preserve">42:34:0110001:178 </t>
  </si>
  <si>
    <t xml:space="preserve">42:34:0110001:164 </t>
  </si>
  <si>
    <t>1-но этаж., дерев.</t>
  </si>
  <si>
    <t xml:space="preserve">42:34:0110001:166 </t>
  </si>
  <si>
    <t xml:space="preserve">42:34:0110009:180 </t>
  </si>
  <si>
    <t xml:space="preserve">42:34:0110014:99 </t>
  </si>
  <si>
    <t xml:space="preserve">42:34:0110009:178 </t>
  </si>
  <si>
    <t xml:space="preserve">42:34:0101042:295 </t>
  </si>
  <si>
    <t xml:space="preserve">42:34:0101042:289 </t>
  </si>
  <si>
    <t>42:34:0101037:68</t>
  </si>
  <si>
    <t xml:space="preserve">42:34:0101037:73 </t>
  </si>
  <si>
    <t xml:space="preserve">42:34:0101042:268 </t>
  </si>
  <si>
    <t xml:space="preserve">42:34:0101042:269 </t>
  </si>
  <si>
    <t xml:space="preserve">42:34:0101042:270 </t>
  </si>
  <si>
    <t>42:34:0101042:274</t>
  </si>
  <si>
    <t xml:space="preserve">42:34:0101042:276 </t>
  </si>
  <si>
    <t>42:34:0101042:267</t>
  </si>
  <si>
    <t xml:space="preserve">42:34:0101021:42 </t>
  </si>
  <si>
    <t xml:space="preserve">42:34:0101036:104 </t>
  </si>
  <si>
    <t xml:space="preserve">42:34:0101036:107 </t>
  </si>
  <si>
    <t xml:space="preserve">42:34:0101036:108 </t>
  </si>
  <si>
    <t xml:space="preserve">42:34:0101036:112 </t>
  </si>
  <si>
    <t xml:space="preserve">42:34:0101036:113 </t>
  </si>
  <si>
    <t xml:space="preserve">42:34:0101036:114 </t>
  </si>
  <si>
    <t xml:space="preserve">42:34:0101036:115 </t>
  </si>
  <si>
    <t>42:34:0102011:30</t>
  </si>
  <si>
    <t>42:34:0101020:53</t>
  </si>
  <si>
    <t>42:34:0101020:59</t>
  </si>
  <si>
    <t>42:34:0101020:55</t>
  </si>
  <si>
    <t>42:34:0101011:55</t>
  </si>
  <si>
    <t>42:34:0101011:56</t>
  </si>
  <si>
    <t>42:34:0101011:62</t>
  </si>
  <si>
    <t>42:34:0101011:59</t>
  </si>
  <si>
    <t>42:34:0101011:65</t>
  </si>
  <si>
    <t>1.1.226.3</t>
  </si>
  <si>
    <t>1.1.226.4</t>
  </si>
  <si>
    <t>1.1.226.6</t>
  </si>
  <si>
    <t>1.1.226.8</t>
  </si>
  <si>
    <t>1.1.225.1</t>
  </si>
  <si>
    <t>1.1.225.2</t>
  </si>
  <si>
    <t>42:12:0108001:282</t>
  </si>
  <si>
    <t>42:12:0108001:283</t>
  </si>
  <si>
    <t>42:12:0108001:268</t>
  </si>
  <si>
    <t>42:12:0108001:271</t>
  </si>
  <si>
    <t>42:12:0108001:272</t>
  </si>
  <si>
    <t>42:12:0108001:269</t>
  </si>
  <si>
    <t>1.1.756.5</t>
  </si>
  <si>
    <t>1.1.756.8</t>
  </si>
  <si>
    <t>1.1.756.10</t>
  </si>
  <si>
    <t>1.1.756.11</t>
  </si>
  <si>
    <t>1.1.756.12</t>
  </si>
  <si>
    <t>1.1.756.13</t>
  </si>
  <si>
    <t>1.1.756.14</t>
  </si>
  <si>
    <t>1.1.756.18</t>
  </si>
  <si>
    <t>1.1.756.19</t>
  </si>
  <si>
    <t>1.1.756.20</t>
  </si>
  <si>
    <t>1.1.756.21</t>
  </si>
  <si>
    <t>1.1.756.22</t>
  </si>
  <si>
    <t>1.1.756.24</t>
  </si>
  <si>
    <t>1.1.756.25</t>
  </si>
  <si>
    <t>1.1.756.26</t>
  </si>
  <si>
    <t>1.1.756.27</t>
  </si>
  <si>
    <t>1.1.756.28</t>
  </si>
  <si>
    <t>1.1.756.29</t>
  </si>
  <si>
    <t>1.1.756.31</t>
  </si>
  <si>
    <t>1.1.756.32</t>
  </si>
  <si>
    <t>1.1.756.35</t>
  </si>
  <si>
    <t>1.1.756.36</t>
  </si>
  <si>
    <t>1.1.756.37</t>
  </si>
  <si>
    <t>1.1.756.38</t>
  </si>
  <si>
    <t>1.1.756.39</t>
  </si>
  <si>
    <t>1.1.756.40</t>
  </si>
  <si>
    <t>1.1.756.41</t>
  </si>
  <si>
    <t>1.1.756.43</t>
  </si>
  <si>
    <t>1.1.756.44</t>
  </si>
  <si>
    <t>1.1.756.46</t>
  </si>
  <si>
    <t>1.1.756.48</t>
  </si>
  <si>
    <t>1.1.756.49</t>
  </si>
  <si>
    <t>1.1.756.50</t>
  </si>
  <si>
    <t>1.1.756.51</t>
  </si>
  <si>
    <t>1.1.756.52</t>
  </si>
  <si>
    <t>1.1.756.53</t>
  </si>
  <si>
    <t>1.1.756.55</t>
  </si>
  <si>
    <t>1.1.756.57</t>
  </si>
  <si>
    <t>1.1.756.59</t>
  </si>
  <si>
    <t>1.1.756.60</t>
  </si>
  <si>
    <t>1.1.756.61</t>
  </si>
  <si>
    <t>1.1.756.64</t>
  </si>
  <si>
    <t>1.1.596.5</t>
  </si>
  <si>
    <t>20а</t>
  </si>
  <si>
    <t xml:space="preserve"> 5а</t>
  </si>
  <si>
    <t>1.1.606.1</t>
  </si>
  <si>
    <t>1.1.606.2</t>
  </si>
  <si>
    <t>1.1.606.3</t>
  </si>
  <si>
    <t>1.1.606.4</t>
  </si>
  <si>
    <t xml:space="preserve">42:12:0105004:151 </t>
  </si>
  <si>
    <t xml:space="preserve">42:12:0105004:152 </t>
  </si>
  <si>
    <t xml:space="preserve">42:12:0105004:153 </t>
  </si>
  <si>
    <t>1.1.608.1</t>
  </si>
  <si>
    <t>1.1.608.2</t>
  </si>
  <si>
    <t>1.1.608.3</t>
  </si>
  <si>
    <t>1.1.608.4</t>
  </si>
  <si>
    <t>1.1.608.5</t>
  </si>
  <si>
    <t>1.1.608.6</t>
  </si>
  <si>
    <t>1.1.608.7</t>
  </si>
  <si>
    <t>1.1.608.8</t>
  </si>
  <si>
    <t xml:space="preserve">42:12:0105006:214 </t>
  </si>
  <si>
    <t xml:space="preserve">42:12:0105006:215 </t>
  </si>
  <si>
    <t xml:space="preserve">42:12:0105006:216 </t>
  </si>
  <si>
    <t xml:space="preserve">42:12:0105006:217 </t>
  </si>
  <si>
    <t xml:space="preserve">42:12:0105006:218 </t>
  </si>
  <si>
    <t xml:space="preserve">42:12:0105006:219 </t>
  </si>
  <si>
    <t xml:space="preserve">42:12:0105006:220 </t>
  </si>
  <si>
    <t xml:space="preserve">42:12:0105006:221 </t>
  </si>
  <si>
    <t xml:space="preserve">В оперативном управлении </t>
  </si>
  <si>
    <t>Здание детской школы искусств</t>
  </si>
  <si>
    <t>Туалет металлический</t>
  </si>
  <si>
    <t>Отдельно-стоящее нежилое здание администрации</t>
  </si>
  <si>
    <t xml:space="preserve">В оперативном управлении МБОУ "Основная общеобразовательная школа №10" </t>
  </si>
  <si>
    <t xml:space="preserve">В оперативном управлении  МБОУ "Средняя общеобразовательная школа №9" </t>
  </si>
  <si>
    <t xml:space="preserve">В оперативном управлении МБОУ "Средняя общеобразовательная школа №9" </t>
  </si>
  <si>
    <t>В оперативном управлении МКС(К)ОУ "Специальная общеобразовательная школа интернат №19 VIII  вида"</t>
  </si>
  <si>
    <t>1.4.40</t>
  </si>
  <si>
    <t>6-ти этажное, кирпичное</t>
  </si>
  <si>
    <t>В оперативном управлении МБДОУ детский сад №9 "Колобок"</t>
  </si>
  <si>
    <t>В оперативном управлении МУ"Управление культуры"</t>
  </si>
  <si>
    <t>Встроенное нежилое помещение (аптека)</t>
  </si>
  <si>
    <t xml:space="preserve"> 2а</t>
  </si>
  <si>
    <t>2-х этажное</t>
  </si>
  <si>
    <t>2011</t>
  </si>
  <si>
    <t>Ограждения охранной зоны резервуаров</t>
  </si>
  <si>
    <t>Ограждение охранной зоны насосной станции</t>
  </si>
  <si>
    <t>ВЛ 0,4кВ от электролинии ул. Заречной до скважины</t>
  </si>
  <si>
    <t>Кабельная линия сигнализации от насоса в скважине до резервуаров чистой воды</t>
  </si>
  <si>
    <t>стальные</t>
  </si>
  <si>
    <t>V= 50*2мЗ</t>
  </si>
  <si>
    <t xml:space="preserve">Металлические резервуары чистой воды 2шт </t>
  </si>
  <si>
    <t>Насосная станция</t>
  </si>
  <si>
    <t>протяж. 75 п.м</t>
  </si>
  <si>
    <t>протяж. 166 п.м</t>
  </si>
  <si>
    <t>протяж. 187 п.м</t>
  </si>
  <si>
    <t>диаметр 50 мм</t>
  </si>
  <si>
    <t>диаметр 100мм</t>
  </si>
  <si>
    <t>протяж. 280 п.м</t>
  </si>
  <si>
    <t>протяж. 1764 п.м</t>
  </si>
  <si>
    <t>Скважина с погружным насосом, производительностью 4мЗ/ч;</t>
  </si>
  <si>
    <t>Колодцы для обслуживания системы водоснабжения,6 шт</t>
  </si>
  <si>
    <t>Колодцы для подключения потребителей, 38 шт</t>
  </si>
  <si>
    <t>железобетон, монолит</t>
  </si>
  <si>
    <t>протяж. 87 п.м</t>
  </si>
  <si>
    <t>протяж. 210 п.м</t>
  </si>
  <si>
    <t>Пожарные гидранты на колодцах трубопровода уличной сети, 2шт.</t>
  </si>
  <si>
    <t>нет в т/паспорте</t>
  </si>
  <si>
    <t>Встроенное помещение котельной</t>
  </si>
  <si>
    <t>Кедропласт</t>
  </si>
  <si>
    <t>6-ти этажное, кирпичное (цокольный этаж)</t>
  </si>
  <si>
    <t>1.2.47.</t>
  </si>
  <si>
    <t>В арендном пользовании ООО "Родник"</t>
  </si>
  <si>
    <t>1.2.117.1</t>
  </si>
  <si>
    <t>1.1.581.1</t>
  </si>
  <si>
    <t>В безвозм.польз.прихода церкви Иверской иконы</t>
  </si>
  <si>
    <t xml:space="preserve">5-ти этажное, кирпичное (подвальное) </t>
  </si>
  <si>
    <t>В оперативном управлении МКУ "Управление образования Администрации Таштагольского муниципального района"-МКУ РСУ</t>
  </si>
  <si>
    <t>6-ти этажное, кирпичное (крыша)</t>
  </si>
  <si>
    <t>Производственное (оборудование на крыше)</t>
  </si>
  <si>
    <t xml:space="preserve">В безвозмездном пользовании Управления по обеспечению деятельности мировых судей </t>
  </si>
  <si>
    <t>6-ти этажное, кирпичное (4-й этаж)</t>
  </si>
  <si>
    <t>6-ти этажное, кирпичное (третий этаж, офис)</t>
  </si>
  <si>
    <t>В пользовании и аренде организаций</t>
  </si>
  <si>
    <t>Встроенное нежилое помещение ( аренда имущества, наход. в опер.упр. МФЦ)</t>
  </si>
  <si>
    <t>В оперативном управлении МАУ "Многофункциональный центр"</t>
  </si>
  <si>
    <t>свободное</t>
  </si>
  <si>
    <t>6-ти этажное, кирпичное (третий этаж)</t>
  </si>
  <si>
    <t>6-ти этажное, кирпичное (2-ой этаж)</t>
  </si>
  <si>
    <t>1.2.40.1.1</t>
  </si>
  <si>
    <t>1.5.112</t>
  </si>
  <si>
    <t>1.5.409</t>
  </si>
  <si>
    <t>В арендном пользовании ООО "Таштагольская управляющая компания"</t>
  </si>
  <si>
    <t>1968</t>
  </si>
  <si>
    <t>2004</t>
  </si>
  <si>
    <t>Отдельно стоящий капитальный гараж</t>
  </si>
  <si>
    <t>Отдельно стоящее нежилое здание  гаража</t>
  </si>
  <si>
    <t>Встроенное нежилое помещение (магазин "Заря")</t>
  </si>
  <si>
    <t>1.2.21</t>
  </si>
  <si>
    <t>1994</t>
  </si>
  <si>
    <t xml:space="preserve">Здание склада </t>
  </si>
  <si>
    <t>В арендном пользовании ООО "Тепловодоснаб"</t>
  </si>
  <si>
    <t>V= 99мЗ</t>
  </si>
  <si>
    <t>Накопительный бак</t>
  </si>
  <si>
    <t>Резервуар чистой воды на 600 куб.м.</t>
  </si>
  <si>
    <t>Резервуар грязной воды 250 м3</t>
  </si>
  <si>
    <t>Резервуар фильтров.воды</t>
  </si>
  <si>
    <t>1986                       кап.ремонт 2002</t>
  </si>
  <si>
    <t xml:space="preserve">Канализационный коллектор </t>
  </si>
  <si>
    <t>Сети тепловодоснабжения и канализации  (Сети пос.Кочура )</t>
  </si>
  <si>
    <t>1-но этажное , кирпичное с водонапорным баком V=50 куб.м</t>
  </si>
  <si>
    <t>диам. 325 мм, 273 мм,протяж. 20 м</t>
  </si>
  <si>
    <t>сталь 3, ГОСТ 1652397, толщина листа 5 мм.</t>
  </si>
  <si>
    <t>реконструкция 2010 г.</t>
  </si>
  <si>
    <t>затраты по реконструкции</t>
  </si>
  <si>
    <t>Дымовая труба</t>
  </si>
  <si>
    <t>1.5.344</t>
  </si>
  <si>
    <t>Очистные сооружения п.Шалым</t>
  </si>
  <si>
    <t>протяж. 15 м</t>
  </si>
  <si>
    <t>Внутренние тепловые сети жилого дома № 5</t>
  </si>
  <si>
    <t>Магистральные тепловые сети</t>
  </si>
  <si>
    <t>протяжен. 75 м</t>
  </si>
  <si>
    <t>диаметр труб 100 мм</t>
  </si>
  <si>
    <t>Водопроводные сети</t>
  </si>
  <si>
    <t>Напорный и расходный водовод</t>
  </si>
  <si>
    <t>затраты по реконструкцию</t>
  </si>
  <si>
    <t>реконструкция-вентели на сети водоснабжения</t>
  </si>
  <si>
    <t xml:space="preserve">Распоряжение КУМИ от 20.12.2010 г. №452  </t>
  </si>
  <si>
    <t>Насосная станция  (Здание пусковой аппаратуры на РЧВ)</t>
  </si>
  <si>
    <t>8 шт</t>
  </si>
  <si>
    <t xml:space="preserve">Воздушная линия электропередачи </t>
  </si>
  <si>
    <t>затраты по реконструкции тепловой сети</t>
  </si>
  <si>
    <t>затраты на реконструкцию</t>
  </si>
  <si>
    <t>6-ти этажное, кирпичное (цокол.этаж)</t>
  </si>
  <si>
    <t>6-ти этажное, кирпичное  (4-ый этаж)</t>
  </si>
  <si>
    <t>6-ти этажное, кирпичное (2-й этаж)</t>
  </si>
  <si>
    <t>6-ти этажное, кирпичное (1этаж)</t>
  </si>
  <si>
    <t>5-ти этажное, кирпичное (цокольный этаж)</t>
  </si>
  <si>
    <t>Встроенное нежилое помещение (детская библиотека)</t>
  </si>
  <si>
    <t>Встроенное нежилое помещение (Управление соц.защиты населения)</t>
  </si>
  <si>
    <t>5-ти этажное, кирпичное (цокольный этаж,  хоккейный клуб)</t>
  </si>
  <si>
    <t>6-ти этажное, кирпичное (4-ый этаж)</t>
  </si>
  <si>
    <t xml:space="preserve">Кабельная ЛЭП-6 кВ </t>
  </si>
  <si>
    <t>Паромазутопровод</t>
  </si>
  <si>
    <t>Золоводы и водоводы осветления воды</t>
  </si>
  <si>
    <t>кабель ААШВ-3Х1.50</t>
  </si>
  <si>
    <t>1.1.756.66</t>
  </si>
  <si>
    <t>43-А</t>
  </si>
  <si>
    <t>1.1.52.3</t>
  </si>
  <si>
    <t>1.1.52.4</t>
  </si>
  <si>
    <t>протяж. 3000 м</t>
  </si>
  <si>
    <t>протяж. 1500 м</t>
  </si>
  <si>
    <t>затраты на реконструкцию водопроводных сетей (устройство колодцев)</t>
  </si>
  <si>
    <t xml:space="preserve"> Распоряжение КУМИ от 22.12.2010г. № 461</t>
  </si>
  <si>
    <t xml:space="preserve"> протяж. 383 м,  d=100 мм</t>
  </si>
  <si>
    <t>протяж. 543м;  d=100мм</t>
  </si>
  <si>
    <t>протяж. 162м; d=(50-65)мм</t>
  </si>
  <si>
    <t>протяж. 12 м, d=50 мм, 300 мм</t>
  </si>
  <si>
    <t xml:space="preserve"> протяж. 38 м, d=100 мм</t>
  </si>
  <si>
    <t>протяж. 503 м</t>
  </si>
  <si>
    <t>протяж.1000 м</t>
  </si>
  <si>
    <t>протяж. 5575 м</t>
  </si>
  <si>
    <t>протяж.12178м</t>
  </si>
  <si>
    <t>протяж. 8135 м</t>
  </si>
  <si>
    <t>протяж. 2139м</t>
  </si>
  <si>
    <t>протяж. 50 м</t>
  </si>
  <si>
    <t>протяж. 4461 м</t>
  </si>
  <si>
    <t>протяж. 60 м</t>
  </si>
  <si>
    <t>протяж.40 м</t>
  </si>
  <si>
    <t>протяж.11645 м., d=150 мм.</t>
  </si>
  <si>
    <t>протяж. 2160 м, d=300 мм</t>
  </si>
  <si>
    <t xml:space="preserve">протяж. 412 м, d=100 мм </t>
  </si>
  <si>
    <t xml:space="preserve"> протяж. 600м, d=38;57; 89;108 мм</t>
  </si>
  <si>
    <t>протяж. 4852 м, d=315, 273, 200мм.</t>
  </si>
  <si>
    <t>протяж. 374 м</t>
  </si>
  <si>
    <t>протяж. 4370 м, d=40,50,59,65,76,80,89,100,125, 209, 219 мм</t>
  </si>
  <si>
    <t>протяж. 420 м, d= 0,76; 0,45мм.</t>
  </si>
  <si>
    <t>протяж.55041,5 м; d=100мм.</t>
  </si>
  <si>
    <t>протяж.223 м, d=50,100мм</t>
  </si>
  <si>
    <t>протяж. 406 м, d=21,9</t>
  </si>
  <si>
    <t xml:space="preserve">протяжен. 1220 м; d=200 мм </t>
  </si>
  <si>
    <t>высота 250м</t>
  </si>
  <si>
    <t>длина 39м</t>
  </si>
  <si>
    <t>протяж. 2110,5м</t>
  </si>
  <si>
    <t>протяж. 1097 м, d=219</t>
  </si>
  <si>
    <t>протяж. 1250 м, d=200</t>
  </si>
  <si>
    <t>протяж. 9500 м, d=273 мм</t>
  </si>
  <si>
    <t>протяж. 377 м, d=150</t>
  </si>
  <si>
    <t>протяж. 3250 м, d=200*2</t>
  </si>
  <si>
    <t>протяж. 490 м, d= 200*2</t>
  </si>
  <si>
    <t>протяж. 8960 м</t>
  </si>
  <si>
    <t>протяж. 9500 м, d=273</t>
  </si>
  <si>
    <t>протяж. 250 м, d=150</t>
  </si>
  <si>
    <t>протяж. 110 м, d=150</t>
  </si>
  <si>
    <t>протяж. 60 м, d=100</t>
  </si>
  <si>
    <t>протяж. 130 м, d=100</t>
  </si>
  <si>
    <t>протяж. 400 м, d=200</t>
  </si>
  <si>
    <t>протяж. 2450 м, d=200, 150</t>
  </si>
  <si>
    <t>протяж. 2000 м, d=300</t>
  </si>
  <si>
    <t>протяж. 500 м, d=150</t>
  </si>
  <si>
    <t>протяж. 500 м, d=150, 250</t>
  </si>
  <si>
    <t>протяж. 700 м, d=150</t>
  </si>
  <si>
    <t xml:space="preserve">протяж. 1905 м, d=159 </t>
  </si>
  <si>
    <t>протяж. 2000 м, d=400 мм.</t>
  </si>
  <si>
    <t>S=800,  высота 1,5 м.</t>
  </si>
  <si>
    <t xml:space="preserve">протяж. 550м. </t>
  </si>
  <si>
    <t>протяж. 280м.</t>
  </si>
  <si>
    <t>протяж. 230м.</t>
  </si>
  <si>
    <t>S=133,9; длина 36,91 м.</t>
  </si>
  <si>
    <t>протяж. 104 м, d=80 мм</t>
  </si>
  <si>
    <t>протяж. 267 м</t>
  </si>
  <si>
    <t>прот.4930м</t>
  </si>
  <si>
    <t>протяж.774 м</t>
  </si>
  <si>
    <t>полиэтилен. трубы; d= 63 мм</t>
  </si>
  <si>
    <t>протяж. 320 м</t>
  </si>
  <si>
    <t>протяж. 280 м</t>
  </si>
  <si>
    <t>длина 610 п.м, площадь зем. уч. 13020,7 кв.м</t>
  </si>
  <si>
    <t>протяж. 900м</t>
  </si>
  <si>
    <t>протяж. 170 м</t>
  </si>
  <si>
    <t>сталь, полиэтален</t>
  </si>
  <si>
    <t>Отстойники 2-х ярусные</t>
  </si>
  <si>
    <t>Гидротехническое сооружение "Черничный ключ"</t>
  </si>
  <si>
    <t>Колодец водопроводный "Черничный ключ"</t>
  </si>
  <si>
    <t>Гидроузел на р.Кондома</t>
  </si>
  <si>
    <t>Сети электроснабжения котельной и главного корпуса</t>
  </si>
  <si>
    <t>Договор на обслуживание</t>
  </si>
  <si>
    <t>На обслуживании МУП "ГКБ"</t>
  </si>
  <si>
    <t xml:space="preserve">Канализационные сети поселка </t>
  </si>
  <si>
    <t>Канализационные сети поселка</t>
  </si>
  <si>
    <t>Водопроводные сети поселка</t>
  </si>
  <si>
    <t xml:space="preserve">Теплотрасса поселка </t>
  </si>
  <si>
    <t>Наружные сети водоснабжения</t>
  </si>
  <si>
    <t>Площадочные сети канализации</t>
  </si>
  <si>
    <t>Блок емкостей очистных сооружений (первичные и вторичные отстойники, аэротенки, минерализаторы)</t>
  </si>
  <si>
    <t>Камера бытовых стоков очистных сооружений</t>
  </si>
  <si>
    <t xml:space="preserve">Теплотрасса поселка к школе </t>
  </si>
  <si>
    <t xml:space="preserve">Коллектор бытовой канализации очистных сооружений </t>
  </si>
  <si>
    <t xml:space="preserve">Напорный водопровод 2-я нитка </t>
  </si>
  <si>
    <t>Канализационный коллектор</t>
  </si>
  <si>
    <t>Блок емкостей очистных сооружений, бетонный (первичные и вторичные отстойники, стабилизаторы, аэротенки)</t>
  </si>
  <si>
    <t>Распределительные сети теплоснабжения от котельной</t>
  </si>
  <si>
    <t>Распределительные водопроводные сети</t>
  </si>
  <si>
    <t>Производственное вспомогательное здание очистных сооружений (АБК)</t>
  </si>
  <si>
    <t>Подъемник горнолыжный ПГБ-1000</t>
  </si>
  <si>
    <t>Теннисный корт</t>
  </si>
  <si>
    <t>Теплотрасса</t>
  </si>
  <si>
    <t>В безвозмездном пользовании Администрации поселка Темиртау</t>
  </si>
  <si>
    <t>Ограждение терапевтического отделения</t>
  </si>
  <si>
    <t xml:space="preserve">Распоряжение КУМИ от 30.12.2010 года №507 </t>
  </si>
  <si>
    <t>демонтаж участка (ул. Коммунистическая, 2 - Артема, 11)</t>
  </si>
  <si>
    <t>демонтаж участка (28 Панфиловцев, 15 - Коммунистическая, 11)</t>
  </si>
  <si>
    <t>затраты на ремонт канализационных колодцев</t>
  </si>
  <si>
    <t>затраты на реконструкцию: замена водовода х/воды</t>
  </si>
  <si>
    <t>протяж. 500 м</t>
  </si>
  <si>
    <t>протяж.  9660 м</t>
  </si>
  <si>
    <t>протяж. 300 м</t>
  </si>
  <si>
    <t>2008</t>
  </si>
  <si>
    <t>диаметром 63*3,5 мм</t>
  </si>
  <si>
    <t>d=63 мм</t>
  </si>
  <si>
    <t>Периметровое ограждение аэропорта</t>
  </si>
  <si>
    <t>Трубы полиэтиленовые напорные ГОСТ 18599-2001: трубы из полиэтилена марки ПЭ – 100 диаметром d 63 мм с давлением Р-10 атм. – 2200 шт</t>
  </si>
  <si>
    <t xml:space="preserve"> d= 63 мм</t>
  </si>
  <si>
    <t xml:space="preserve">полиэтилен. </t>
  </si>
  <si>
    <t>протяж. 550 м.  d= 63 мм</t>
  </si>
  <si>
    <t xml:space="preserve"> протяж. 330 м</t>
  </si>
  <si>
    <t>протяж. 234 м</t>
  </si>
  <si>
    <t>Отдельно стоящее нежилое здание зернохранилища</t>
  </si>
  <si>
    <t>Отдельно стоящее нежилое здание теплая стоянка с/х техники</t>
  </si>
  <si>
    <t>Отдельно стоящее нежилое здание склад сена</t>
  </si>
  <si>
    <t>протяж. 850 м., д/трубы 100 мм</t>
  </si>
  <si>
    <t>протяж. 1000 м., д/ трубы 300 мм</t>
  </si>
  <si>
    <t>протяж. 350 м., д/ трубы 100 мм</t>
  </si>
  <si>
    <t>протяж. 276 м., д/ трубы 100 мм</t>
  </si>
  <si>
    <t>протяж. 200 м., д/ трубы 100 мм</t>
  </si>
  <si>
    <t>протяж.1018 м., д/трубы 100 мм</t>
  </si>
  <si>
    <t>протяж. 150 м., д/ трубы 100 мм</t>
  </si>
  <si>
    <t>протяж. 600 м., д/трубы 100 мм</t>
  </si>
  <si>
    <t>протяж.276 м., д/трубы 100 мм</t>
  </si>
  <si>
    <t>протяж. 200 м., д/трубы 100 мм</t>
  </si>
  <si>
    <t xml:space="preserve"> протяж. 1018 м., д/ трубы 100 мм</t>
  </si>
  <si>
    <t xml:space="preserve"> протяж. 150 м., д/ трубы 100 мм</t>
  </si>
  <si>
    <t xml:space="preserve"> протяж. 150 м., д/ трубы 100 мм.</t>
  </si>
  <si>
    <t>протяж. 300 м., д/ трубы 300 мм</t>
  </si>
  <si>
    <t>протяж. 780 м., д/трубы 300 мм</t>
  </si>
  <si>
    <t>протяж.40 м., д/ трубы 200 мм</t>
  </si>
  <si>
    <t>протяж. 85 м., д/ трубы 300 мм</t>
  </si>
  <si>
    <t>протяж. 590 м., д/ трубы 100 мм</t>
  </si>
  <si>
    <t>протяж. 984 м., д/ трубы 100 мм</t>
  </si>
  <si>
    <t>Сети водоснабжения</t>
  </si>
  <si>
    <t>пгт. Спасск, ул. Октябрьская от здания Алтайского прииска до школы №13 (ул.Октябрьская, 3)</t>
  </si>
  <si>
    <t>1.5.26.1</t>
  </si>
  <si>
    <t>1.5.142</t>
  </si>
  <si>
    <t>1.5.323.1</t>
  </si>
  <si>
    <t>1.5.323.2</t>
  </si>
  <si>
    <t>1.5.323.3</t>
  </si>
  <si>
    <t>1.5.327.1</t>
  </si>
  <si>
    <t>1.5.338.1</t>
  </si>
  <si>
    <t>1.5.338.2</t>
  </si>
  <si>
    <t>1.1.428.6</t>
  </si>
  <si>
    <t>1.1.549.2</t>
  </si>
  <si>
    <t>1.1.236.8</t>
  </si>
  <si>
    <t xml:space="preserve">42:12:0102002:810 </t>
  </si>
  <si>
    <t>1-но этажное, деревянное с мансардой</t>
  </si>
  <si>
    <t>Сети водопроводные от скважины</t>
  </si>
  <si>
    <t>полиэтилен. труба; d= 32 мм.</t>
  </si>
  <si>
    <t xml:space="preserve">Пешеходный мост ч/з р.Таенза </t>
  </si>
  <si>
    <t>1.5.26.2</t>
  </si>
  <si>
    <t>1.1.816.11</t>
  </si>
  <si>
    <t>1.1.273.15</t>
  </si>
  <si>
    <t>1.1.566.4</t>
  </si>
  <si>
    <t xml:space="preserve">42:12:0106002:2531 </t>
  </si>
  <si>
    <t>1.1.554.3</t>
  </si>
  <si>
    <t xml:space="preserve">42:12:0106002:2631 </t>
  </si>
  <si>
    <t>1.1.7.72</t>
  </si>
  <si>
    <t xml:space="preserve">42:34:0106003:240 </t>
  </si>
  <si>
    <t>1.1.7.73</t>
  </si>
  <si>
    <t xml:space="preserve">42:34:0106003:170 </t>
  </si>
  <si>
    <t>1.1.7.74</t>
  </si>
  <si>
    <t xml:space="preserve">42:34:0106003:49 </t>
  </si>
  <si>
    <t>42:34:0106002:684</t>
  </si>
  <si>
    <t>1.1.1.8</t>
  </si>
  <si>
    <t>1.1.35.21</t>
  </si>
  <si>
    <t>1.1.292.7</t>
  </si>
  <si>
    <t>1.1.312.3</t>
  </si>
  <si>
    <t>42:12:0102006:1062</t>
  </si>
  <si>
    <t>1.1.252.14</t>
  </si>
  <si>
    <t xml:space="preserve">42:12:0102002:439 </t>
  </si>
  <si>
    <t>1957</t>
  </si>
  <si>
    <t>1.2.43.4</t>
  </si>
  <si>
    <t>1.2.43.5</t>
  </si>
  <si>
    <t>В арендном пользовании  ООО "Лечебно-оздор.Центр"</t>
  </si>
  <si>
    <t xml:space="preserve">В арендном пользовании  ООО ЛОЦ </t>
  </si>
  <si>
    <t>1.1.52.5</t>
  </si>
  <si>
    <t>301-А</t>
  </si>
  <si>
    <t>1.1.52.6</t>
  </si>
  <si>
    <t>1.1.52.8</t>
  </si>
  <si>
    <t>1.1.52.10</t>
  </si>
  <si>
    <t>1.1.52.11</t>
  </si>
  <si>
    <t>1.1.52.12</t>
  </si>
  <si>
    <t>1.1.52.13</t>
  </si>
  <si>
    <t>1.1.52.14</t>
  </si>
  <si>
    <t>1.1.52.16</t>
  </si>
  <si>
    <t>1.1.52.17</t>
  </si>
  <si>
    <t>1.1.52.18</t>
  </si>
  <si>
    <t>1.1.52.19</t>
  </si>
  <si>
    <t>1.1.52.23</t>
  </si>
  <si>
    <t>1.1.52.24</t>
  </si>
  <si>
    <t>1.1.52.25</t>
  </si>
  <si>
    <t>1.1.52.26</t>
  </si>
  <si>
    <t>1.1.52.27</t>
  </si>
  <si>
    <t>1.1.52.30</t>
  </si>
  <si>
    <t>1.1.52.32</t>
  </si>
  <si>
    <t>1.1.52.33</t>
  </si>
  <si>
    <t>1.1.50.2</t>
  </si>
  <si>
    <t>1.1.38.3</t>
  </si>
  <si>
    <t>2013</t>
  </si>
  <si>
    <t>Аэрационная станция глубокой биологической очистки бытовых сточных вод (очистные установки TOPAS - 2 шт.) и наружные сети жилого дома</t>
  </si>
  <si>
    <t>Ограда металлическая</t>
  </si>
  <si>
    <t>затраты по реконструкции (Муниципальный контракт № 2013.16 от 25.09.2013г.)</t>
  </si>
  <si>
    <t>труба ВШЧГ</t>
  </si>
  <si>
    <t>1.5.111.1</t>
  </si>
  <si>
    <t>1.5.111.2</t>
  </si>
  <si>
    <t>1.5.111.3</t>
  </si>
  <si>
    <t>1.5.111.4</t>
  </si>
  <si>
    <t>1.5.111.5</t>
  </si>
  <si>
    <t>1.5.132.1</t>
  </si>
  <si>
    <t>1.5.140.1</t>
  </si>
  <si>
    <t>1.5.143.1</t>
  </si>
  <si>
    <t>1.5.143.2</t>
  </si>
  <si>
    <t>1.5.143.3</t>
  </si>
  <si>
    <t>1.5.143.4</t>
  </si>
  <si>
    <t>1.5.144</t>
  </si>
  <si>
    <t>Скважина для водоснабжения</t>
  </si>
  <si>
    <t>Напорный коллектор</t>
  </si>
  <si>
    <t>ГЗУ автодорога от насосной станции</t>
  </si>
  <si>
    <t>Сети водоснабжения от НФС "Тельбес"</t>
  </si>
  <si>
    <t>Водомерный пост на р.Кондома</t>
  </si>
  <si>
    <t>Сеть теплоснабжения в двухтрубном исчислении</t>
  </si>
  <si>
    <t>Отдельно стоящее нежилое административное здание</t>
  </si>
  <si>
    <t>Отдельно стоящее нежилое здание столярного цеха</t>
  </si>
  <si>
    <t>Отдельно стоящее нежилое здание  склада угля</t>
  </si>
  <si>
    <t>Нежилое пристроенное здание склада</t>
  </si>
  <si>
    <t>1979</t>
  </si>
  <si>
    <t>1956</t>
  </si>
  <si>
    <t>42:12:0102006:1221</t>
  </si>
  <si>
    <t>1.5.359.1</t>
  </si>
  <si>
    <t>1.5.359.2</t>
  </si>
  <si>
    <t>Напорный водовод</t>
  </si>
  <si>
    <t>1.5.129.1</t>
  </si>
  <si>
    <t>1.2.79.</t>
  </si>
  <si>
    <t>1.2.79.1</t>
  </si>
  <si>
    <t>1.2.79.2</t>
  </si>
  <si>
    <t>переразгрузочный узел</t>
  </si>
  <si>
    <t>галерея</t>
  </si>
  <si>
    <t>бетон.,обшито железом</t>
  </si>
  <si>
    <t xml:space="preserve">Резервуар чистой воды </t>
  </si>
  <si>
    <t>S=216 кв.м; V=1000 куб.м</t>
  </si>
  <si>
    <t>1962</t>
  </si>
  <si>
    <t>1.5.360.1</t>
  </si>
  <si>
    <t>1.5.22.1</t>
  </si>
  <si>
    <t>1.5.305.1</t>
  </si>
  <si>
    <t>1.5.135.1</t>
  </si>
  <si>
    <t>Водоприемник "Черничный ключ"</t>
  </si>
  <si>
    <t>1.5.126.1</t>
  </si>
  <si>
    <t>1.5.126.2</t>
  </si>
  <si>
    <t>1.5.126.3</t>
  </si>
  <si>
    <t>1.5.135.2</t>
  </si>
  <si>
    <t>протяж. 1843 м, d=114х4 мм</t>
  </si>
  <si>
    <t>1-но этажное здание, брус</t>
  </si>
  <si>
    <t>приобретение материалов для капитального ремонта тепловых сетей (запорная арматура, трубы и металл, теплоизоляция, прочие материалы)</t>
  </si>
  <si>
    <t>протяж. 3500 м, d=108мм</t>
  </si>
  <si>
    <t xml:space="preserve">Трубы стальные электросварные прямошовные диаметр 108 мм толщина стенки 4 мм  ГОСТ 10704-91 ГОСТ 10705-80 – 28 тонн </t>
  </si>
  <si>
    <t>d=108мм</t>
  </si>
  <si>
    <t xml:space="preserve">стальные </t>
  </si>
  <si>
    <t>1.5.126.4</t>
  </si>
  <si>
    <t>1.5.126.5</t>
  </si>
  <si>
    <t>1.5.126.6</t>
  </si>
  <si>
    <t>1.5.126.7</t>
  </si>
  <si>
    <t>1.5.126.8</t>
  </si>
  <si>
    <t>протяж. 480 м, d=110 мм</t>
  </si>
  <si>
    <t>протяж.216 м, d=110 мм; протяж.65 м, d=160 мм</t>
  </si>
  <si>
    <t>Трубы из полиэтилена марки ПЭ – 100, диаметром 63 мм с давлением Р-12 атм.– 2200 шт</t>
  </si>
  <si>
    <t>Трубы стальные диаметром 63*3,5 мм., ГОСТ 10705, НМЗ – 5785 кг</t>
  </si>
  <si>
    <t>1.5.140.2</t>
  </si>
  <si>
    <t>1.5.359.3</t>
  </si>
  <si>
    <t xml:space="preserve">Сети водоотведения </t>
  </si>
  <si>
    <t xml:space="preserve">Сети водоотведения  </t>
  </si>
  <si>
    <t xml:space="preserve">Сети  водоотведения </t>
  </si>
  <si>
    <t>протяж. 20030м, d=10,25,32,40,50.76,89,100,150,159,200,273</t>
  </si>
  <si>
    <t>1.5.322.</t>
  </si>
  <si>
    <t>чугун, асбестоцемент., керамические</t>
  </si>
  <si>
    <t>1.5.178.</t>
  </si>
  <si>
    <t>1.5.178.1</t>
  </si>
  <si>
    <t>Отдельно стоящее нежилое здание клуба</t>
  </si>
  <si>
    <t>Отдельно стоящее нежилое здание насосно-канализационной станции</t>
  </si>
  <si>
    <t xml:space="preserve">Отдельно стоящее нежилое административное здание </t>
  </si>
  <si>
    <t>Отдельно стоящее нежилое здание склада хлора</t>
  </si>
  <si>
    <t>Отдельно стоящее нежилое здание биофильтра 2 очистных сооружений</t>
  </si>
  <si>
    <t>Отдельно стоящее нежилое здание музыкальной школы</t>
  </si>
  <si>
    <t>Отдельно стоящее нежилое здание клуба "Встреча"</t>
  </si>
  <si>
    <t>Отдельно стоящее нежилое здание кинотеатра "Мустаг"</t>
  </si>
  <si>
    <t>Отдельно стоящее нежилое здание дозаторной станции</t>
  </si>
  <si>
    <t>Отдельно стоящее нежилое здание насосной тепловой станции №3</t>
  </si>
  <si>
    <t>Отдельно стоящее нежилое здание насосной станции подкачки №2</t>
  </si>
  <si>
    <t>Отдельно стоящее нежилое здание насосной тепловой станции №4</t>
  </si>
  <si>
    <t>Отдельно стоящее нежилое здание насосной тепловой станции № 6</t>
  </si>
  <si>
    <t>Отдельно стоящее нежилое здание насосной тепловой станции № 5</t>
  </si>
  <si>
    <t>Отдельно стоящее нежилое здание спасателей</t>
  </si>
  <si>
    <t xml:space="preserve">Отдельно стоящее нежилое здание котельной </t>
  </si>
  <si>
    <t>Отдельно стоящее нежилое здание склада угля</t>
  </si>
  <si>
    <t>Отдельно стоящее здание гаража</t>
  </si>
  <si>
    <t>Отдельно стоящее нежилое здание пескаловки</t>
  </si>
  <si>
    <t xml:space="preserve"> Отдельно стоящее нежилое здание слесарки</t>
  </si>
  <si>
    <t xml:space="preserve">Отдельно стоящее нежилое здание насосной </t>
  </si>
  <si>
    <t>Отдельно стоящее нежилое здание водонасосной станции</t>
  </si>
  <si>
    <t>Отдельно стоящее нежилое здание бани</t>
  </si>
  <si>
    <t>Отдельно стоящее нежилое здание диспетчерской</t>
  </si>
  <si>
    <t>Отдельно стоящее нежилое здание котельной клуба</t>
  </si>
  <si>
    <t>Отдельно стоящее нежилое здание фильтровальной станции Черничный ключ</t>
  </si>
  <si>
    <t>1-но этажное,  ж/б блоки</t>
  </si>
  <si>
    <t>Сети водоотведения</t>
  </si>
  <si>
    <t>1.5.203.1</t>
  </si>
  <si>
    <t xml:space="preserve">42:34:0101042:402 </t>
  </si>
  <si>
    <t xml:space="preserve">42:34:0101042:403 </t>
  </si>
  <si>
    <t xml:space="preserve">42:34:0101042:404 </t>
  </si>
  <si>
    <t>2005</t>
  </si>
  <si>
    <t>1959</t>
  </si>
  <si>
    <t>1948</t>
  </si>
  <si>
    <t>1.2.64.</t>
  </si>
  <si>
    <t>1.2.64.1</t>
  </si>
  <si>
    <t>1.2.67.</t>
  </si>
  <si>
    <t>1.2.67.1</t>
  </si>
  <si>
    <t>1.2.84.1</t>
  </si>
  <si>
    <t>1.2.84.2</t>
  </si>
  <si>
    <t>1.2.115.</t>
  </si>
  <si>
    <t>1.2.115.1</t>
  </si>
  <si>
    <t>1.2.115.2</t>
  </si>
  <si>
    <t>1.2.116.</t>
  </si>
  <si>
    <t>1.2.116.1</t>
  </si>
  <si>
    <t>1.2.121.1</t>
  </si>
  <si>
    <t>1.2.129.1</t>
  </si>
  <si>
    <t>1.2.129.2</t>
  </si>
  <si>
    <t>1.2.132.1</t>
  </si>
  <si>
    <t>1.2.132.2</t>
  </si>
  <si>
    <t>1.2.145.</t>
  </si>
  <si>
    <t>1.2.145.1</t>
  </si>
  <si>
    <t>1.2.157.</t>
  </si>
  <si>
    <t>1.2.157.4</t>
  </si>
  <si>
    <t>1.2.157.6</t>
  </si>
  <si>
    <t>1.2.157.7</t>
  </si>
  <si>
    <t>1.2.157.8</t>
  </si>
  <si>
    <t>1.2.157.9</t>
  </si>
  <si>
    <t>1.2.157.10</t>
  </si>
  <si>
    <t>1.2.157.11</t>
  </si>
  <si>
    <t>1.2.157.12</t>
  </si>
  <si>
    <t>1.2.157.13</t>
  </si>
  <si>
    <t>1.2.157.14</t>
  </si>
  <si>
    <t>1.2.157.15</t>
  </si>
  <si>
    <t>1.2.157.16</t>
  </si>
  <si>
    <t>1.2.157.17</t>
  </si>
  <si>
    <t>1.2.157.18</t>
  </si>
  <si>
    <t>1.2.161.</t>
  </si>
  <si>
    <t>1.2.196.1</t>
  </si>
  <si>
    <t>1.2.236.1</t>
  </si>
  <si>
    <t>1.2.241.1</t>
  </si>
  <si>
    <t>1.2.263.1</t>
  </si>
  <si>
    <t>1.2.280.1</t>
  </si>
  <si>
    <t>1.2.283.1</t>
  </si>
  <si>
    <t>1.2.283.2</t>
  </si>
  <si>
    <t>1.2.283.3</t>
  </si>
  <si>
    <t>1.2.283.4</t>
  </si>
  <si>
    <t>1.2.283.5</t>
  </si>
  <si>
    <t>1.2.283.6</t>
  </si>
  <si>
    <t>1.2.283.7</t>
  </si>
  <si>
    <t>1.2.283.8</t>
  </si>
  <si>
    <t>1.2.283.9</t>
  </si>
  <si>
    <t>1.2.283.10</t>
  </si>
  <si>
    <t>1.2.283.11</t>
  </si>
  <si>
    <t>1.2.283.12</t>
  </si>
  <si>
    <t>1.2.283.13</t>
  </si>
  <si>
    <t>Встроенные нежилые помещения 1-го этажа</t>
  </si>
  <si>
    <t>Встроенные нежилые помещения 2-го этажа</t>
  </si>
  <si>
    <t>Встроенные нежилые помещения 3-го этажа</t>
  </si>
  <si>
    <t>Встроенные нежилые помещения 4-го этажа</t>
  </si>
  <si>
    <t>Отдельно стоящее нежилое здание ангара</t>
  </si>
  <si>
    <t>Отдельно стоящее нежилое здание базы автохозяйства</t>
  </si>
  <si>
    <t>Отдельно стоящее нежилое здание склада шлака</t>
  </si>
  <si>
    <t>Отдельно стоящее нежилое здание столярного цеха-теплицы</t>
  </si>
  <si>
    <t>Отдельно стоящее нежилое здание проходной</t>
  </si>
  <si>
    <t xml:space="preserve"> протяж. 250 м, д/ трубы 89 мм,159мм</t>
  </si>
  <si>
    <t>асфальтобетон</t>
  </si>
  <si>
    <t xml:space="preserve">капитальный ремонт </t>
  </si>
  <si>
    <t xml:space="preserve">Тепловая сеть </t>
  </si>
  <si>
    <t>Сети канализации к жилому дому</t>
  </si>
  <si>
    <t>Сети канализации 1-го участка</t>
  </si>
  <si>
    <t>1997</t>
  </si>
  <si>
    <t>1.5.88</t>
  </si>
  <si>
    <t>1.5.359</t>
  </si>
  <si>
    <t>протяж.3300м</t>
  </si>
  <si>
    <t>протяж. 2400 м, д/ трубы 200 мм, 101 мм</t>
  </si>
  <si>
    <t>Резервуар чистой воды на 1000 куб.м.</t>
  </si>
  <si>
    <t xml:space="preserve">Сети канализации по ул.Калинина </t>
  </si>
  <si>
    <t>5-ти этажное, кирпичное  (первый и цокольный этажи- офисное)</t>
  </si>
  <si>
    <t>Памятник Герою Советского Союза Василию Федоровичу Токареву</t>
  </si>
  <si>
    <t>h=2,0 м</t>
  </si>
  <si>
    <t>ж/бетон; с обеих сторон ж/б тумбы</t>
  </si>
  <si>
    <t>2001</t>
  </si>
  <si>
    <t>42:34:0112008:225</t>
  </si>
  <si>
    <t>42:34:0102033:5</t>
  </si>
  <si>
    <t>42:34:0000000:178</t>
  </si>
  <si>
    <t>1990-1994</t>
  </si>
  <si>
    <t>В арендном пользовании ОАО филиала акционерного коммерческого СБ РФ Таштагольского отделения №6244</t>
  </si>
  <si>
    <t>1995</t>
  </si>
  <si>
    <t>В оперативном управлении МБУК ЦКС Таштагольского муниципального района</t>
  </si>
  <si>
    <t>1.2.40.1.2</t>
  </si>
  <si>
    <t>1.2.40.1.3</t>
  </si>
  <si>
    <t>1.2.40.1.4</t>
  </si>
  <si>
    <t>1.2.40.1.5</t>
  </si>
  <si>
    <t>1.2.40.1.6</t>
  </si>
  <si>
    <t>1.2.40.2.1</t>
  </si>
  <si>
    <t>1.2.40.2.2</t>
  </si>
  <si>
    <t>1.2.40.2.3</t>
  </si>
  <si>
    <t>1.2.40.2.4</t>
  </si>
  <si>
    <t>1.2.40.3.1</t>
  </si>
  <si>
    <t>1.2.40.3.5</t>
  </si>
  <si>
    <t>1.2.40.3.6</t>
  </si>
  <si>
    <t>1.2.40.4.1</t>
  </si>
  <si>
    <t>1.2.40.4.2</t>
  </si>
  <si>
    <t>1.2.40.4.3</t>
  </si>
  <si>
    <t>1.2.40.4.4</t>
  </si>
  <si>
    <t>1.2.40.5.1</t>
  </si>
  <si>
    <t>1.2.40.5.2</t>
  </si>
  <si>
    <t>1.2.40.5.3</t>
  </si>
  <si>
    <t>1.2.40.5.4</t>
  </si>
  <si>
    <t>Встроенные нежилые помещения цокольного этажа</t>
  </si>
  <si>
    <t>1.3.8.</t>
  </si>
  <si>
    <t>1.3.8.1</t>
  </si>
  <si>
    <t xml:space="preserve">42:34:0106004:645 </t>
  </si>
  <si>
    <t xml:space="preserve">42:34:0106004:652 </t>
  </si>
  <si>
    <t>42:34:0102064:94</t>
  </si>
  <si>
    <t>Магистральные сети водопровода к котельной</t>
  </si>
  <si>
    <t>Водопровод от переходного моста в У-Шалыме до насосной №3</t>
  </si>
  <si>
    <t xml:space="preserve">Водопровод от баков до градирни  ш. Н. Капитальная       </t>
  </si>
  <si>
    <t>Линия сигнал.кабельн. от напорных баков до УТВ по ул. Ломоносова</t>
  </si>
  <si>
    <t>Водопровод от деревянного моста до Госбанка по ул. Ленина</t>
  </si>
  <si>
    <t>Канализация самотечная</t>
  </si>
  <si>
    <t xml:space="preserve">Водовод 30-05-103 от левобережных баков до дома №1-1а       </t>
  </si>
  <si>
    <t>Водовод к ремстройцеху от котельной КПП до моста У-Шалыма</t>
  </si>
  <si>
    <t xml:space="preserve">Водопровод от баков до </t>
  </si>
  <si>
    <t>стеклопластиковая</t>
  </si>
  <si>
    <t>Хоккейная коробка</t>
  </si>
  <si>
    <t xml:space="preserve"> В арендном пользовании ООО  «Таштагольская управляющая компания» </t>
  </si>
  <si>
    <t>1.2.40.5.6</t>
  </si>
  <si>
    <t>1.2.367.1</t>
  </si>
  <si>
    <t>1.2.376.1</t>
  </si>
  <si>
    <t>1.2.382</t>
  </si>
  <si>
    <t>1.2.383</t>
  </si>
  <si>
    <t>Встроенное нежилое помещение (Отдельно стоящее нежилое административное здание-по св-ву о гос.рег.)</t>
  </si>
  <si>
    <t xml:space="preserve">Здание канализационно-насосной станции </t>
  </si>
  <si>
    <t>1.5.22</t>
  </si>
  <si>
    <t>1.5.126.9</t>
  </si>
  <si>
    <t>протяж.14000м</t>
  </si>
  <si>
    <t>гороно</t>
  </si>
  <si>
    <t>сталь, полиэтилен</t>
  </si>
  <si>
    <t>реконструкция 500 м</t>
  </si>
  <si>
    <t>1.2.40.5.7</t>
  </si>
  <si>
    <t xml:space="preserve">В безвозмездном пользовании Управления по обеспечению деят-ти мировых судей </t>
  </si>
  <si>
    <t>1.2.40.4.5</t>
  </si>
  <si>
    <t>В безвозмездном пользовании МУП"ЖКХ"</t>
  </si>
  <si>
    <t>4-х этажное, кирпичное (1 этаж)</t>
  </si>
  <si>
    <t>4-х этажное, кирпичное (4 этаж)</t>
  </si>
  <si>
    <t>4-х этажное, кирпичное (2 этаж)</t>
  </si>
  <si>
    <t>В аренде Управления Федеральной службы безопасности РФ по Кемеровской области</t>
  </si>
  <si>
    <t>В пользовании МУП"УЖХ-1"</t>
  </si>
  <si>
    <t>В арендном пользовании МУП"УЖХ-1"</t>
  </si>
  <si>
    <t>В арендном пользовании ООО "Спецтранс"</t>
  </si>
  <si>
    <t>В безвмездном пользовании Финансового управления по Таштагольскому району</t>
  </si>
  <si>
    <t xml:space="preserve">Сооружение водозабора (Водозабор с русла реки Кабарзинка двумя отстойниками)
</t>
  </si>
  <si>
    <t>42:34:0106002:1621</t>
  </si>
  <si>
    <t>Канализационная насосная станция 1-го уч-ка №6</t>
  </si>
  <si>
    <t>1981/2005</t>
  </si>
  <si>
    <t>протяж.(580/1420)  2000 м, d=300 мм</t>
  </si>
  <si>
    <t>Сеть теплоснабжения  в двухтрубном исчислении</t>
  </si>
  <si>
    <t>протяжен. 739 м</t>
  </si>
  <si>
    <t>16,7</t>
  </si>
  <si>
    <t xml:space="preserve">Отдельно стоящее нежилое здание  котельной </t>
  </si>
  <si>
    <t>Водовод от гидроузла на р.Балгашта до насосно-фильтровальной станции "Балгашта"</t>
  </si>
  <si>
    <t>Отдельно стоящее нежилое здание водонапорной башни</t>
  </si>
  <si>
    <t xml:space="preserve">Здание  насосной </t>
  </si>
  <si>
    <t xml:space="preserve">Стартовый домик </t>
  </si>
  <si>
    <t>Отдельно стоящее нежилое здание склада</t>
  </si>
  <si>
    <t>Отдельно стоящее нежилое здание бойлерной "Строительная"</t>
  </si>
  <si>
    <t>1961-1976-1983</t>
  </si>
  <si>
    <t>1993</t>
  </si>
  <si>
    <t>Отдельно стоящее нежилое здание проходной (фильтровальная станция)</t>
  </si>
  <si>
    <t>Ливневая канализация жилых домов №4,№6</t>
  </si>
  <si>
    <t>Сети теплоснабжения  в двухтрубном исчислении от котельной</t>
  </si>
  <si>
    <t>Тепловые сети  2-го микрорайона (жилой дом ул.Ноградская,3-церковь-жилой дом ул.Ноградская,19-жилой дом ул.Макаренко,8-жилые дома ул.Ульянова-жилые дома ул.8 Марта,1,2-нежилой дом ул.Макаренко,16-жилой дом ул.Поспелова,24)</t>
  </si>
  <si>
    <t>протяж. 17125 м</t>
  </si>
  <si>
    <t xml:space="preserve">Тепловые сети (городская котельная-ул.Ноградская,3) </t>
  </si>
  <si>
    <t>Тепловые сети (жилой дом ул.Ноградская,3-жилой дом ул.Поспелова,7- жилые дома ул.Нестерова-горный техникум- жилой дом ул.Поспелова,27)</t>
  </si>
  <si>
    <t>Тепловые сети г. Таштагола</t>
  </si>
  <si>
    <t>Тепловые сети (гор.котельная-жилые дома ул.Суворова,21,23-гор.типография-жилые дома ул.Мира 11,31,37-жилой дом ул.К.Маркса,15-мост-тепл.насос.станция ул.18 Партсъезда-жилые дома ул.Юбилейная 9,10-жилые дома ул.18 Партсъезда 4,19)</t>
  </si>
  <si>
    <t>Тепловые сети (жилой дом ул.Ленина,50-жилой дом ул.Ленина,6-жилой дом ул.Ленина, 84-тепл.насос.станция ул.18 Партсъезда)</t>
  </si>
  <si>
    <t>Тепловые сети (жилой дом ул.Суворова,23-через мост-жилой дом ул.Ленина,50-жилой дом ул.Ленина,9-жилой дом ул.Ленина,19)</t>
  </si>
  <si>
    <t>протяж.17774 м</t>
  </si>
  <si>
    <t>Тепловые сети г. Таштагола (завод "Бетонный"-жилые дома ул.Увальная)</t>
  </si>
  <si>
    <t xml:space="preserve">42:12:0101001:696 </t>
  </si>
  <si>
    <t xml:space="preserve">42:34:0102063:238 </t>
  </si>
  <si>
    <t>42:34:0102063:239</t>
  </si>
  <si>
    <t xml:space="preserve">42:34:0106001:1076 </t>
  </si>
  <si>
    <t xml:space="preserve">42:34:0106002:1330 </t>
  </si>
  <si>
    <t xml:space="preserve">42:34:0106001:1077 </t>
  </si>
  <si>
    <t xml:space="preserve">42:34:0106002:1331 </t>
  </si>
  <si>
    <t xml:space="preserve">42:12:0106002:3929 </t>
  </si>
  <si>
    <t xml:space="preserve">42:12:0106002:3970 </t>
  </si>
  <si>
    <t>Договор аренды</t>
  </si>
  <si>
    <t xml:space="preserve">На обслуживании Шерегешского террит. Управления </t>
  </si>
  <si>
    <t>В  безвозмезд. пользовании ЗАО "Зап-СибТранстелеком"</t>
  </si>
  <si>
    <t>В арендном пользовании ООО "ВКХ"</t>
  </si>
  <si>
    <t>В арендном пользовании ООО "Водоканал"</t>
  </si>
  <si>
    <t>Магистральные водопроводные сети</t>
  </si>
  <si>
    <t>Канализационные сети жилого дома № 5</t>
  </si>
  <si>
    <t>Выгребная яма жилого дома № 5</t>
  </si>
  <si>
    <t>На обслуживание МУП ГКБ</t>
  </si>
  <si>
    <t>1.2.168.1</t>
  </si>
  <si>
    <t>В безвозмездном пользовании МАУ "Городская стоматологическая поликлиника"</t>
  </si>
  <si>
    <t>На обслуживании МУП "ЖКХ"</t>
  </si>
  <si>
    <t>Теплотрасса от котельной до ДСФ</t>
  </si>
  <si>
    <t>42:34:0106002:1639</t>
  </si>
  <si>
    <t>Канализационный коллектор от КНС № 6 до ул.Поспелова,18</t>
  </si>
  <si>
    <t>железобетон, на 100 куб.м.</t>
  </si>
  <si>
    <t>железобетон,на 250 куб.м</t>
  </si>
  <si>
    <t>30,0</t>
  </si>
  <si>
    <t xml:space="preserve">41,0 </t>
  </si>
  <si>
    <t>1.2.157.19</t>
  </si>
  <si>
    <t>В арендном пользовании ООО "Жилкомсервис"</t>
  </si>
  <si>
    <t>4-х этажное, кирпичное-первый этаж, офис Совета ветеранов</t>
  </si>
  <si>
    <t>2-х этажное, кирпичное (оборудование на крыше)</t>
  </si>
  <si>
    <t>В хозяйственном ведении МП "Лечебно-оздоровительный центр"</t>
  </si>
  <si>
    <t>В безвозмездном пользовании МКУ  "Центр социального обслуживания граждан пожилого возраста и инвалидов Мундыбашского городского поселения"</t>
  </si>
  <si>
    <t>В арендном пользовании ИП Бабенко С.В.</t>
  </si>
  <si>
    <t>В оперативном управлении Муниципальное бюджетное учреждение "Спортивный комплекс "Дельфин"</t>
  </si>
  <si>
    <t xml:space="preserve"> В оперативном управлении  МБУ «Спортивный комплекс «Кристалл» </t>
  </si>
  <si>
    <t>Напорный коллектор от насосной станции до очистных сооружений</t>
  </si>
  <si>
    <t xml:space="preserve">Кемеровская обл., г.Таштагол, у подножия горы "Туманная"
</t>
  </si>
  <si>
    <t>1-но этаж., дерев.брус 16х16, обшит лист. железом</t>
  </si>
  <si>
    <t>В арендном пользовании ООО "Металлэнергофинанс"</t>
  </si>
  <si>
    <t>1.2.150.</t>
  </si>
  <si>
    <t>1.2.150.1</t>
  </si>
  <si>
    <t>1.2.150.2</t>
  </si>
  <si>
    <t>1.2.150.3</t>
  </si>
  <si>
    <t>1.2.150.4</t>
  </si>
  <si>
    <t>1.2.150.5</t>
  </si>
  <si>
    <t>1.2.150.6</t>
  </si>
  <si>
    <t>1.3.206</t>
  </si>
  <si>
    <t>В арендном пользовании  индивидуального предпринимателя Чепкасова П.М.</t>
  </si>
  <si>
    <t>5-этаж., кирпичное (подвальное-ремонт мебели)</t>
  </si>
  <si>
    <t>1.3.6.1</t>
  </si>
  <si>
    <t>1933</t>
  </si>
  <si>
    <t>В аренде отдела МВД России по Таштагольскому району</t>
  </si>
  <si>
    <t>В безвозмезд. пользов. МКУ "Управление культуры Администр. Таштагольского муниципального района"</t>
  </si>
  <si>
    <t>В безвоз. польз. МКУ "Социально-реабилитационный центр для несовершеннолетних" Таштагольского района</t>
  </si>
  <si>
    <t>В безвоз. польз.  МБУК "Централизованная библиотечная система Таштагольского муниципального района"</t>
  </si>
  <si>
    <t>1.4.42</t>
  </si>
  <si>
    <t>В безвозмездном пользовании Администрации Казского городского поселения</t>
  </si>
  <si>
    <t>В безвозмезд. польз. Администрации Шерегешского городского поселения</t>
  </si>
  <si>
    <t>2006</t>
  </si>
  <si>
    <t>1.1.213.1</t>
  </si>
  <si>
    <t xml:space="preserve">42:34:0110008:47 </t>
  </si>
  <si>
    <t xml:space="preserve">42:34:0110008:134 </t>
  </si>
  <si>
    <t>1.2.88.3</t>
  </si>
  <si>
    <t>1.2.40.2.5</t>
  </si>
  <si>
    <t>Архивный отдел Таштагольского муниципального района</t>
  </si>
  <si>
    <t>1.3.3.</t>
  </si>
  <si>
    <t>В субаренде</t>
  </si>
  <si>
    <t>В аренде  Кемеровского филиала ОАО "Ростелеком"</t>
  </si>
  <si>
    <t>Встроенное нежилое помещение-телефонная станция</t>
  </si>
  <si>
    <t xml:space="preserve">2-х этажное здание </t>
  </si>
  <si>
    <t xml:space="preserve">свободное </t>
  </si>
  <si>
    <t>В оперативном управлении МБОУ «Основная общеобразовательная школа №2»</t>
  </si>
  <si>
    <t>1.2.88.6</t>
  </si>
  <si>
    <t>1.2.331.1</t>
  </si>
  <si>
    <t>В арендном пользовании Павлова А.П.</t>
  </si>
  <si>
    <t>1-но этажное  здание, кирпичное</t>
  </si>
  <si>
    <t>В безвозмезд. польз.  Администрации Таштагольского городского поселения</t>
  </si>
  <si>
    <t>В безвмездном пользовании МКУ "Управление по физической культуре и спорту Администрации Таштагольского муниципального района"</t>
  </si>
  <si>
    <t>3-х этажное,кирпичное (цокольный этаж, ремонт бытовой техники)</t>
  </si>
  <si>
    <t>1.2.43.6</t>
  </si>
  <si>
    <t>В безвмездном пользовании Совета народных депутатов Таштагольского муниципального района</t>
  </si>
  <si>
    <t>В аренде ИП Кравченко Г.З.</t>
  </si>
  <si>
    <t>1-но этажное, дощатое</t>
  </si>
  <si>
    <t>В оперативном управлении МБОУ "Средняя общеобразовательная школа №11"</t>
  </si>
  <si>
    <t>В оперативном управлении МБОУ ДОД "Центр развития творчества детей и юношества"</t>
  </si>
  <si>
    <t xml:space="preserve">В оперативном управлении МОУ "Средняя общеобразовательная школа №15" </t>
  </si>
  <si>
    <t>Отдельно стоящее нежилое здание школы № 15</t>
  </si>
  <si>
    <t>1.2.160.1</t>
  </si>
  <si>
    <t xml:space="preserve">В оперативном управлении МБОУ "Средняя общеобразовательная школа №15" </t>
  </si>
  <si>
    <t>2009</t>
  </si>
  <si>
    <t>Встроенное нежилое помещение - отделение ГРОВД</t>
  </si>
  <si>
    <t>2-х этажное, брев. (2-й этаж, офисное)</t>
  </si>
  <si>
    <t>2-х этажное, брев. (1-ый этаж, офисное)</t>
  </si>
  <si>
    <t xml:space="preserve">2-х этажное, брев. (цокольный этаж, торговое) </t>
  </si>
  <si>
    <t xml:space="preserve"> коммунальная служба УЖХ</t>
  </si>
  <si>
    <t>2-х этажное, брев. (1-й этаж)</t>
  </si>
  <si>
    <t>Встроенное нежилое помещение, раскомандировка УЖХ</t>
  </si>
  <si>
    <t>1961</t>
  </si>
  <si>
    <t>3-х этажное, кирпичное (1 этаж)</t>
  </si>
  <si>
    <t>Отдельно стоящее нежилое здание сарая хозяйственного</t>
  </si>
  <si>
    <t>1.2.132.3</t>
  </si>
  <si>
    <t>ворота с калиткой</t>
  </si>
  <si>
    <t>металлические</t>
  </si>
  <si>
    <t>В оперативном управлении МКОУ для детей сирот и детей оставшихся без попечения родителей "Школа интернат №3 для детей сирот и детей, оставшихся без попечения родителей"</t>
  </si>
  <si>
    <t>1.1.735.1</t>
  </si>
  <si>
    <t xml:space="preserve">42:12:0103002:577 </t>
  </si>
  <si>
    <t>1.1.257.1</t>
  </si>
  <si>
    <t>Отдельно стоящее нежилое здание насосной станции (тепловой)</t>
  </si>
  <si>
    <t xml:space="preserve">42:12:0101001:243 </t>
  </si>
  <si>
    <t xml:space="preserve">42:12:0101001:739 </t>
  </si>
  <si>
    <t xml:space="preserve">42:12:0101001:738 </t>
  </si>
  <si>
    <t>9-ти этажное, кирпичное  (первый этаж)</t>
  </si>
  <si>
    <t xml:space="preserve">В арендном пользовании ООО «Спецтранс» </t>
  </si>
  <si>
    <t xml:space="preserve">Распр. Администр. Таштагол. муниц. р-на от 28.12.2013 г. №311-р </t>
  </si>
  <si>
    <t xml:space="preserve">В оперативном управлении МКОУ «Основная общеобразовательная школа №26» </t>
  </si>
  <si>
    <t>Отдельно стоящее нежилое здание школы №26</t>
  </si>
  <si>
    <t>деревянное</t>
  </si>
  <si>
    <t xml:space="preserve">1-но этажное, ж/блоки,  с подвалом </t>
  </si>
  <si>
    <t>2-х этажное, кирпичное (1этаж)</t>
  </si>
  <si>
    <t>5-ти этажное, кирпичное (1 этаж)</t>
  </si>
  <si>
    <t>Отдельно стоящее нежилое здание Дворца культуры "Юбилейный"</t>
  </si>
  <si>
    <t xml:space="preserve">Встроенное нежилое помещение клуба </t>
  </si>
  <si>
    <t xml:space="preserve">2-х этажное, деревянное (цокольный этаж, торговое) </t>
  </si>
  <si>
    <t>5-ти  этажный, кирпичный (подвал)</t>
  </si>
  <si>
    <t>1.2.157.5</t>
  </si>
  <si>
    <t>2-х этажное, кирпичное (чердак)</t>
  </si>
  <si>
    <t>цокольный этаж, ритуальные услуги (цокольный этаж)</t>
  </si>
  <si>
    <t>2-х этажное, деревянное (цокол. этаж)</t>
  </si>
  <si>
    <t>В аренде физического лица Рыкова Р.Г.</t>
  </si>
  <si>
    <t>Отдельно стоящее нежилое здание сенохранилища</t>
  </si>
  <si>
    <t>5-ти этажное, кирпичное (подвал)</t>
  </si>
  <si>
    <t>6-ти этажное, кирпичное (цокольный этаж, паспорт.стол)</t>
  </si>
  <si>
    <t xml:space="preserve">6-ти этажное, кирпичное </t>
  </si>
  <si>
    <t>4-х этажное, кирпичное (цокольный этаж)</t>
  </si>
  <si>
    <t>1-но этажное здание, панели</t>
  </si>
  <si>
    <t>1-но этажное здание, ж/б плиты</t>
  </si>
  <si>
    <t>1-но этажное здание, металлокаркас</t>
  </si>
  <si>
    <t xml:space="preserve"> 1-но этажное здание, металлокаркас</t>
  </si>
  <si>
    <t>3-х этажное здание, кирпичное</t>
  </si>
  <si>
    <t>2 этажное, кирпичное (2 этаж-отделение почтамта)</t>
  </si>
  <si>
    <t>В аренде индивидуального предпринимателя Шуппа Т.И.</t>
  </si>
  <si>
    <t xml:space="preserve">5-ти этажное, кирпичное  </t>
  </si>
  <si>
    <t>В безвозмездном пользовании гос.уч.КО "Агенство по защите населения и территории КО"</t>
  </si>
  <si>
    <t>В безвозмездном пользовании прокуратуры Кемеровской области</t>
  </si>
  <si>
    <t>в безвозмездном пользовании прокуратуры Кемеровской области</t>
  </si>
  <si>
    <t>В арендном пользовании Смирнова И.Н.</t>
  </si>
  <si>
    <t>Пристрой к отдельно стоящему нежилому зданию</t>
  </si>
  <si>
    <t>1.5.359.4</t>
  </si>
  <si>
    <t>1.5.360.2</t>
  </si>
  <si>
    <t>1.5.360.3</t>
  </si>
  <si>
    <t>1.5.361.1</t>
  </si>
  <si>
    <t>1.5.362.</t>
  </si>
  <si>
    <t>1.5.395.1</t>
  </si>
  <si>
    <t>1.5.395.2</t>
  </si>
  <si>
    <t>1.5.395.3</t>
  </si>
  <si>
    <t>1.5.395.4</t>
  </si>
  <si>
    <t>1.5.395.5</t>
  </si>
  <si>
    <t>1.5.395.6</t>
  </si>
  <si>
    <t>1.5.395.7</t>
  </si>
  <si>
    <t>1.5.395.8</t>
  </si>
  <si>
    <t>1.5.395.9</t>
  </si>
  <si>
    <t>1.5.395.10</t>
  </si>
  <si>
    <t>1.5.395.11</t>
  </si>
  <si>
    <t>1.5.395.12</t>
  </si>
  <si>
    <t>1.5.407.1</t>
  </si>
  <si>
    <t>1.5.407.2</t>
  </si>
  <si>
    <t>1.5.359.5</t>
  </si>
  <si>
    <t>1.5.359.6</t>
  </si>
  <si>
    <t>42:12:0104001:3512</t>
  </si>
  <si>
    <t>42:34:0000000:197</t>
  </si>
  <si>
    <t>Канализационные сети микрорайона Усть-Шалым</t>
  </si>
  <si>
    <t>42:34:0114008:118</t>
  </si>
  <si>
    <t>42:34:0000000:196</t>
  </si>
  <si>
    <t>Сети водоснабжения пос. Шалым</t>
  </si>
  <si>
    <t>42:34:0000000:198</t>
  </si>
  <si>
    <t>42:34:0000000:195</t>
  </si>
  <si>
    <t>1.3.98</t>
  </si>
  <si>
    <t>1.1.817.</t>
  </si>
  <si>
    <t>1.1.817.1</t>
  </si>
  <si>
    <t>трубы ВШЧГ</t>
  </si>
  <si>
    <t>сталь/полиэтилон</t>
  </si>
  <si>
    <t>протяж. 425 м., д/ труб 200 мм., 100 мм.</t>
  </si>
  <si>
    <t xml:space="preserve"> протяж.276 м., д/ труб 100 мм</t>
  </si>
  <si>
    <t xml:space="preserve"> протяж. 1000 м., д/ труб 200 мм</t>
  </si>
  <si>
    <t>протяж. 1400 м., д/ труб 200 мм</t>
  </si>
  <si>
    <t xml:space="preserve">Сети водопровода от бака на 1000 м.куб. до скважины </t>
  </si>
  <si>
    <t>Сети наружной теплотрассы  к жилому дому ул.Школьная,2</t>
  </si>
  <si>
    <t>Сети наружной канализации  к жилому дому ул.Школьная,2</t>
  </si>
  <si>
    <t xml:space="preserve">Канализационный коллектор от застройки по ул.Школьная до ул.Суворова,13 </t>
  </si>
  <si>
    <t xml:space="preserve">Канализационные сети  к жилому дому ул.Октябрьская (4-х кв.) </t>
  </si>
  <si>
    <t xml:space="preserve">Сети теплотрассы  к жилому дому ул.Октябрьская (4-х кв.) </t>
  </si>
  <si>
    <t>Водовод промышленный от бака 100 куб.м.до кольца (ясли)</t>
  </si>
  <si>
    <t>42:34:0000000:191</t>
  </si>
  <si>
    <t xml:space="preserve">Здание канализационной насосной станции </t>
  </si>
  <si>
    <t>Теплотрасса от ул.К.Маяк до ул.Суворова,16а</t>
  </si>
  <si>
    <t>Теплотрасса от котельной до застройки по ул.Школьная,2</t>
  </si>
  <si>
    <t>Теплотрасса от больницы до литейки</t>
  </si>
  <si>
    <t>Теплотрасса от ул.Центральная,12 до больницы</t>
  </si>
  <si>
    <t>Боров на котельной</t>
  </si>
  <si>
    <t xml:space="preserve">протяж. 250 м., d= 400 мм.
</t>
  </si>
  <si>
    <t xml:space="preserve">Кемеровская область, г.Таштагол, ул.Коммунистическая, ул. Школьная, ул. Спортивная,ул. Крылова, ул. Артема, ул.  28 Панфиловцев, ул. Кислородная
</t>
  </si>
  <si>
    <t>протяж. 400 м, d=219мм</t>
  </si>
  <si>
    <t>протяж. 280, d=219мм,протяж. 20, d=108мм</t>
  </si>
  <si>
    <t>протяж.22 м, d=159мм</t>
  </si>
  <si>
    <t>капитальный ремонт  теплоизоляции трубопроводов, ул. Макаренко,д.2-д.10</t>
  </si>
  <si>
    <t>капитальный ремонт  теплоизоляции трубопроводов,ул. Коммунистическая</t>
  </si>
  <si>
    <t>капитальный ремонт  теплоизоляции трубопроводов, ул. Ноградская,3</t>
  </si>
  <si>
    <t>капитальный ремонт  теплоизоляции трубопроводов, ул. Островского (АЗС)-ул. Горького (ж/д переезд)</t>
  </si>
  <si>
    <t>капитальный ремонт  теплоизоляции трубопроводов, ул. Островского (АЗС "Газпром")</t>
  </si>
  <si>
    <t>пенополиуретан</t>
  </si>
  <si>
    <t>протяж. 243 м, d=377мм</t>
  </si>
  <si>
    <t>протяж. 189 м, d=377мм</t>
  </si>
  <si>
    <t>капитальный ремонт  теплоизоляции трубопроводов, н/с "Бойлерная"-ул. Строительная</t>
  </si>
  <si>
    <t>протяж.654 м, d=159мм</t>
  </si>
  <si>
    <t>1.5.410.1</t>
  </si>
  <si>
    <t xml:space="preserve">работы по модернизации уличного освещения, приобретение светильников и ламп для модернизации уличного освещения </t>
  </si>
  <si>
    <t>Распор. Администр. Таштагол. муниц. района от 29.12.2012г.  №833-р</t>
  </si>
  <si>
    <t>1.5.410.2</t>
  </si>
  <si>
    <t>1.5.410.3</t>
  </si>
  <si>
    <t>1.5.410.4</t>
  </si>
  <si>
    <t>1.5.412.1</t>
  </si>
  <si>
    <t>Наружное освещение проезжей части,остановки, пешеходных тротуаров и территории школы</t>
  </si>
  <si>
    <t>Наружное освещение проезжей части, тротуаров моста через р. Шалыменок</t>
  </si>
  <si>
    <t>Наружное освещение территории парка  Боевой Славы</t>
  </si>
  <si>
    <t xml:space="preserve">Наружное освещение проезжей части, тротуаров </t>
  </si>
  <si>
    <t>Наружное освещение территории парка</t>
  </si>
  <si>
    <t>Наружное освещение проезжей части,пешеходного тротуара</t>
  </si>
  <si>
    <t>1.5.461</t>
  </si>
  <si>
    <t>1.5.462</t>
  </si>
  <si>
    <t>1.5.463</t>
  </si>
  <si>
    <t>1.5.413.1</t>
  </si>
  <si>
    <t>односторонее, на метал. опорах, провод. СИП, свет РКУ</t>
  </si>
  <si>
    <t>на метал. опорах, свет. "Шар", кабель подземный</t>
  </si>
  <si>
    <t>односторонее, на метал. опорах, провод. СИП 2*16, свет РКУ</t>
  </si>
  <si>
    <t>односторонее, на метал. опорах, свет РКУ</t>
  </si>
  <si>
    <t>односторонее, на метал. опорах, свет РКУ, свет. "Шар"</t>
  </si>
  <si>
    <t>Сетильники бульварные, декоративные</t>
  </si>
  <si>
    <t>протяж. 1020 м</t>
  </si>
  <si>
    <t>протяж. 1760 м</t>
  </si>
  <si>
    <t>протяж.1600 м</t>
  </si>
  <si>
    <t>протяж. воздуш. линия- 560 м, подзем.линия-1700 м</t>
  </si>
  <si>
    <t>протяж. воздуш. линия- 2320 м, подзем.линия-220 м</t>
  </si>
  <si>
    <t>протяж. воздуш. линия-880 м, подзем. линия-350 м</t>
  </si>
  <si>
    <t>протяж.  подзем. линия-850 м</t>
  </si>
  <si>
    <t>протяж.  подзем. линии-100 м</t>
  </si>
  <si>
    <t>протяж. воздуш. линия-2600 м, подзем. линия-100 м</t>
  </si>
  <si>
    <t>протяж. воздуш. линия -880 м, подзем.линия-380 м</t>
  </si>
  <si>
    <t>42:12:0106003:1023</t>
  </si>
  <si>
    <t>42:12:0000000:608</t>
  </si>
  <si>
    <t>42:12:0000000:609</t>
  </si>
  <si>
    <t>42:12:0000000:607</t>
  </si>
  <si>
    <t>42:12:0105002:3094</t>
  </si>
  <si>
    <t>42:12:0000000:605</t>
  </si>
  <si>
    <t>42:12:0000000:606</t>
  </si>
  <si>
    <t>42:34:0000000:205</t>
  </si>
  <si>
    <t>протяж. 306,0 м</t>
  </si>
  <si>
    <t>42:34:0102064:106</t>
  </si>
  <si>
    <t>42:34:0101043:254</t>
  </si>
  <si>
    <t>42:12:0105002:3092</t>
  </si>
  <si>
    <t>42:12:0000000:604</t>
  </si>
  <si>
    <t>42:12:0105002:3093</t>
  </si>
  <si>
    <t>42:12:0000000:602</t>
  </si>
  <si>
    <t>42:34:0000000:204</t>
  </si>
  <si>
    <t>42:12:0105002:3091</t>
  </si>
  <si>
    <t>42:12:0106003:1025</t>
  </si>
  <si>
    <t>42:12:0000000:610</t>
  </si>
  <si>
    <t>42:34:0000000:206</t>
  </si>
  <si>
    <t>42:34:0000000:207</t>
  </si>
  <si>
    <t>42:34:0106008:282</t>
  </si>
  <si>
    <t>42:34:0000000:213</t>
  </si>
  <si>
    <t>42:34:0000000:210</t>
  </si>
  <si>
    <t>42:34:0000000:212</t>
  </si>
  <si>
    <t>42:34:0000000:208</t>
  </si>
  <si>
    <t>42:12:0000000:614</t>
  </si>
  <si>
    <t>42:12:0000000:613</t>
  </si>
  <si>
    <t>42:12:0105002:3111</t>
  </si>
  <si>
    <t>42:12:0105002:3112</t>
  </si>
  <si>
    <t>42:12:0105002:3114</t>
  </si>
  <si>
    <t>42:34:0000000:211</t>
  </si>
  <si>
    <t>42:34:0000000:209</t>
  </si>
  <si>
    <t>42:12:0105002:3115</t>
  </si>
  <si>
    <t>42:12:0000000:611</t>
  </si>
  <si>
    <t>1.5.464</t>
  </si>
  <si>
    <t>1.5.465</t>
  </si>
  <si>
    <t>1.5.466</t>
  </si>
  <si>
    <t>1.5.467</t>
  </si>
  <si>
    <t>1.5.468</t>
  </si>
  <si>
    <t>42:12:0000000:406</t>
  </si>
  <si>
    <t>протяж.  2280 м</t>
  </si>
  <si>
    <t>протяж. 4580 м</t>
  </si>
  <si>
    <t>Водовод от насосной станции по реке Тельбесс до 600 куб. м</t>
  </si>
  <si>
    <t>42:12:0000000:408</t>
  </si>
  <si>
    <t>протяж.  700 м</t>
  </si>
  <si>
    <t>42:12:0000000:409</t>
  </si>
  <si>
    <t>42:12:0101001:923</t>
  </si>
  <si>
    <t>АБК</t>
  </si>
  <si>
    <t>Кемеровская область, Таштагольский район, пгт. Каз</t>
  </si>
  <si>
    <t>Кемеровская область, Таштагольский район, пгт. Мундыбаш</t>
  </si>
  <si>
    <t>кол-во этажей - 2</t>
  </si>
  <si>
    <t>котельная</t>
  </si>
  <si>
    <t>кол-во этажей - 1</t>
  </si>
  <si>
    <t>Трансформаторная подстанция</t>
  </si>
  <si>
    <t>Трансформаторная подстанция (отдельно стоящее нежилое здание)</t>
  </si>
  <si>
    <t>42:12:0000000:279</t>
  </si>
  <si>
    <t>Очистные сооружения хозяйственно-бытовых стоков</t>
  </si>
  <si>
    <t>42:12:0000000:280</t>
  </si>
  <si>
    <t>Камеры песколовки</t>
  </si>
  <si>
    <t>Приемная камера</t>
  </si>
  <si>
    <t>42:12:0000000:282</t>
  </si>
  <si>
    <t xml:space="preserve">площадь 2,04 м2, объем 8,16 м3          </t>
  </si>
  <si>
    <t>Кемеровская область, Таштагольский район, пгт. Мундыбаш, ул. Октябрьская</t>
  </si>
  <si>
    <t>Склад котельной (отдельно стоящее нежилое здание)</t>
  </si>
  <si>
    <t>Здание водонасосной станции (отдельно стоящее нежилое здание)</t>
  </si>
  <si>
    <t>Кемеровская область, Таштагольский район, пгт Мундыбаш, ул.Левонабережная</t>
  </si>
  <si>
    <t>42:12:0101001:941</t>
  </si>
  <si>
    <t>здание - котельная</t>
  </si>
  <si>
    <t>закрытый склад угля</t>
  </si>
  <si>
    <t>новая котельная</t>
  </si>
  <si>
    <t>газоход от дымонасосной трубы</t>
  </si>
  <si>
    <t>бункера зольные</t>
  </si>
  <si>
    <t>дробильное отделение</t>
  </si>
  <si>
    <t>золоотвал (здание)</t>
  </si>
  <si>
    <t>здание бойлерной</t>
  </si>
  <si>
    <t>здание-вентиляция</t>
  </si>
  <si>
    <t>здание насосной мазута</t>
  </si>
  <si>
    <t>склад топлива и известняка</t>
  </si>
  <si>
    <t xml:space="preserve">4-х этажное здание </t>
  </si>
  <si>
    <t xml:space="preserve">1-но этажное здание </t>
  </si>
  <si>
    <t>Сооружение</t>
  </si>
  <si>
    <t>Сооружение диаметром 6,9 м</t>
  </si>
  <si>
    <t>Подводное сооружение  из стального шпунта и камней</t>
  </si>
  <si>
    <t xml:space="preserve">Подводное сооружение из ж/б конструкций </t>
  </si>
  <si>
    <t xml:space="preserve">Сооружение из трубы </t>
  </si>
  <si>
    <t>диаметр 100 мм, длина 200 м</t>
  </si>
  <si>
    <t>диаметр 50 мм , длина 200 м</t>
  </si>
  <si>
    <t xml:space="preserve">Земельный участок, предназначенный для размещения здания РУ, теплицы, гостиницы </t>
  </si>
  <si>
    <t xml:space="preserve">Земельный участок, предназначенный для размещения участка УТВ  </t>
  </si>
  <si>
    <t xml:space="preserve">Земельный участок, предназначенный для размещения очистных сооружений  </t>
  </si>
  <si>
    <t xml:space="preserve">Земельный участок, предназначенный для водоводов, теплотрасс, водобаков, станции перекачки  </t>
  </si>
  <si>
    <t xml:space="preserve">Земельный участок, предназначенный для размещения очистных сооружений </t>
  </si>
  <si>
    <t xml:space="preserve">Земельный участок,предназначенный для размещения РСУ </t>
  </si>
  <si>
    <t xml:space="preserve">Земельный участок, предназначенный для размещения и эксплуатации шахтовых отвалов, склада угля </t>
  </si>
  <si>
    <t>Земельный участок  для использования в целях под жилищное строительство</t>
  </si>
  <si>
    <t>Земельный участок  для использования в целях под сельскохозяйственный комплекс в п. Кедровка</t>
  </si>
  <si>
    <t>Земельный участок  для использования в целях ведения рекреационной деятельности</t>
  </si>
  <si>
    <t>1.2.422</t>
  </si>
  <si>
    <t>1.2.423</t>
  </si>
  <si>
    <t>1.2.424</t>
  </si>
  <si>
    <t>1.2.425</t>
  </si>
  <si>
    <t>1.2.426</t>
  </si>
  <si>
    <t>1.2.427</t>
  </si>
  <si>
    <t>1.2.428</t>
  </si>
  <si>
    <t>1.2.430</t>
  </si>
  <si>
    <t>42:12:0000000:615</t>
  </si>
  <si>
    <t>42:34:0000000:214</t>
  </si>
  <si>
    <t>42:34:0107001:44</t>
  </si>
  <si>
    <t>42:34:0107001:43</t>
  </si>
  <si>
    <t>42:34:0107001:45</t>
  </si>
  <si>
    <t>протяж.14367м</t>
  </si>
  <si>
    <t>протяж. 3000 м, д/трубы 300 мм</t>
  </si>
  <si>
    <t>Сети водоснабжения от насосно-фильтровальной станции "Балгашта"</t>
  </si>
  <si>
    <t>1954</t>
  </si>
  <si>
    <t>42:12:0105002:3116</t>
  </si>
  <si>
    <t>42:12:0000000:617</t>
  </si>
  <si>
    <t>2:12:0105002:3067</t>
  </si>
  <si>
    <t>42:12:0000000:616</t>
  </si>
  <si>
    <t>Канализационный коллектор от насосной станции до очистных сооружений</t>
  </si>
  <si>
    <t>Канализационный коллектор очистных сооружений, сети канализации</t>
  </si>
  <si>
    <t>42:34:0107001:56</t>
  </si>
  <si>
    <t>42:34:0107001:54</t>
  </si>
  <si>
    <t>42:34:0107001:58</t>
  </si>
  <si>
    <t>Отдельно стоящее нежилое здание ГЗУ павильона у аварийной емкости №1</t>
  </si>
  <si>
    <t>Отдельно стоящее нежилое здание ГЗУ насосной станции №1</t>
  </si>
  <si>
    <t>42:34:0107001:59</t>
  </si>
  <si>
    <t>42:34:0107001:52</t>
  </si>
  <si>
    <t>42:34:0107001:57</t>
  </si>
  <si>
    <t>42:34:0000000:215</t>
  </si>
  <si>
    <t>42:34:0107001:55</t>
  </si>
  <si>
    <t>Отдельно стоящее нежилое здание ГЗУ насосной станции №3</t>
  </si>
  <si>
    <t>Отдельно стоящее нежилое здание ГЗУ насосной станции №2</t>
  </si>
  <si>
    <t>42:34:0107001:67</t>
  </si>
  <si>
    <t>42:34:0107001:70</t>
  </si>
  <si>
    <t>42:34:0107001:66</t>
  </si>
  <si>
    <t>42:34:0107001:65</t>
  </si>
  <si>
    <t>42:34:0107001:62</t>
  </si>
  <si>
    <t>42:34:0107001:60</t>
  </si>
  <si>
    <t>42:34:0107001:63</t>
  </si>
  <si>
    <t>Отдельно стоящее нежилое здание теплопункта ЦМК</t>
  </si>
  <si>
    <t>Отдельно стоящее нежилое здание  котельной</t>
  </si>
  <si>
    <t>1950</t>
  </si>
  <si>
    <t>42:12:0000000:618</t>
  </si>
  <si>
    <t>42:12:0000000:619</t>
  </si>
  <si>
    <t>42:34:0000000:219</t>
  </si>
  <si>
    <t>42:34:0000000:220</t>
  </si>
  <si>
    <t>42:34:0000000:217</t>
  </si>
  <si>
    <t>42:34:0000000:216</t>
  </si>
  <si>
    <t>42:34:0000000:218</t>
  </si>
  <si>
    <t>1.1.228.1</t>
  </si>
  <si>
    <t>1.1.228.2</t>
  </si>
  <si>
    <t>1.1.228.4</t>
  </si>
  <si>
    <t>42:12:0108002:593</t>
  </si>
  <si>
    <t>1.1.233.1</t>
  </si>
  <si>
    <t>1.1.233.2</t>
  </si>
  <si>
    <t xml:space="preserve">42:12:0102003:434 </t>
  </si>
  <si>
    <t xml:space="preserve">42:12:0102003:1044 </t>
  </si>
  <si>
    <t>42:12:0000000:620</t>
  </si>
  <si>
    <t xml:space="preserve">Канализационная сеть поселка </t>
  </si>
  <si>
    <t xml:space="preserve">Канализационная сеть от больничного городка до детских яслей </t>
  </si>
  <si>
    <t>42:12:0114002:1896</t>
  </si>
  <si>
    <t>42:12:0105002:3120</t>
  </si>
  <si>
    <t>42:12:0105002:3121</t>
  </si>
  <si>
    <t>Отдельно стоящее нежилое здание центрального теплового пункта</t>
  </si>
  <si>
    <t>1.1.304.1</t>
  </si>
  <si>
    <t>1.1.304.2</t>
  </si>
  <si>
    <t xml:space="preserve">42:12:0102006:993 </t>
  </si>
  <si>
    <t xml:space="preserve">42:12:0102006:994 </t>
  </si>
  <si>
    <t>1.1.337.1</t>
  </si>
  <si>
    <t>1.1.337.2</t>
  </si>
  <si>
    <t xml:space="preserve">42:34:0114010:110 </t>
  </si>
  <si>
    <t xml:space="preserve">42:34:0114010:111 </t>
  </si>
  <si>
    <t>1.1.341.1</t>
  </si>
  <si>
    <t>1.1.341.2</t>
  </si>
  <si>
    <t xml:space="preserve">42:34:0114010:114 </t>
  </si>
  <si>
    <t xml:space="preserve">42:34:0114010:115 </t>
  </si>
  <si>
    <t>1.1.349.1</t>
  </si>
  <si>
    <t>1.1.349.2</t>
  </si>
  <si>
    <t xml:space="preserve">42:34:0114010:100 </t>
  </si>
  <si>
    <t xml:space="preserve">42:34:0114010:101 </t>
  </si>
  <si>
    <t>32;33</t>
  </si>
  <si>
    <t>54;56</t>
  </si>
  <si>
    <t>55;58</t>
  </si>
  <si>
    <t>65;66</t>
  </si>
  <si>
    <t>69;70</t>
  </si>
  <si>
    <t xml:space="preserve">42:12:0104001:2661 </t>
  </si>
  <si>
    <t>1.1.407.7</t>
  </si>
  <si>
    <t>42:34:0107001:71</t>
  </si>
  <si>
    <t>1976</t>
  </si>
  <si>
    <t>Отдельно стоящее нежилое здание котельной производственной базы и угольного склада на котельной</t>
  </si>
  <si>
    <t>1.2.333.1</t>
  </si>
  <si>
    <t>Пристроенное здание склада угля на котельную</t>
  </si>
  <si>
    <t>42:34:00 00 000:0041</t>
  </si>
  <si>
    <t>42:34:00 00 000:0042</t>
  </si>
  <si>
    <t>42:12:0000000:623</t>
  </si>
  <si>
    <t xml:space="preserve"> протяж. 200м, d=219 мм</t>
  </si>
  <si>
    <t>протяж. 11270м, d=159; 108; 76; 89; 57; 45; 38; 30; 273; 219 мм</t>
  </si>
  <si>
    <t>протяж. 330 м, d=159 мм</t>
  </si>
  <si>
    <t>протяж. 29137000м; d=50,20,100, 32,200,40,70,25,150,120, 159 мм</t>
  </si>
  <si>
    <t>42:12:0000000:621</t>
  </si>
  <si>
    <t>Сети водопроводные от скважины (от водонапорной башни)</t>
  </si>
  <si>
    <t>Нежилое отдельно стоящее здание гаража</t>
  </si>
  <si>
    <t>1-но этажное здание, ж/б блоки и металл</t>
  </si>
  <si>
    <t>42:34:0101013:5</t>
  </si>
  <si>
    <t>42:34:0102033:7</t>
  </si>
  <si>
    <t>42:34:0102033:8</t>
  </si>
  <si>
    <t>42:34:0110018:48</t>
  </si>
  <si>
    <t>42:34:0110016:54</t>
  </si>
  <si>
    <t>42:34:0114008:125</t>
  </si>
  <si>
    <t>42:12:000000:625</t>
  </si>
  <si>
    <t>42:34:0113035:48</t>
  </si>
  <si>
    <t>2007</t>
  </si>
  <si>
    <t>Отдельно стоящее нежилое здание  склада (металлического,склада материалов)</t>
  </si>
  <si>
    <t>1-но этаж. здание, ж/б плиты и железо</t>
  </si>
  <si>
    <t>1.2.421</t>
  </si>
  <si>
    <t>1.2.429.1</t>
  </si>
  <si>
    <t>коммунальная служба УЖХ</t>
  </si>
  <si>
    <t>1.2.43.7</t>
  </si>
  <si>
    <t>1.2.43.8</t>
  </si>
  <si>
    <t>КУМИ Таштагольского муниципального р-на</t>
  </si>
  <si>
    <t>В арендном пользовании  отдела МВД России по Таштагольскому району</t>
  </si>
  <si>
    <t xml:space="preserve">перв. отстойник-42:12:0000000:568;  перв. отстойник-42:12:0104001:3514; минерализаторы - 42:12:0104001:3515; минерализаторы №2- 42:12:0104001:3524;аэротенки-42:12:0000000:567;аэротенки-42:12:0000000:622; втор. отст.-42:12:0104001:3521; втор. отст.-42:12:0104001:3523
</t>
  </si>
  <si>
    <t>42:34:0110024:69</t>
  </si>
  <si>
    <t>42:34:0000000:224</t>
  </si>
  <si>
    <t>В безвозмездном пользовании  региональной благотворительной организации "Возрождение"</t>
  </si>
  <si>
    <t xml:space="preserve">В оперативном управлении МБУЗ "Таштагольская Центральная районная больница"  </t>
  </si>
  <si>
    <t>В субаренде ООО "Форум"</t>
  </si>
  <si>
    <t>1.2.40.3.7</t>
  </si>
  <si>
    <t>1.2.40.3.8</t>
  </si>
  <si>
    <t>1.2.40.3.9</t>
  </si>
  <si>
    <t>1.2.40.3.10</t>
  </si>
  <si>
    <t>В безвозмездном пользовании МКУ "Управление образования Адм-ции Таштагол. муниц. р-на</t>
  </si>
  <si>
    <t>1.2.135.</t>
  </si>
  <si>
    <t>1.2.135.1</t>
  </si>
  <si>
    <t xml:space="preserve">В безвмездном пользовании  Местной религиозной организации православных Приход храма великомученика Георгия Победоносца г. Таштагол Кемеровской области и Новокузнецкой Епархии Русской Православной церкви (Московский Патриархат) </t>
  </si>
  <si>
    <t>1.2.367.2</t>
  </si>
  <si>
    <t>1.2.309.</t>
  </si>
  <si>
    <t>1.2.309.1</t>
  </si>
  <si>
    <t>42:34:0000000:222</t>
  </si>
  <si>
    <t>В аренде Управления федеральной почтовой связи Кемеровской области - филиала Федерального государственного унитарного предприятия "Почта России"</t>
  </si>
  <si>
    <t>1.2.223.</t>
  </si>
  <si>
    <t>1.2.223.1</t>
  </si>
  <si>
    <t>1.2.208.</t>
  </si>
  <si>
    <t>1.2.208.1</t>
  </si>
  <si>
    <t>1.2.40.3.11</t>
  </si>
  <si>
    <t>1.2.385.1</t>
  </si>
  <si>
    <t>1.2.385.2</t>
  </si>
  <si>
    <t>Кемеровская область, Таштагольский район, пгт. Шерегеш</t>
  </si>
  <si>
    <t>1.2.40.3.12</t>
  </si>
  <si>
    <t>Отдельно стоящее нежилое здание насосной станциии осветления воды</t>
  </si>
  <si>
    <t>Шлакозолоотстойник (котельной)</t>
  </si>
  <si>
    <t>ГЗУ аварийная емкость № 1 (на 1200 м3)</t>
  </si>
  <si>
    <t>Резервуар для воды (на 1000 куб.м)</t>
  </si>
  <si>
    <t>ГЗУ ЛЭП-6 кВ (от п/ст.110/35 )</t>
  </si>
  <si>
    <t>Резервуар мазута №2 (на 1000 куб.м.)</t>
  </si>
  <si>
    <t>Резервуар мазута (№1 на 1000 куб.м.)</t>
  </si>
  <si>
    <t>Отдельно стоящее нежилое здание склада угля НПП</t>
  </si>
  <si>
    <t>42:34:0000000:225</t>
  </si>
  <si>
    <t>42:34:0000000:226</t>
  </si>
  <si>
    <t xml:space="preserve">жилые помещения </t>
  </si>
  <si>
    <t>2 и 3 этажи</t>
  </si>
  <si>
    <t>В арендном пользовании ООО "Водоснаб"</t>
  </si>
  <si>
    <t>В арендном пользовании ООО "Водовод"</t>
  </si>
  <si>
    <t>В аренде Дугаевой А.А.</t>
  </si>
  <si>
    <t>1.1.817.2</t>
  </si>
  <si>
    <t>1.1.817.3</t>
  </si>
  <si>
    <t>1.1.817.4</t>
  </si>
  <si>
    <t>В аренде индивидуального предпринимателя Шурлачакова Ю.Д.</t>
  </si>
  <si>
    <t>2-х этажное, брев. (1-й этаж )</t>
  </si>
  <si>
    <t>1.3.160</t>
  </si>
  <si>
    <t>1.2.40.5.9</t>
  </si>
  <si>
    <t>5-ти этажное кирпичное (цокольный этаж)</t>
  </si>
  <si>
    <t>В  арендном пользовании ИП Колодько Л. А.</t>
  </si>
  <si>
    <t xml:space="preserve">капитальный ремонт теплотрассы </t>
  </si>
  <si>
    <t>2014</t>
  </si>
  <si>
    <t>1.1.718.13</t>
  </si>
  <si>
    <t>Отдельно стоящее нежилое здание канализационной насосной  №4</t>
  </si>
  <si>
    <t>Отдельно стоящее нежилое здание канализационной насосной станции №5</t>
  </si>
  <si>
    <t>Канализационный коллектор и сети канализации от КНС ул.Солнечная до КНС ул.Увальная, от КНС ул.Увальная до Д/С "Кристалл"</t>
  </si>
  <si>
    <t xml:space="preserve">Коллекторы </t>
  </si>
  <si>
    <t>Отдельно стоящее нежилое здание: Канализационная насосная станция</t>
  </si>
  <si>
    <t>Хлораторная станция очистных сооружений</t>
  </si>
  <si>
    <t xml:space="preserve">Здание водонапорной станции </t>
  </si>
  <si>
    <t>5-ти этаж. кирпичное с цокольным этажом-цокольный этаж, кафе, торговое</t>
  </si>
  <si>
    <t>5-ти этаж. кирпичное с цокольным этажом-первый этаж, торговое</t>
  </si>
  <si>
    <t>5-ти этаж. кирпичное с цокольным этажом-цокольный этаж</t>
  </si>
  <si>
    <t>Резервуар чистой воды №1</t>
  </si>
  <si>
    <t>Резервуар чистой воды №2</t>
  </si>
  <si>
    <t xml:space="preserve">42:34:0114002:55 </t>
  </si>
  <si>
    <t>железо по металл. каркасу</t>
  </si>
  <si>
    <t>2-х этажное, кирпичное (первый этаж-парикмахерская)</t>
  </si>
  <si>
    <t>2-х этажное, кирпичное (первый этаж-швейная мастерская)</t>
  </si>
  <si>
    <t>5-ти этажное, кирпичное (подвал-ремонт бытовой техники)</t>
  </si>
  <si>
    <t>цокольный этаж, складское</t>
  </si>
  <si>
    <t>1.2.169.</t>
  </si>
  <si>
    <t>1.2.169.1</t>
  </si>
  <si>
    <t>1- этажное кирпичное здание</t>
  </si>
  <si>
    <t>Сети водопровода на Тельбесе</t>
  </si>
  <si>
    <t xml:space="preserve"> Насосная станция 2</t>
  </si>
  <si>
    <t>Насосная холодной воды</t>
  </si>
  <si>
    <t>Отдельно стоящее нежилое здание доочистки сточных вод очистных сооружений</t>
  </si>
  <si>
    <t>Котельная очистных сооружений</t>
  </si>
  <si>
    <t>Иловые и песковые площадки очистных сооружений и канализаций</t>
  </si>
  <si>
    <t>первая очередь центральной котельной, кирпичная</t>
  </si>
  <si>
    <t>вторая очередь центральной котельной, кирпичная</t>
  </si>
  <si>
    <t>третья очередь центральной котельной, кирпичная</t>
  </si>
  <si>
    <t>Помещение (золоотделительная станция на котельной)</t>
  </si>
  <si>
    <t>Станция очистки загрязненных стоков на котельной</t>
  </si>
  <si>
    <t>Отдельно стоящее нежилое здание производственной базы</t>
  </si>
  <si>
    <t>протяж.120 м, d=89</t>
  </si>
  <si>
    <t>Отдельно стоящее нежилое здание мазутного хозяйства</t>
  </si>
  <si>
    <t xml:space="preserve"> Приемная камера пескаловки</t>
  </si>
  <si>
    <t>1.2.191.</t>
  </si>
  <si>
    <t>протяж. 270м</t>
  </si>
  <si>
    <t>Управление «Шерегеш–Энерго»</t>
  </si>
  <si>
    <t>Бойлерная</t>
  </si>
  <si>
    <t>42:12:0102001:1448</t>
  </si>
  <si>
    <t>1.2.432.1</t>
  </si>
  <si>
    <t>1.2.432.2</t>
  </si>
  <si>
    <t>1.2.432.3</t>
  </si>
  <si>
    <t>1.2.432.4</t>
  </si>
  <si>
    <t>1.2.432.5</t>
  </si>
  <si>
    <t>Котельная на новой промплощадке</t>
  </si>
  <si>
    <t xml:space="preserve"> Склад угля</t>
  </si>
  <si>
    <t>Галерея топливоподачи с перегрузочным узлом</t>
  </si>
  <si>
    <t>Здание топливоподачи</t>
  </si>
  <si>
    <t>Склад угля на Новом Шерегеше</t>
  </si>
  <si>
    <t xml:space="preserve">5-ти этажное, панели, кирпичное здание </t>
  </si>
  <si>
    <t xml:space="preserve">1-но этажное кирпичное здание </t>
  </si>
  <si>
    <t xml:space="preserve">1-но этажное метал.,кирпичное здание </t>
  </si>
  <si>
    <t xml:space="preserve">2-х этажное кирпичное здание </t>
  </si>
  <si>
    <t>2-х этажное кирпичное здание с подвалом</t>
  </si>
  <si>
    <t>2-х этажное кирпичное здание</t>
  </si>
  <si>
    <t>3-х этажное, ж/б блоки, кирпичное здание</t>
  </si>
  <si>
    <t>Котельная старого поселка</t>
  </si>
  <si>
    <t>Склад угля старого Шерегеша</t>
  </si>
  <si>
    <t>Здание золоудаления</t>
  </si>
  <si>
    <t>42:12:0102007:231</t>
  </si>
  <si>
    <t>3-ти этажное, кирпичное здание с подвалом</t>
  </si>
  <si>
    <t>1-но этажное здание , тес</t>
  </si>
  <si>
    <t>протяж. 300 м, d=300мм.</t>
  </si>
  <si>
    <t>протяж.45 м, d=80мм.</t>
  </si>
  <si>
    <t>протяж. 250 м, d=100мм.</t>
  </si>
  <si>
    <t>протяж. 80 м, d=125мм.</t>
  </si>
  <si>
    <t>1958</t>
  </si>
  <si>
    <t>протяж. 740 м, d=50мм.</t>
  </si>
  <si>
    <t>протяж. 300 м, d=125мм.</t>
  </si>
  <si>
    <t>протяж. 170 м, d=50мм.</t>
  </si>
  <si>
    <t>протяж. 290 м, d=100мм.</t>
  </si>
  <si>
    <t>протяж. 270 м, d=150мм.</t>
  </si>
  <si>
    <t>протяж. 90 м, d=125мм.</t>
  </si>
  <si>
    <t>протяж. 100 м, d=100мм.</t>
  </si>
  <si>
    <t>Галерея котельной на Новой промплощадке</t>
  </si>
  <si>
    <t>Золоотстойник</t>
  </si>
  <si>
    <t>Эстакада разгрузки угля</t>
  </si>
  <si>
    <t>Труба кирпичная на новой промплощадке</t>
  </si>
  <si>
    <t>Будка для укрытия дымососа № 1</t>
  </si>
  <si>
    <t>Будка для укрытия дымососа №2</t>
  </si>
  <si>
    <t>Будка для укрытия дымососа №3</t>
  </si>
  <si>
    <t>Теплотрасса  промплощадки</t>
  </si>
  <si>
    <t>Теплотрасса от бойлерной</t>
  </si>
  <si>
    <t>Теплотрасса 5 квартала</t>
  </si>
  <si>
    <t>Теплотрасса ул. Дзержинского</t>
  </si>
  <si>
    <t>Паропровод от котельной до бойлерной</t>
  </si>
  <si>
    <t>Теплотрасса до  бойлерной</t>
  </si>
  <si>
    <t>Теплотрасса к дому 1</t>
  </si>
  <si>
    <t>Теплотрасса квартал 2-3</t>
  </si>
  <si>
    <t>Внешние сети теплофикации ул. Гагарина 14</t>
  </si>
  <si>
    <t>Теплотрасса промплощадки</t>
  </si>
  <si>
    <t>Теплотрасса квартала 7</t>
  </si>
  <si>
    <t>Теплотрасса до Дзержинского 22</t>
  </si>
  <si>
    <t>Теплотрасса до Дзержинского 21</t>
  </si>
  <si>
    <t>Теплотрасса до ул. Дзержинского 20</t>
  </si>
  <si>
    <t>Сети гидрозолоудаления</t>
  </si>
  <si>
    <t>Отдельно стоящее нежилое здание АБК очистных сооружений</t>
  </si>
  <si>
    <t>Отдельно стоящее нежилое здание  ГЗУ багерная насосная станциия</t>
  </si>
  <si>
    <t>Отдельно стоящее нежилое здание корпуса  крупного дробления НПП</t>
  </si>
  <si>
    <t>Отдельно стоящее нежилое здание корпуса среднего дробления НПП</t>
  </si>
  <si>
    <t>Здание калориферной III Восточная на котельной</t>
  </si>
  <si>
    <t>42:12:0000000:554</t>
  </si>
  <si>
    <t>Насосная станция «Большой речки»</t>
  </si>
  <si>
    <t>Плотина на «Большой речке»</t>
  </si>
  <si>
    <t>В арендном пользовании ООО «ВКХ»</t>
  </si>
  <si>
    <t>2-х этаж. кирпич., бетон. здание</t>
  </si>
  <si>
    <t>21,39</t>
  </si>
  <si>
    <t>СООРУЖЕНИЕ ОБЩЕЙ ПЛОЩАДЬЮ 289,99 КВ.М</t>
  </si>
  <si>
    <t xml:space="preserve">СООРУЖЕНИЕ.         ОБЩАЯ ПЛОЩАДЬ 8494,2 КВ.М   </t>
  </si>
  <si>
    <t>4-х этажное, ж/б панели</t>
  </si>
  <si>
    <t>2-х этажное, кирпич.-пристрой</t>
  </si>
  <si>
    <t>4-х этажное, кирпич.</t>
  </si>
  <si>
    <t>1-но этажное, ж/б плиты, тес</t>
  </si>
  <si>
    <t>шифер., длина 62,5 м</t>
  </si>
  <si>
    <t>кирпич., длина 94,9 м</t>
  </si>
  <si>
    <t>лотки ж/бетон., длина 925 м</t>
  </si>
  <si>
    <t>ж/бетон., длина 37,5 м</t>
  </si>
  <si>
    <t>подвесные, сталь, d=200мм</t>
  </si>
  <si>
    <t>кирпич., высота 32 м</t>
  </si>
  <si>
    <t>кирпич., высота 60 м</t>
  </si>
  <si>
    <t>бетонные диафрагмы</t>
  </si>
  <si>
    <t>сталь, d=350-400мм, глубина залег. -1,0м</t>
  </si>
  <si>
    <t>сталь, d=300,350,400мм, глубина залег. -1,0м</t>
  </si>
  <si>
    <t>чугун, d=350мм, глубина залег. -1,0-1,5м</t>
  </si>
  <si>
    <t>397,8</t>
  </si>
  <si>
    <t>1980,0</t>
  </si>
  <si>
    <t>длина 100 м</t>
  </si>
  <si>
    <t>высота 60м</t>
  </si>
  <si>
    <t>12,0</t>
  </si>
  <si>
    <t>протяж. 1026 м</t>
  </si>
  <si>
    <t>протяж. 940 м</t>
  </si>
  <si>
    <t>протяж. 1880 м</t>
  </si>
  <si>
    <t>протяж. 1560 м</t>
  </si>
  <si>
    <t>протяж. 1600 м</t>
  </si>
  <si>
    <t>протяж. 2900 м</t>
  </si>
  <si>
    <t>протяж. 850 м</t>
  </si>
  <si>
    <t>протяж. 4200 м</t>
  </si>
  <si>
    <t>протяж. 1800 м</t>
  </si>
  <si>
    <t>протяж. 1720 м</t>
  </si>
  <si>
    <t>протяж. 1120 м</t>
  </si>
  <si>
    <t>протяж. 620 м</t>
  </si>
  <si>
    <t>протяж. 140 м</t>
  </si>
  <si>
    <t>протяж. 780 м</t>
  </si>
  <si>
    <t>протяж. 1000 м</t>
  </si>
  <si>
    <t>протяж. 400 м</t>
  </si>
  <si>
    <t>42:12:0000000:593</t>
  </si>
  <si>
    <t>СООРУЖЕНИЕ ОБЩЕЙ ПЛОЩАДЬЮ 3845,5КВ.М</t>
  </si>
  <si>
    <t>Административно-бытовой блок</t>
  </si>
  <si>
    <t>Биофильтры высоконагружаемые</t>
  </si>
  <si>
    <t>Здание решеток</t>
  </si>
  <si>
    <t>Насосно-фильтровальная станция доочистки сточных вод</t>
  </si>
  <si>
    <t>Канализационная насосная станция перекачки на 3 агрегата</t>
  </si>
  <si>
    <t>Канализационная насосная станция перекачки на 2 агрегата</t>
  </si>
  <si>
    <t>Водоизмерительный лоток</t>
  </si>
  <si>
    <t>Горизонтальные песколовки с круговым движением</t>
  </si>
  <si>
    <t>Смеситель</t>
  </si>
  <si>
    <t>Вторичные отстойники (4 шт.)</t>
  </si>
  <si>
    <t>Наружное освещение</t>
  </si>
  <si>
    <t>Лотки между сооружениями</t>
  </si>
  <si>
    <t>Резервуар емкостью 50 куб.м. доочистки сточных вод</t>
  </si>
  <si>
    <t>Сеть водопровода</t>
  </si>
  <si>
    <t>Тепловые сети доочистки</t>
  </si>
  <si>
    <t>Сбросной коллектор</t>
  </si>
  <si>
    <t>Коллектор</t>
  </si>
  <si>
    <t>Внутриквартальная канализация</t>
  </si>
  <si>
    <t>Канализация от дома 1,4</t>
  </si>
  <si>
    <t>Канализация жилого поселка</t>
  </si>
  <si>
    <t>Канализация</t>
  </si>
  <si>
    <t>Канализация к дому 9</t>
  </si>
  <si>
    <t>Канализация до колодца 28</t>
  </si>
  <si>
    <t>Канализация промплощадки</t>
  </si>
  <si>
    <t>Канализация до больницы</t>
  </si>
  <si>
    <t>Канализация к дому Дзержинского, 24</t>
  </si>
  <si>
    <t>Канализация 5 квартал</t>
  </si>
  <si>
    <t>Сети канализация жилого поселка</t>
  </si>
  <si>
    <t>Канализация от колодца 38</t>
  </si>
  <si>
    <t>Внеквартальные сети канализации 5 квартал</t>
  </si>
  <si>
    <t>Канализация к дому 1,2-3 квартал</t>
  </si>
  <si>
    <t>Поселковая канализация</t>
  </si>
  <si>
    <t>Канализация 4 квартала</t>
  </si>
  <si>
    <t>Внешние сети канализации ул. Гагарина</t>
  </si>
  <si>
    <t>Канализация к дому 7</t>
  </si>
  <si>
    <t>1-но этажное кирпичное здание с подвалом</t>
  </si>
  <si>
    <t>1-но этажное, ж/б плиты</t>
  </si>
  <si>
    <t>ж/бетон</t>
  </si>
  <si>
    <t>1,1</t>
  </si>
  <si>
    <t>3,2</t>
  </si>
  <si>
    <t>Двухъярусные отстойники (8 шт.)</t>
  </si>
  <si>
    <t>бетон, d=12 м</t>
  </si>
  <si>
    <t>904,3</t>
  </si>
  <si>
    <t>бетон, d=9 м</t>
  </si>
  <si>
    <t>254,4</t>
  </si>
  <si>
    <t>протяж.50 м</t>
  </si>
  <si>
    <t>кабель АВВГ 3*4</t>
  </si>
  <si>
    <t>166,7</t>
  </si>
  <si>
    <t>75,6</t>
  </si>
  <si>
    <t>384,0</t>
  </si>
  <si>
    <t>щебеноч.основание</t>
  </si>
  <si>
    <t>Нефтесбросная труба</t>
  </si>
  <si>
    <t>длина 10 м</t>
  </si>
  <si>
    <t>Резервуар грязной воды</t>
  </si>
  <si>
    <t>17,9</t>
  </si>
  <si>
    <t>асбестоцемент</t>
  </si>
  <si>
    <t>протяж. 100 м</t>
  </si>
  <si>
    <t>протяж. 614 м</t>
  </si>
  <si>
    <t>протяж. 720 м</t>
  </si>
  <si>
    <t>протяж. 200 м</t>
  </si>
  <si>
    <t>протяж. 110 м</t>
  </si>
  <si>
    <t>протяж. 1200 м</t>
  </si>
  <si>
    <t>протяж. 190 м</t>
  </si>
  <si>
    <t>протяж. 2600 м</t>
  </si>
  <si>
    <t>протяж. 150 м</t>
  </si>
  <si>
    <t>протяж. 350 м</t>
  </si>
  <si>
    <t>протяж. 826 м</t>
  </si>
  <si>
    <t>протяж. 550 м</t>
  </si>
  <si>
    <t>протяж. 600 м</t>
  </si>
  <si>
    <t>протяж. 1750 м</t>
  </si>
  <si>
    <t>протяж. 1050 м</t>
  </si>
  <si>
    <t>На обслуживании Ташт.авиаметеостанции</t>
  </si>
  <si>
    <t>В арендном пользовании ООО "Шерегеш-Строй"</t>
  </si>
  <si>
    <t xml:space="preserve">42:34:0104006:79 </t>
  </si>
  <si>
    <t>1.2.435.1</t>
  </si>
  <si>
    <t>1.2.435.2</t>
  </si>
  <si>
    <t>1.2.435.3</t>
  </si>
  <si>
    <t>1.2.435.4</t>
  </si>
  <si>
    <t>1.2.435.5</t>
  </si>
  <si>
    <t>Здание фильтровальной станции</t>
  </si>
  <si>
    <t>Бытовые помещения</t>
  </si>
  <si>
    <t>Камера переключений</t>
  </si>
  <si>
    <t>Резервуар № 1 1000 м3</t>
  </si>
  <si>
    <t>Резервуар № 2 1000 м3</t>
  </si>
  <si>
    <t>Ограждение фильтровальной станции</t>
  </si>
  <si>
    <t>Металлическая дымовая труба</t>
  </si>
  <si>
    <t>Сети водопровода жилого поселка</t>
  </si>
  <si>
    <t>Водопровод к дому № 1</t>
  </si>
  <si>
    <t>Внеквартальные сети водопровода</t>
  </si>
  <si>
    <t>Магистральный водопровод</t>
  </si>
  <si>
    <t>Водоснабжение поселка</t>
  </si>
  <si>
    <t>Водопровод промышленный</t>
  </si>
  <si>
    <t>СООРУЖЕНИЕ ОБЩЕЙ ПЛОЩАДЬЮ 2706,84 КВ.М</t>
  </si>
  <si>
    <t xml:space="preserve">1-но этажное кирпичное, брус здание </t>
  </si>
  <si>
    <t>291,6</t>
  </si>
  <si>
    <t>214,4</t>
  </si>
  <si>
    <t>448,4</t>
  </si>
  <si>
    <t>бетон; d=18,6 м; глубина залож. 4,05 м</t>
  </si>
  <si>
    <t>бетон, d=18,6 м; глубина залож. 4,05 м</t>
  </si>
  <si>
    <t>бетон, d=12 м; глубина залож. 4,60 м</t>
  </si>
  <si>
    <t>5,8</t>
  </si>
  <si>
    <t>протяж. 4000 м</t>
  </si>
  <si>
    <t>протяж. 1400 м</t>
  </si>
  <si>
    <t>сталь, d=200-250 мм</t>
  </si>
  <si>
    <t>металл, d=10 мм</t>
  </si>
  <si>
    <t>металл, d=400 мм; высота-3,6 м</t>
  </si>
  <si>
    <t>сталь, d=250 мм</t>
  </si>
  <si>
    <t>сталь, d=300 мм</t>
  </si>
  <si>
    <t>сталь, d=80 мм</t>
  </si>
  <si>
    <t>сталь, d=50 мм</t>
  </si>
  <si>
    <t>сталь, d=150 мм-1400 м; d=80 мм-400 м</t>
  </si>
  <si>
    <t>протяж. 1830 м</t>
  </si>
  <si>
    <t>сталь, d=200 мм-1300 м; d=250 мм-530 м</t>
  </si>
  <si>
    <t>протяж. 650 м</t>
  </si>
  <si>
    <t>сталь, d=150 мм</t>
  </si>
  <si>
    <t>протяж. 2200 м</t>
  </si>
  <si>
    <t>сталь, d=200 мм</t>
  </si>
  <si>
    <t>протяж. 2000 м</t>
  </si>
  <si>
    <t>протяж. 160 м</t>
  </si>
  <si>
    <t>сталь, d=100 мм</t>
  </si>
  <si>
    <t>протяж. 80 м</t>
  </si>
  <si>
    <t>протяж. 120 м</t>
  </si>
  <si>
    <t>протяж. 430 м</t>
  </si>
  <si>
    <t>протяж. 2780 м</t>
  </si>
  <si>
    <t>сталь, d=100 мм-2200 м; d=150 мм-580 м</t>
  </si>
  <si>
    <t>протяж. 580 м</t>
  </si>
  <si>
    <t>1.5.470.1</t>
  </si>
  <si>
    <t>СООРУЖЕНИЕ, состоящее из 17 объектов. Общая площадь -  7478,8 кв. м</t>
  </si>
  <si>
    <t>СООРУЖЕНИЕ ОБЩЕЙ ПЛОЩАДЬЮ 2183,5 КВ.М</t>
  </si>
  <si>
    <t>СООРУЖЕНИЕ ОБЩЕЙ ПЛОЩАДЬЮ 10470,1 КВ.М</t>
  </si>
  <si>
    <t>бетонный, L=99 м</t>
  </si>
  <si>
    <t>КОМПЛЕКС КОТЕЛЬНОЙ СТАРОГО ПОСЕЛКА</t>
  </si>
  <si>
    <t>КОМПЛЕКС УЧАСТКА ПРОИЗВОДСТВЕННОЙ КОТЕЛЬНОЙ</t>
  </si>
  <si>
    <t>КОМПЛЕКС ЭНЕРГЕТИЧЕСКОГО ЦЕХА</t>
  </si>
  <si>
    <t>КОМПЛЕКС КОТЕЛЬНОЙ НОВОЙ ПРОМПЛОЩАДКИ</t>
  </si>
  <si>
    <t>42:12:0104003:9</t>
  </si>
  <si>
    <t>42:12:0104001:71</t>
  </si>
  <si>
    <t>Земельный участок , предназначенный под индивидуальное жилье</t>
  </si>
  <si>
    <t>Галерея топливоподачи</t>
  </si>
  <si>
    <t>Внешнее гидрозолоудаление</t>
  </si>
  <si>
    <t>Подпорная стенка от оползней у склада угля</t>
  </si>
  <si>
    <t>Магистральный теплопровод от котельной до надшахтного комплекса</t>
  </si>
  <si>
    <t>Паропровод от котельной до надшахтного комплекса</t>
  </si>
  <si>
    <t xml:space="preserve">Дымовая труба </t>
  </si>
  <si>
    <t>Угольная эстакада</t>
  </si>
  <si>
    <t>Галерея угля</t>
  </si>
  <si>
    <t>Аккумуляторный бак</t>
  </si>
  <si>
    <t>Паропроводная трасса</t>
  </si>
  <si>
    <t>Мазутопровод</t>
  </si>
  <si>
    <t>Оголовок водозабора</t>
  </si>
  <si>
    <t>Водозаборное сооружение</t>
  </si>
  <si>
    <t>КОМПЛЕКС ОЧИСТНЫХ СООРУЖЕНИЙ</t>
  </si>
  <si>
    <t>2-х этажное, кирпичное (административное)</t>
  </si>
  <si>
    <t>1.5.469</t>
  </si>
  <si>
    <t>1.5.470</t>
  </si>
  <si>
    <t>1.5.471</t>
  </si>
  <si>
    <t>1.5.472</t>
  </si>
  <si>
    <t>1.5.473</t>
  </si>
  <si>
    <t>1.5.474</t>
  </si>
  <si>
    <t>1.2.428.1</t>
  </si>
  <si>
    <t>КОМПЛЕКС ФИЛЬТРОВАЛЬНОЙ СТАНЦИИ</t>
  </si>
  <si>
    <t>протяж. 230 м, d=100мм.</t>
  </si>
  <si>
    <t>бак мазута ем. 1000</t>
  </si>
  <si>
    <t>здания - насосная д/мазута</t>
  </si>
  <si>
    <t>2 бетонных конуса Д=4 м, h= 3,45 м, V= 43 м3 и 1-го конуса Д=2 м, h= 3,45 м, V= 11 м3</t>
  </si>
  <si>
    <t>КОМПЛЕКС НАСОСНОЙ СТАНЦИИ «Большой речки» (состоящий из 2-х объектов-Лит. В, Лит., Г)</t>
  </si>
  <si>
    <t>1.2.430.1</t>
  </si>
  <si>
    <t>1.2.431.2</t>
  </si>
  <si>
    <t>1.2.431.3</t>
  </si>
  <si>
    <t>1.2.431.4</t>
  </si>
  <si>
    <t>1.2.431.5</t>
  </si>
  <si>
    <t>1.2.431.6</t>
  </si>
  <si>
    <t>1.2.432</t>
  </si>
  <si>
    <t>1.2.433</t>
  </si>
  <si>
    <t>1.2.435</t>
  </si>
  <si>
    <t>1.2.435.6</t>
  </si>
  <si>
    <t>1.2.435.7</t>
  </si>
  <si>
    <t>1.2.436</t>
  </si>
  <si>
    <t>Стены бетонные, дно гравийное</t>
  </si>
  <si>
    <t>1.5.468.1</t>
  </si>
  <si>
    <t>1.5.468.2</t>
  </si>
  <si>
    <t>1.5.468.3</t>
  </si>
  <si>
    <t>1.5.468.4</t>
  </si>
  <si>
    <t>1.5.468.5</t>
  </si>
  <si>
    <t>1.5.468.6</t>
  </si>
  <si>
    <t>1.5.468.7</t>
  </si>
  <si>
    <t>1.5.468.8</t>
  </si>
  <si>
    <t>1.5.468.9</t>
  </si>
  <si>
    <t>1.5.468.10</t>
  </si>
  <si>
    <t>1.5.468.11</t>
  </si>
  <si>
    <t>1.5.468.12</t>
  </si>
  <si>
    <t>1.5.468.13</t>
  </si>
  <si>
    <t>1.5.469.1</t>
  </si>
  <si>
    <t>1.5.470.2</t>
  </si>
  <si>
    <t>1.5.470.3</t>
  </si>
  <si>
    <t>1.5.470.4</t>
  </si>
  <si>
    <t>1.5.470.5</t>
  </si>
  <si>
    <t>1.5.470.6</t>
  </si>
  <si>
    <t>1.5.470.7</t>
  </si>
  <si>
    <t>1.5.470.8</t>
  </si>
  <si>
    <t>1.5.470.9</t>
  </si>
  <si>
    <t>1.5.477</t>
  </si>
  <si>
    <t>Центральный распределительный пункт канализационной станции перекачки</t>
  </si>
  <si>
    <t>Трансформаторный киоск у старой котельной</t>
  </si>
  <si>
    <t>Центральный распределительный пункт у насосной «Большая речка»</t>
  </si>
  <si>
    <t>1.2.437</t>
  </si>
  <si>
    <t>1.2.438</t>
  </si>
  <si>
    <t>КОМПЛЕКС ВОДОСНАБЖЕНИЕ ПРОИЗВОДСТВА И ЖИЛОГО ПОСЕЛКА</t>
  </si>
  <si>
    <t>Сооружение, состоящее из 8 объектов</t>
  </si>
  <si>
    <t>1.2.439.1</t>
  </si>
  <si>
    <t>1.2.439.2</t>
  </si>
  <si>
    <t>Хлораторная</t>
  </si>
  <si>
    <t>Тельбесская насосная станция</t>
  </si>
  <si>
    <t>Водосброс с отводными каналами</t>
  </si>
  <si>
    <t>Резервуар для воды 1000 м3</t>
  </si>
  <si>
    <t>Резервуар для воды 600 м3</t>
  </si>
  <si>
    <t>1.2.440</t>
  </si>
  <si>
    <t>1.5.478</t>
  </si>
  <si>
    <t>1.5.479</t>
  </si>
  <si>
    <t>1.5.480</t>
  </si>
  <si>
    <t>1.5.481</t>
  </si>
  <si>
    <t>протяж. 523,6 м</t>
  </si>
  <si>
    <t>протяж. 82 м</t>
  </si>
  <si>
    <t>1.5.482</t>
  </si>
  <si>
    <t>1.5.483</t>
  </si>
  <si>
    <t>1.5.484</t>
  </si>
  <si>
    <t>здание трансформаторной подстанции</t>
  </si>
  <si>
    <t>Здание трансформаторной подстанции № 14</t>
  </si>
  <si>
    <t>П/станция 2 КТП-1000</t>
  </si>
  <si>
    <t>1.2.441</t>
  </si>
  <si>
    <t>1.2.442</t>
  </si>
  <si>
    <t>1.2.445</t>
  </si>
  <si>
    <t>Сети и очистные сооружения ливневой канализации</t>
  </si>
  <si>
    <t>1.5.485</t>
  </si>
  <si>
    <t>1.5.486</t>
  </si>
  <si>
    <t>1.5.488</t>
  </si>
  <si>
    <t>1.5.489</t>
  </si>
  <si>
    <t>1.5.490</t>
  </si>
  <si>
    <t>1.5.491</t>
  </si>
  <si>
    <t>1.5.492</t>
  </si>
  <si>
    <t>1.5.496</t>
  </si>
  <si>
    <t>1.5.497</t>
  </si>
  <si>
    <t>1.5.498</t>
  </si>
  <si>
    <t>1.5.499</t>
  </si>
  <si>
    <t>1.5.500</t>
  </si>
  <si>
    <t>1.5.501</t>
  </si>
  <si>
    <t>1.5.502</t>
  </si>
  <si>
    <t>Внешние сети</t>
  </si>
  <si>
    <t>Водовод промышленный</t>
  </si>
  <si>
    <t>20.02.2004</t>
  </si>
  <si>
    <t>Газоходы и воздуховоды</t>
  </si>
  <si>
    <t>Двухярусные отстойники 12м 8шт</t>
  </si>
  <si>
    <t>Водоснабжение Н-поселка</t>
  </si>
  <si>
    <t>Донный водоспуск ж/б 4 ключа</t>
  </si>
  <si>
    <t>Кабельные сети</t>
  </si>
  <si>
    <t>Комплектная трансф.КТП 2/1000</t>
  </si>
  <si>
    <t>Комплектная трансф.</t>
  </si>
  <si>
    <t>Наружные сети водопровода</t>
  </si>
  <si>
    <t>Пожарно-питьевой водопровод</t>
  </si>
  <si>
    <t>Самотечный водопровод Н-Шерегеш</t>
  </si>
  <si>
    <t>Паропровод от котельной</t>
  </si>
  <si>
    <t>Ограждение из проволоки</t>
  </si>
  <si>
    <t>01.01.2005</t>
  </si>
  <si>
    <t>Резервуар №1 150 куб.м.</t>
  </si>
  <si>
    <t>Резервуар №2 150 куб.м.</t>
  </si>
  <si>
    <t>Паводковый водосброс ж/б 4ключ</t>
  </si>
  <si>
    <t>Xозфекальная канализация</t>
  </si>
  <si>
    <t>Дренажный коллектор 6 квартала</t>
  </si>
  <si>
    <t>Наружные сети канализации</t>
  </si>
  <si>
    <t>Сети водопровода от КВ1 дот.А-</t>
  </si>
  <si>
    <t>Внешние сети теплофикации</t>
  </si>
  <si>
    <t>Сети теплофикации ул.Заречная</t>
  </si>
  <si>
    <t>1.5.503</t>
  </si>
  <si>
    <t>1.5.504</t>
  </si>
  <si>
    <t>1.5.505</t>
  </si>
  <si>
    <t>1.5.506</t>
  </si>
  <si>
    <t>1.5.507</t>
  </si>
  <si>
    <t>1.5.508</t>
  </si>
  <si>
    <t>1.5.509</t>
  </si>
  <si>
    <t>1.5.510</t>
  </si>
  <si>
    <t>1.5.511</t>
  </si>
  <si>
    <t>1.5.512</t>
  </si>
  <si>
    <t>1.5.513</t>
  </si>
  <si>
    <t>1.5.514</t>
  </si>
  <si>
    <t>1.5.515</t>
  </si>
  <si>
    <t>1.5.516</t>
  </si>
  <si>
    <t>1.5.517</t>
  </si>
  <si>
    <t>1.5.518</t>
  </si>
  <si>
    <t>1.5.519</t>
  </si>
  <si>
    <t>1.5.520</t>
  </si>
  <si>
    <t>1.5.521</t>
  </si>
  <si>
    <t>1.5.522</t>
  </si>
  <si>
    <t>1.5.523</t>
  </si>
  <si>
    <t>1.5.524</t>
  </si>
  <si>
    <t>1.5.525</t>
  </si>
  <si>
    <t>1.5.527</t>
  </si>
  <si>
    <t>1.5.528</t>
  </si>
  <si>
    <t>1.5.529</t>
  </si>
  <si>
    <t>1.5.530</t>
  </si>
  <si>
    <t>1.5.531</t>
  </si>
  <si>
    <t>1.5.532</t>
  </si>
  <si>
    <t>1.5.533</t>
  </si>
  <si>
    <t>01.10.2004</t>
  </si>
  <si>
    <t>Сети водопровода ул.Дзержинского</t>
  </si>
  <si>
    <t>Сети канализации ул.Дзержинского</t>
  </si>
  <si>
    <t>Сети водопроводные керамическ.</t>
  </si>
  <si>
    <t>Сети водопроводные стальные</t>
  </si>
  <si>
    <t>Комплектная трансфор. подстан.</t>
  </si>
  <si>
    <t>Сети кабельные 6кв к АБК</t>
  </si>
  <si>
    <t>Кабельные сети дом.20-21 Дзерж</t>
  </si>
  <si>
    <t>Кабельные сети 0,4кв ж/д 23 ДЗ</t>
  </si>
  <si>
    <t>Кабельные сети 0,4кв ж/д 24 Дз</t>
  </si>
  <si>
    <t>Кабельные сети 6кв ж/д</t>
  </si>
  <si>
    <t>Гараж металлический</t>
  </si>
  <si>
    <t>Комплектная трансформаторная</t>
  </si>
  <si>
    <t>Xоз.фекал.канализация</t>
  </si>
  <si>
    <t>Тепловая трасса жил.поселка</t>
  </si>
  <si>
    <t>Водопроводная трасса</t>
  </si>
  <si>
    <t>Станция сливной канализации</t>
  </si>
  <si>
    <t>инв.ном. Ц0012766</t>
  </si>
  <si>
    <t>инв.ном. Ц0012844</t>
  </si>
  <si>
    <t>инв.ном. Ц0014648</t>
  </si>
  <si>
    <t>инв.ном. Ц0014649</t>
  </si>
  <si>
    <t>инв.ном. Ц0014658</t>
  </si>
  <si>
    <t>инв.ном. Ц0014689</t>
  </si>
  <si>
    <t>инв.ном. Ц0014699</t>
  </si>
  <si>
    <t>инв.ном. Ц0014708</t>
  </si>
  <si>
    <t>инв.ном. Ц0014744</t>
  </si>
  <si>
    <t>инв.ном. Ц0014769</t>
  </si>
  <si>
    <t>инв.ном. Ц0014773</t>
  </si>
  <si>
    <t>инв.ном. Ц0014821</t>
  </si>
  <si>
    <t>инв.ном. Ц0014822</t>
  </si>
  <si>
    <t>инв.ном. Ц0014842</t>
  </si>
  <si>
    <t>инв.ном. Ц0014895</t>
  </si>
  <si>
    <t>инв.ном. Ц0015006</t>
  </si>
  <si>
    <t>инв.ном. Ц0015008</t>
  </si>
  <si>
    <t>инв.ном. Ц0015019</t>
  </si>
  <si>
    <t>инв.ном. Ц0022731</t>
  </si>
  <si>
    <t>инв.ном. Ц0022858</t>
  </si>
  <si>
    <t>инв.ном. Ц0022859</t>
  </si>
  <si>
    <t>инв.ном. Ц0022892</t>
  </si>
  <si>
    <t>инв.ном. Ц0022893</t>
  </si>
  <si>
    <t>инв.ном. Ц0022896</t>
  </si>
  <si>
    <t>инв.ном. Ц0022897</t>
  </si>
  <si>
    <t>инв.ном. Ц0022898</t>
  </si>
  <si>
    <t>инв.ном. Ц0022900</t>
  </si>
  <si>
    <t>инв.ном. Ц0022901</t>
  </si>
  <si>
    <t>инв.ном. Ц0022902</t>
  </si>
  <si>
    <t>инв.ном. Ц0022904</t>
  </si>
  <si>
    <t>инв.ном. Ц0022906</t>
  </si>
  <si>
    <t>инв.ном. Ц0022907</t>
  </si>
  <si>
    <t>инв.ном. Ц0022908</t>
  </si>
  <si>
    <t>инв.ном. Ц0022909</t>
  </si>
  <si>
    <t>инв.ном. Ц0022911</t>
  </si>
  <si>
    <t>Сети теплофикации кв 7 от Бойлерной</t>
  </si>
  <si>
    <t>инв.ном. Ц0022912</t>
  </si>
  <si>
    <t>инв.ном. Ц0022974</t>
  </si>
  <si>
    <t>инв.ном. Ц0022975</t>
  </si>
  <si>
    <t>инв.ном. Ц0022976</t>
  </si>
  <si>
    <t>инв.ном. Ц0022977</t>
  </si>
  <si>
    <t>Сети теплофикации ул.Дзерж.20-21</t>
  </si>
  <si>
    <t>инв.ном. Ц0022982</t>
  </si>
  <si>
    <t>инв.ном. Ц0022983</t>
  </si>
  <si>
    <t>инв.ном. Ц0022984</t>
  </si>
  <si>
    <t>инв.ном. Ц0022985</t>
  </si>
  <si>
    <t>инв.ном. Ц0023859</t>
  </si>
  <si>
    <t>инв.ном. Ц0057467</t>
  </si>
  <si>
    <t>инв.ном. Ц0057509</t>
  </si>
  <si>
    <t>инв.ном. Ц0057032</t>
  </si>
  <si>
    <t>инв.ном. Ц0057604</t>
  </si>
  <si>
    <t>инв.ном. Ц0057605</t>
  </si>
  <si>
    <t>инв.ном. Ц0057607</t>
  </si>
  <si>
    <t>1.1.340.2</t>
  </si>
  <si>
    <t>42:34:0114010:107</t>
  </si>
  <si>
    <t>1- этажное  кирпичное здание</t>
  </si>
  <si>
    <t>5-ти этажное, кирпичное  -1 этаж</t>
  </si>
  <si>
    <t>1.2.434.2</t>
  </si>
  <si>
    <t>1.3.132</t>
  </si>
  <si>
    <t>12а</t>
  </si>
  <si>
    <t>12б</t>
  </si>
  <si>
    <t>1.1.654.1</t>
  </si>
  <si>
    <t>1-но этажное деревянное здание</t>
  </si>
  <si>
    <t>1.1.538.1</t>
  </si>
  <si>
    <t xml:space="preserve">42:12:0105003:951 </t>
  </si>
  <si>
    <t xml:space="preserve">42:12:0106002:2967 </t>
  </si>
  <si>
    <t>1.1.820.</t>
  </si>
  <si>
    <t>1.1.820.11</t>
  </si>
  <si>
    <t>1.1.820.12</t>
  </si>
  <si>
    <t>1.1.820.18</t>
  </si>
  <si>
    <t>1.1.820.20</t>
  </si>
  <si>
    <t>5-ти этажное, монолитное ж/б здание (4-жилых этажа), обшито сайдингом</t>
  </si>
  <si>
    <t>26а</t>
  </si>
  <si>
    <t>42:34:0103007:126</t>
  </si>
  <si>
    <t>42:34:0103007:158</t>
  </si>
  <si>
    <t>42:34:0103007:125</t>
  </si>
  <si>
    <t>42:34:0103007:160</t>
  </si>
  <si>
    <t>1.1.640.2</t>
  </si>
  <si>
    <t xml:space="preserve">42:12:0114002:1635 </t>
  </si>
  <si>
    <t>1.1.644.2</t>
  </si>
  <si>
    <t xml:space="preserve">42:12:0114002:1532 </t>
  </si>
  <si>
    <t>1.1.662.1</t>
  </si>
  <si>
    <t>1.1.662.2</t>
  </si>
  <si>
    <t xml:space="preserve">42:12:0114002:1535 </t>
  </si>
  <si>
    <t xml:space="preserve">42:12:0114002:1534 </t>
  </si>
  <si>
    <t>1.1.675.1</t>
  </si>
  <si>
    <t>1.1.675.2</t>
  </si>
  <si>
    <t>1.1.675.3</t>
  </si>
  <si>
    <t>1.1.675.4</t>
  </si>
  <si>
    <t>1.1.675.5</t>
  </si>
  <si>
    <t>1.1.675.6</t>
  </si>
  <si>
    <t>1.1.675.7</t>
  </si>
  <si>
    <t>1.1.675.8</t>
  </si>
  <si>
    <t>42:12:0112001:360</t>
  </si>
  <si>
    <t xml:space="preserve">42:12:0112001:361 </t>
  </si>
  <si>
    <t xml:space="preserve">42:12:0112001:362 </t>
  </si>
  <si>
    <t xml:space="preserve">42:12:0112001:363 </t>
  </si>
  <si>
    <t xml:space="preserve">42:12:0112001:364 </t>
  </si>
  <si>
    <t>42:12:0112001:365</t>
  </si>
  <si>
    <t xml:space="preserve">42:12:0112001:366 </t>
  </si>
  <si>
    <t xml:space="preserve">42:12:0112001:367 </t>
  </si>
  <si>
    <t>42:34:0114012:114</t>
  </si>
  <si>
    <t>5-ти этажное, кирпичное- цокольный этаж</t>
  </si>
  <si>
    <t>5-ти этажное, кирпичное-цокольный этаж, офис</t>
  </si>
  <si>
    <t>Здание гаража-столярки</t>
  </si>
  <si>
    <t>1.1.775.5</t>
  </si>
  <si>
    <t>1.1.775.6</t>
  </si>
  <si>
    <t>2-х этаж. дерев.</t>
  </si>
  <si>
    <t>аэротенки-42:12:0105002:3096; аэротенки-42:12:0105002:3095; аэротенки-42:12:0105002:3105; первич. отст.42:12:0105002:3097; первич. отст.42:12:0105002:3106; первич. отст.42:12:0105002:3107; втор. отст.-42:12:0105002:3108; втор. отст.-42:12:0105002:3101; втор. отст.-42:12:0105002:3104; стабилизатор-42:12:0105002:3100; стабилизатор-42:12:0105002:3099; стабилизатор-42:12:0105002:3110; стабилизатор-42:12:0105002:3113; стабилизатор-42:12:0105002:3103; стабилизатор-(Лит Г14)-42:12:0000000:562</t>
  </si>
  <si>
    <t>протяж. 69 м</t>
  </si>
  <si>
    <t>протяж. 9,5 м, д/ трубы 50мм</t>
  </si>
  <si>
    <t>В оперативном управлении  МАУК ГПКиО "Горняцкие горизонты" Таштагольского муниципального района</t>
  </si>
  <si>
    <t>Здание насосной станции 3</t>
  </si>
  <si>
    <t xml:space="preserve">42:34:000000:0000:44/1:1001/А </t>
  </si>
  <si>
    <t xml:space="preserve">42:12:0101001:237 </t>
  </si>
  <si>
    <t>В хозяйственном ведении МООП "Стимул"</t>
  </si>
  <si>
    <t>Бойлерная станция</t>
  </si>
  <si>
    <t>1.2.399.1</t>
  </si>
  <si>
    <t>1.2.411</t>
  </si>
  <si>
    <t>1.2.412.1</t>
  </si>
  <si>
    <t>1.2.419.1</t>
  </si>
  <si>
    <t>1.2.419.2</t>
  </si>
  <si>
    <t>1.2.419.3</t>
  </si>
  <si>
    <t>1.2.419.4</t>
  </si>
  <si>
    <t>1.2.419.5</t>
  </si>
  <si>
    <t>1.2.419.6</t>
  </si>
  <si>
    <t>1.2.419.7</t>
  </si>
  <si>
    <t>1.2.428.2</t>
  </si>
  <si>
    <t>1.2.428.3</t>
  </si>
  <si>
    <t>1.2.430.2</t>
  </si>
  <si>
    <t>1.2.430.3</t>
  </si>
  <si>
    <t>1.2.430.4</t>
  </si>
  <si>
    <t>1.2.430.5</t>
  </si>
  <si>
    <t>1.2.430.6</t>
  </si>
  <si>
    <t>1.2.430.7</t>
  </si>
  <si>
    <t>1.2.431</t>
  </si>
  <si>
    <t>1.2.431.1</t>
  </si>
  <si>
    <t>В аренде ООО "ТУК"</t>
  </si>
  <si>
    <t>1.2.46</t>
  </si>
  <si>
    <t>Отдельно стоящее нежилое здание насосной тепловой станции №7</t>
  </si>
  <si>
    <t>протяж. 1046,0 м, d=89, 100, 159, 219мм</t>
  </si>
  <si>
    <t xml:space="preserve">Кемеровская обл, р-н Таштагольский, пгт. Каз  </t>
  </si>
  <si>
    <t>1.5.358.1</t>
  </si>
  <si>
    <t>1.5.358.2</t>
  </si>
  <si>
    <t>1.5.358.3</t>
  </si>
  <si>
    <t xml:space="preserve">Сети канализации </t>
  </si>
  <si>
    <t>1988,1992</t>
  </si>
  <si>
    <t>1.3.61</t>
  </si>
  <si>
    <t>1.3.63</t>
  </si>
  <si>
    <t>протяж. 18411,0</t>
  </si>
  <si>
    <t xml:space="preserve">протяж.242*2 м; d=89 мм(подача); d=76мм (обратка) </t>
  </si>
  <si>
    <t>протяж.240 м, d=57мм; d=89 мм (глубина залож. 1,5м)</t>
  </si>
  <si>
    <t>протяж.50 м; d=100 мм</t>
  </si>
  <si>
    <t>Сети тепловодоснабжения и канализации жилых домов №2,3,5,7,9 ул.Энергетиков</t>
  </si>
  <si>
    <t>Сети теплоснабжения от колодца ТК-2 до дома №9</t>
  </si>
  <si>
    <t>протяж. 33 м</t>
  </si>
  <si>
    <t xml:space="preserve">Тепловые сети в 2-х трубном исполнении от домов: № 9,21,23    по ул.   Суворова 
</t>
  </si>
  <si>
    <t>1.5.300.</t>
  </si>
  <si>
    <t>Тепловые сети в 2-х трубном исполнении от домов : № 7,9,11,13, 15, 17, 21,27,29 по ул. Поспелова</t>
  </si>
  <si>
    <t>Тепловые сети в 2-х трубном исполнении от домов : № 18,22,33 по ул. Поспелова</t>
  </si>
  <si>
    <t>протяж. 73 м</t>
  </si>
  <si>
    <t>протяж. 124 м</t>
  </si>
  <si>
    <t>протяж.22м</t>
  </si>
  <si>
    <t xml:space="preserve">Тепловые сети в 2-х трубном исполнении от домов : №3,4,5,6,8 по ул. Ноградская </t>
  </si>
  <si>
    <t xml:space="preserve">Тепловые сети в 2-х трубном исполнении от домов : № 28, 26 по ул. Нестерова  </t>
  </si>
  <si>
    <t>1.5.302.1</t>
  </si>
  <si>
    <t>1.5.302.2</t>
  </si>
  <si>
    <t>1.5.302.3</t>
  </si>
  <si>
    <t>1.5.302.4</t>
  </si>
  <si>
    <t>Тепловые сети в 2-х трубном исполнении от домов : № 2, 4, 6, 8, 10,12, 14 по ул. Макаренко</t>
  </si>
  <si>
    <t>Тепловые сети в 2-х трубном исполнении от домов : № 13,14,15, 16,17,18,25 по ул. Ноградская</t>
  </si>
  <si>
    <t>протяж. 147м</t>
  </si>
  <si>
    <t>протяж. 177 м</t>
  </si>
  <si>
    <t>Тепловые сети в 2-х трубном исполнении от домов : № 1, 2, 3, 4, по ул. 8-е Марта</t>
  </si>
  <si>
    <t xml:space="preserve"> протяж. 47 м</t>
  </si>
  <si>
    <t xml:space="preserve">Тепловые сети в 2-х трубном исполнении от домов : № 39, 41,43 по ул. Ульянова </t>
  </si>
  <si>
    <t>протяж. 49 м</t>
  </si>
  <si>
    <t>1.5.323.4</t>
  </si>
  <si>
    <t>1.5.323.5</t>
  </si>
  <si>
    <t>1.5.323.6</t>
  </si>
  <si>
    <t>1.5.323.7</t>
  </si>
  <si>
    <t>1.5.323.8</t>
  </si>
  <si>
    <t>протяж 100 м</t>
  </si>
  <si>
    <t>Тепловая сеть</t>
  </si>
  <si>
    <t>1.5.324.1</t>
  </si>
  <si>
    <t>1.5.324.2</t>
  </si>
  <si>
    <t>протяж. 145 м</t>
  </si>
  <si>
    <t>протяж.38м</t>
  </si>
  <si>
    <t>Тепловые сети в 2-х трубном исполнении от домов: № 1,2,3,4, 5,6,7,8,10,11,12,13 по ул. Юбилейная</t>
  </si>
  <si>
    <t xml:space="preserve"> протяж. 171 м </t>
  </si>
  <si>
    <t xml:space="preserve">протяж. 221м </t>
  </si>
  <si>
    <t xml:space="preserve">Тепловые сети в 2-х трубном исполнении от домов: № 1, 2,4,5, 7, 8, 9, 10,11,12,13,14,15,16, 17,19 по ул. 18 п/ съезда </t>
  </si>
  <si>
    <t xml:space="preserve">Тепловые сети в 2-х трубном исполнении от домов: № 5, 7, 9, 15, 31, 33, 35у,37 по ул. Мира </t>
  </si>
  <si>
    <t>протяж.31 м</t>
  </si>
  <si>
    <t xml:space="preserve">Тепловые сети в 2-х трубном исполнении   от домов: № 2,6 по ул.  К.Маркса </t>
  </si>
  <si>
    <t xml:space="preserve">Тепловые сети в 2-х трубном исполнении   от домов: № 2,4 по ул. 20 П/съезда </t>
  </si>
  <si>
    <t xml:space="preserve">протяж. 36 м </t>
  </si>
  <si>
    <t xml:space="preserve">протяж. 20 м </t>
  </si>
  <si>
    <t>1.5.326.1</t>
  </si>
  <si>
    <t>Тепловые сети в 2-х трубном исполнении от дома № 31 по ул. К.Цеткин</t>
  </si>
  <si>
    <t>1.5.326.2</t>
  </si>
  <si>
    <t>1.5.326.3</t>
  </si>
  <si>
    <t>1.5.326.4</t>
  </si>
  <si>
    <t>1.5.326.5</t>
  </si>
  <si>
    <t>1.5.326.6</t>
  </si>
  <si>
    <t>1.5.325.1</t>
  </si>
  <si>
    <t>1.5.325.2</t>
  </si>
  <si>
    <t>1.5.325.3</t>
  </si>
  <si>
    <t>1.5.325.4</t>
  </si>
  <si>
    <t>1.5.325.5</t>
  </si>
  <si>
    <t>д/ трубы 50мм</t>
  </si>
  <si>
    <t>1.5.458</t>
  </si>
  <si>
    <t>1.5.461.1</t>
  </si>
  <si>
    <t>1.5.461.2</t>
  </si>
  <si>
    <t>1.5.461.3</t>
  </si>
  <si>
    <t>1.5.461.4</t>
  </si>
  <si>
    <t>1.5.461.5</t>
  </si>
  <si>
    <t>1.5.461.6</t>
  </si>
  <si>
    <t>1.5.461.7</t>
  </si>
  <si>
    <t>1.5.461.8</t>
  </si>
  <si>
    <t>1.5.465.1</t>
  </si>
  <si>
    <t>1.5.465.2</t>
  </si>
  <si>
    <t>1.5.465.3</t>
  </si>
  <si>
    <t>1.5.465.4</t>
  </si>
  <si>
    <t>1.5.465.5</t>
  </si>
  <si>
    <t>1.5.465.6</t>
  </si>
  <si>
    <t>1.5.465.7</t>
  </si>
  <si>
    <t>1.5.465.8</t>
  </si>
  <si>
    <t>1.5.465.9</t>
  </si>
  <si>
    <t>1.5.465.10</t>
  </si>
  <si>
    <t>1.5.465.11</t>
  </si>
  <si>
    <t>1.5.465.12</t>
  </si>
  <si>
    <t>1.5.466.1</t>
  </si>
  <si>
    <t>1.5.467.1</t>
  </si>
  <si>
    <t>1.5.467.2</t>
  </si>
  <si>
    <t>1.5.467.3</t>
  </si>
  <si>
    <t>1.5.467.4</t>
  </si>
  <si>
    <t>1.5.467.5</t>
  </si>
  <si>
    <t>1.5.467.6</t>
  </si>
  <si>
    <t>1.5.467.7</t>
  </si>
  <si>
    <t>1.5.467.8</t>
  </si>
  <si>
    <t>1.5.467.9</t>
  </si>
  <si>
    <t>1.5.467.10</t>
  </si>
  <si>
    <t>1.5.467.11</t>
  </si>
  <si>
    <t>1.5.467.12</t>
  </si>
  <si>
    <t>1.5.467.13</t>
  </si>
  <si>
    <t>1.5.467.14</t>
  </si>
  <si>
    <t>1.5.467.15</t>
  </si>
  <si>
    <t>1.5.467.16</t>
  </si>
  <si>
    <t>1.5.467.17</t>
  </si>
  <si>
    <t>1.5.467.18</t>
  </si>
  <si>
    <t>1.5.467.19</t>
  </si>
  <si>
    <t>1.5.467.20</t>
  </si>
  <si>
    <t>1.5.467.21</t>
  </si>
  <si>
    <t>1.5.467.22</t>
  </si>
  <si>
    <t>1.5.467.23</t>
  </si>
  <si>
    <t>1.5.467.24</t>
  </si>
  <si>
    <t>1.5.467.25</t>
  </si>
  <si>
    <t>1.5.467.26</t>
  </si>
  <si>
    <t>1.5.467.27</t>
  </si>
  <si>
    <t>1.5.467.28</t>
  </si>
  <si>
    <t>1.5.467.29</t>
  </si>
  <si>
    <t>1.5.467.30</t>
  </si>
  <si>
    <t>1.5.467.31</t>
  </si>
  <si>
    <t>1.5.467.32</t>
  </si>
  <si>
    <t>1.5.467.33</t>
  </si>
  <si>
    <t>1.5.467.34</t>
  </si>
  <si>
    <t>1.5.467.35</t>
  </si>
  <si>
    <t>1.5.467.36</t>
  </si>
  <si>
    <t>1.5.467.37</t>
  </si>
  <si>
    <t>1.5.467.38</t>
  </si>
  <si>
    <t>1.5.468.14</t>
  </si>
  <si>
    <t>1.5.468.15</t>
  </si>
  <si>
    <t>1.5.468.16</t>
  </si>
  <si>
    <t>1.5.468.17</t>
  </si>
  <si>
    <t>1.5.468.18</t>
  </si>
  <si>
    <t>1.5.468.19</t>
  </si>
  <si>
    <t>1.5.468.20</t>
  </si>
  <si>
    <t>1.5.468.21</t>
  </si>
  <si>
    <t>1.5.468.22</t>
  </si>
  <si>
    <t>1.5.468.23</t>
  </si>
  <si>
    <t>1.5.468.24</t>
  </si>
  <si>
    <t>1.5.468.25</t>
  </si>
  <si>
    <t>1.5.468.26</t>
  </si>
  <si>
    <t>1.5.468.27</t>
  </si>
  <si>
    <t>1.5.468.28</t>
  </si>
  <si>
    <t>1.5.468.29</t>
  </si>
  <si>
    <t>1.5.468.30</t>
  </si>
  <si>
    <t>1.5.469.2</t>
  </si>
  <si>
    <t>1.5.469.3</t>
  </si>
  <si>
    <t>1.5.469.4</t>
  </si>
  <si>
    <t>1.5.469.5</t>
  </si>
  <si>
    <t>1.5.469.6</t>
  </si>
  <si>
    <t>1.5.469.7</t>
  </si>
  <si>
    <t>1.5.469.8</t>
  </si>
  <si>
    <t>1.5.469.9</t>
  </si>
  <si>
    <t>1.5.469.10</t>
  </si>
  <si>
    <t>1.5.469.11</t>
  </si>
  <si>
    <t>1.5.469.12</t>
  </si>
  <si>
    <t>1.5.469.13</t>
  </si>
  <si>
    <t>1.5.469.14</t>
  </si>
  <si>
    <t>1.5.469.15</t>
  </si>
  <si>
    <t>1.5.469.16</t>
  </si>
  <si>
    <t>1.5.469.17</t>
  </si>
  <si>
    <t>1.5.469.18</t>
  </si>
  <si>
    <t>1.5.469.19</t>
  </si>
  <si>
    <t>1.5.469.20</t>
  </si>
  <si>
    <t>1.5.469.21</t>
  </si>
  <si>
    <t>1.5.469.22</t>
  </si>
  <si>
    <t>1.5.469.23</t>
  </si>
  <si>
    <t>1.5.469.24</t>
  </si>
  <si>
    <t>1.5.469.25</t>
  </si>
  <si>
    <t>1.5.469.26</t>
  </si>
  <si>
    <t>1.5.469.27</t>
  </si>
  <si>
    <t>1.5.469.28</t>
  </si>
  <si>
    <t>1.5.469.29</t>
  </si>
  <si>
    <t>1.5.478.1</t>
  </si>
  <si>
    <t>1.5.478.2</t>
  </si>
  <si>
    <t>1.5.478.3</t>
  </si>
  <si>
    <t>1.5.478.4</t>
  </si>
  <si>
    <t>1.5.327.2</t>
  </si>
  <si>
    <t xml:space="preserve">протяж.363м </t>
  </si>
  <si>
    <t>Тепловые сети в 2-х трубном исполнении от домов: №1,6,8,10,12,14,16,17,18,19,20,22,26,0,32,38,40,50,52,54,56,62,66,68,70,72,74, 76, 78, 80, 82 84 по ул.Ленина</t>
  </si>
  <si>
    <t>1.5.204.1</t>
  </si>
  <si>
    <t>1.5.203.2</t>
  </si>
  <si>
    <t>1.5.203.3</t>
  </si>
  <si>
    <t xml:space="preserve">Сети теплоснабжения </t>
  </si>
  <si>
    <t>1.5.203.4</t>
  </si>
  <si>
    <t>1.5.204.2</t>
  </si>
  <si>
    <t>1.5.204.3</t>
  </si>
  <si>
    <t>протяж.2700 м; d=100</t>
  </si>
  <si>
    <t>Сети водоснабжения от колодца ТК-2 до дома №7, сети водоснабжения дома №2, от водонапорного бака холодной воды</t>
  </si>
  <si>
    <t>Сеть канализации  от дома №3 до КК1-1 у АПК ЗАО "Горэлектро"</t>
  </si>
  <si>
    <t>1.1.817.5</t>
  </si>
  <si>
    <t>1.1.817.6</t>
  </si>
  <si>
    <t>1.1.817.7</t>
  </si>
  <si>
    <t>1.1.817.8</t>
  </si>
  <si>
    <t>1.1.817.9</t>
  </si>
  <si>
    <t>Ц0056942</t>
  </si>
  <si>
    <t>Ц0018512</t>
  </si>
  <si>
    <t>Ц0018513</t>
  </si>
  <si>
    <t>Ц0018514</t>
  </si>
  <si>
    <t>Ц0018515</t>
  </si>
  <si>
    <t>Ц0018516</t>
  </si>
  <si>
    <t>Ц0018517</t>
  </si>
  <si>
    <t>Ц0018518</t>
  </si>
  <si>
    <t>Ц0018519</t>
  </si>
  <si>
    <t>Ц0018520</t>
  </si>
  <si>
    <t>Ц0018521</t>
  </si>
  <si>
    <t>Ц0018522</t>
  </si>
  <si>
    <t xml:space="preserve">инв.ном. </t>
  </si>
  <si>
    <t>инв.ном. Ц0018526</t>
  </si>
  <si>
    <t>инв.ном. Ц0056436</t>
  </si>
  <si>
    <t>инв.ном. Ц0057609</t>
  </si>
  <si>
    <t>инв.ном. Ц0057606</t>
  </si>
  <si>
    <t>инв.ном. Ц0057508</t>
  </si>
  <si>
    <t>инв.ном. Ц0057611</t>
  </si>
  <si>
    <t>инв.ном. Ц0057612</t>
  </si>
  <si>
    <t>инв.ном. Ц0056936</t>
  </si>
  <si>
    <t>инв.ном. Ц0057044</t>
  </si>
  <si>
    <t>инв.ном. Ц0057043</t>
  </si>
  <si>
    <t>инв.ном. Ц0057046</t>
  </si>
  <si>
    <t>инв.ном. Ц0018511</t>
  </si>
  <si>
    <t>Ц0018535</t>
  </si>
  <si>
    <t>Ц0018536</t>
  </si>
  <si>
    <t>Ц0018537</t>
  </si>
  <si>
    <t>Ц0018538</t>
  </si>
  <si>
    <t>Ц0018539</t>
  </si>
  <si>
    <t>Ц0018540</t>
  </si>
  <si>
    <t>Ц0018541</t>
  </si>
  <si>
    <t>Ц0018542</t>
  </si>
  <si>
    <t>Ц0018543</t>
  </si>
  <si>
    <t>Ц0018544</t>
  </si>
  <si>
    <t>Ц0018545</t>
  </si>
  <si>
    <t>Ц0018546</t>
  </si>
  <si>
    <t>Ц0018547</t>
  </si>
  <si>
    <t>Ц0018548</t>
  </si>
  <si>
    <t>Ц0018549</t>
  </si>
  <si>
    <t>Ц0018550</t>
  </si>
  <si>
    <t>Ц0018551</t>
  </si>
  <si>
    <t>Ц0018552</t>
  </si>
  <si>
    <t>Ц0018553</t>
  </si>
  <si>
    <t>Ц0018554</t>
  </si>
  <si>
    <t>Ц0018555</t>
  </si>
  <si>
    <t>Ц0018556</t>
  </si>
  <si>
    <t>Ц0018558</t>
  </si>
  <si>
    <t>Ц0018559</t>
  </si>
  <si>
    <t>Ц0018560</t>
  </si>
  <si>
    <t>Ц0018561</t>
  </si>
  <si>
    <t>Ц0018563</t>
  </si>
  <si>
    <t>Ц0018565</t>
  </si>
  <si>
    <t>Ц0018566</t>
  </si>
  <si>
    <t>Ц0018567</t>
  </si>
  <si>
    <t>Ц0018568</t>
  </si>
  <si>
    <t>Ц0018569</t>
  </si>
  <si>
    <t>Ц0018570</t>
  </si>
  <si>
    <t>Ц0018571</t>
  </si>
  <si>
    <t>Ц0018572</t>
  </si>
  <si>
    <t>Ц0018573</t>
  </si>
  <si>
    <t>Ц0018574</t>
  </si>
  <si>
    <t>Ц0018575</t>
  </si>
  <si>
    <t>Ц0018582</t>
  </si>
  <si>
    <t>Ц0018583</t>
  </si>
  <si>
    <t>Ц0018584</t>
  </si>
  <si>
    <t>Ц0018585</t>
  </si>
  <si>
    <t>Ц0018586</t>
  </si>
  <si>
    <t>Ц0018587</t>
  </si>
  <si>
    <t>Ц0018588</t>
  </si>
  <si>
    <t>Ц0018589</t>
  </si>
  <si>
    <t>Ц0018590</t>
  </si>
  <si>
    <t>Ц0018591</t>
  </si>
  <si>
    <t>Ц0018592</t>
  </si>
  <si>
    <t>Ц0018593</t>
  </si>
  <si>
    <t>Ц0018594</t>
  </si>
  <si>
    <t>Ц0018595</t>
  </si>
  <si>
    <t>Ц0018596</t>
  </si>
  <si>
    <t>Ц0018597</t>
  </si>
  <si>
    <t>Ц0018599</t>
  </si>
  <si>
    <t>Ц0018601</t>
  </si>
  <si>
    <t>Ц0018602</t>
  </si>
  <si>
    <t>Ц0018603</t>
  </si>
  <si>
    <t>Ц0018604</t>
  </si>
  <si>
    <t>Ц0018605</t>
  </si>
  <si>
    <t>Ц0018606</t>
  </si>
  <si>
    <t>Ц0018610</t>
  </si>
  <si>
    <t>Ц0018611</t>
  </si>
  <si>
    <t>Ц0018612</t>
  </si>
  <si>
    <t>Ц0018613</t>
  </si>
  <si>
    <t>Ц0018614</t>
  </si>
  <si>
    <t>Ц0018615</t>
  </si>
  <si>
    <t>Ц0018616</t>
  </si>
  <si>
    <t>Ц0018628</t>
  </si>
  <si>
    <t>Ц0018629</t>
  </si>
  <si>
    <t>Ц0018631</t>
  </si>
  <si>
    <t>Ц0018632</t>
  </si>
  <si>
    <t>Ц0018633</t>
  </si>
  <si>
    <t>Ц0018636</t>
  </si>
  <si>
    <t>Ц0018637</t>
  </si>
  <si>
    <t>Ц0018640</t>
  </si>
  <si>
    <t>Ц0018641</t>
  </si>
  <si>
    <t>Ц0018644</t>
  </si>
  <si>
    <t>Ц0018645</t>
  </si>
  <si>
    <t>Ц0018646</t>
  </si>
  <si>
    <t>Ц0018647</t>
  </si>
  <si>
    <t>Ц0018648</t>
  </si>
  <si>
    <t>Ц0018649</t>
  </si>
  <si>
    <t>Ц0018650</t>
  </si>
  <si>
    <t>Ц0018652</t>
  </si>
  <si>
    <t>Ц0018653</t>
  </si>
  <si>
    <t>Ц0018671</t>
  </si>
  <si>
    <t>инв.ном. Ц0018622</t>
  </si>
  <si>
    <t>инв.ном. Ц0018623</t>
  </si>
  <si>
    <t>инв.ном. Ц0018624</t>
  </si>
  <si>
    <t>инв.ном. Ц0018630</t>
  </si>
  <si>
    <t>инв.ном. Ц0018634</t>
  </si>
  <si>
    <t>инв.ном. Ц0018635</t>
  </si>
  <si>
    <t>инв.ном. Ц0018643</t>
  </si>
  <si>
    <t>инв.ном. Ц0018651</t>
  </si>
  <si>
    <t>инв.ном. Ц0015386</t>
  </si>
  <si>
    <t>инв.ном. Ц0015389</t>
  </si>
  <si>
    <t>инв.ном. Ц0015391</t>
  </si>
  <si>
    <t>инв.ном. Ц0015392</t>
  </si>
  <si>
    <t>инв.ном. Ц0015395</t>
  </si>
  <si>
    <t>инв.ном. Ц0015399</t>
  </si>
  <si>
    <t>инв.ном. Ц0015400</t>
  </si>
  <si>
    <t>инв.ном. Ц0015397</t>
  </si>
  <si>
    <t>инв.ном. Ц0015405</t>
  </si>
  <si>
    <t>инв.ном. Ц0015406</t>
  </si>
  <si>
    <t>инв.ном. Ц0015407</t>
  </si>
  <si>
    <t>инв.ном. Ц0018496</t>
  </si>
  <si>
    <t>инв.ном. Ц0018507</t>
  </si>
  <si>
    <t>Ц0015450</t>
  </si>
  <si>
    <t>Ц0015452</t>
  </si>
  <si>
    <t>Ц0015454</t>
  </si>
  <si>
    <t>Ц0015455</t>
  </si>
  <si>
    <t>инв.ном. Ц0015381</t>
  </si>
  <si>
    <t>ООО "Тепловодснаб"</t>
  </si>
  <si>
    <t>5-ти этажное, кирпичное (подвал №1, торговое)</t>
  </si>
  <si>
    <t>Земельный участок,использование: Гидрозолоудаление</t>
  </si>
  <si>
    <t xml:space="preserve">2-х этаж., ж/б панели </t>
  </si>
  <si>
    <t>Встроенное нежилое помещение (МВД)</t>
  </si>
  <si>
    <t xml:space="preserve">42:34:0102063:220 </t>
  </si>
  <si>
    <t xml:space="preserve">42:12:0101001:743 </t>
  </si>
  <si>
    <t xml:space="preserve">42:34:0101043:45 </t>
  </si>
  <si>
    <t>42:34:0114002:59</t>
  </si>
  <si>
    <t>1.3.29</t>
  </si>
  <si>
    <t>42:34:0105015:66</t>
  </si>
  <si>
    <t>В безвозмездном пользовании МОУ ДОД "Детско-юношеский центр "Часкы"</t>
  </si>
  <si>
    <t>5-ти этажный, кирпичный (подвал №1 , офисное)</t>
  </si>
  <si>
    <t>5-ти этажный, кирпичный (подвал , свободное)</t>
  </si>
  <si>
    <t>5-ти этажный, кирпичный (подвал )</t>
  </si>
  <si>
    <t>5-ти этажный, кирпичный (подвал , офисное)</t>
  </si>
  <si>
    <t xml:space="preserve">42:12:0101001:695 </t>
  </si>
  <si>
    <t xml:space="preserve">42:12:0101001:802 </t>
  </si>
  <si>
    <t xml:space="preserve">42:12:0101001:539 </t>
  </si>
  <si>
    <t>42:34:0106002:1335</t>
  </si>
  <si>
    <t>1.2.43.9</t>
  </si>
  <si>
    <t>4-х этажное, кирпичное (чердак)</t>
  </si>
  <si>
    <t>Площадь для размещения шкафа телекоммуникационного, его подключения и ввода в него волоконно-оптического кабеля</t>
  </si>
  <si>
    <t xml:space="preserve">В аренде ООО «Милеком»       </t>
  </si>
  <si>
    <t xml:space="preserve">В безвозм. польз.  Департамента по охране объектов животного мира Кемеровской области  </t>
  </si>
  <si>
    <t>В аренде  Гущина А.П.</t>
  </si>
  <si>
    <t>В арендном пользовании индивидуального предпринимателя Николаевой Л.В.</t>
  </si>
  <si>
    <t>1.3.201</t>
  </si>
  <si>
    <t>3-х этажное, кирпичное (1 этаж-аптека)</t>
  </si>
  <si>
    <t>1.2.40.3.2</t>
  </si>
  <si>
    <t>1.2.40.3.3</t>
  </si>
  <si>
    <t>1.2.40.3.4</t>
  </si>
  <si>
    <t>В аренде  Абрамкиной Л.И.</t>
  </si>
  <si>
    <t>Админстрация Таштагол. муниц. района</t>
  </si>
  <si>
    <t>квартира -специализ. жилищный фонд</t>
  </si>
  <si>
    <t>5-ти этажное, кирпичное (подвальное, офис)</t>
  </si>
  <si>
    <t>5-этаж., кирпичное -свободное (подвальное)</t>
  </si>
  <si>
    <t>1.3.16</t>
  </si>
  <si>
    <t>В безвозмездном пользовании  МКУ  "Центр социального обслуживания граждан пожилого возраста и инвалидов Мундыбаш. городского поселения"</t>
  </si>
  <si>
    <t>2-х этажное, кирпичное (2 этаж)</t>
  </si>
  <si>
    <t>3-этаж., кирпичное (первый этаж)</t>
  </si>
  <si>
    <t xml:space="preserve">2-х этажное кирпичное </t>
  </si>
  <si>
    <t>1.2.97.1</t>
  </si>
  <si>
    <t>1.2.97.2</t>
  </si>
  <si>
    <t>1.2.2</t>
  </si>
  <si>
    <t>61а</t>
  </si>
  <si>
    <t>3а</t>
  </si>
  <si>
    <t>кирпичные</t>
  </si>
  <si>
    <t>2</t>
  </si>
  <si>
    <t>7</t>
  </si>
  <si>
    <t>8</t>
  </si>
  <si>
    <t>5</t>
  </si>
  <si>
    <t>1.1.821.</t>
  </si>
  <si>
    <t>1.1.821.3</t>
  </si>
  <si>
    <t>1.1.821.31</t>
  </si>
  <si>
    <t>1.1.821.35</t>
  </si>
  <si>
    <t>20/1</t>
  </si>
  <si>
    <t>42:12:0102005:1062</t>
  </si>
  <si>
    <t>42:12:0102005:1097</t>
  </si>
  <si>
    <t>42:12:0102005:1066</t>
  </si>
  <si>
    <t xml:space="preserve">42:34:0114009:163 </t>
  </si>
  <si>
    <t xml:space="preserve"> 9а</t>
  </si>
  <si>
    <t>1.1.822.</t>
  </si>
  <si>
    <t>1.1.822.1</t>
  </si>
  <si>
    <t>11а</t>
  </si>
  <si>
    <t>1.1.822.2</t>
  </si>
  <si>
    <t>1.1.822.3</t>
  </si>
  <si>
    <t>1.1.822.4</t>
  </si>
  <si>
    <t>1.1.823.</t>
  </si>
  <si>
    <t>1.1.823.1</t>
  </si>
  <si>
    <t>1.1.823.3</t>
  </si>
  <si>
    <t>1.1.823.4</t>
  </si>
  <si>
    <t>13а</t>
  </si>
  <si>
    <t>42:12:0106002:4021</t>
  </si>
  <si>
    <t>42:12:0106002:4020</t>
  </si>
  <si>
    <t>42:12:0106002:4022</t>
  </si>
  <si>
    <t>42:12:0106002:4026</t>
  </si>
  <si>
    <t>42:12:0106002:4024</t>
  </si>
  <si>
    <t>одноэтажное, модул. типа из сэндвич-панелей</t>
  </si>
  <si>
    <t>42:12:0106002:4035</t>
  </si>
  <si>
    <t>42:12:0106002:4030</t>
  </si>
  <si>
    <t>42:12:0106002:4029</t>
  </si>
  <si>
    <t>Кемеровская область, Таштагольский район,ст.Калары,ул.Станционная</t>
  </si>
  <si>
    <t>Кемеровская область, Таштагольский район, ст.Калары,534км.</t>
  </si>
  <si>
    <t>Кемеровская область, Таштагольский район, ст.Калары,538км.</t>
  </si>
  <si>
    <t>Кемеровская область, Таштагольский район, пос.Чилису-Анзасс</t>
  </si>
  <si>
    <t xml:space="preserve">Кемеровская область, Таштагольский район, пос.Турла </t>
  </si>
  <si>
    <t>Кемеровская область, Таштагольский район, пос.Чулеш</t>
  </si>
  <si>
    <t>Кемеровская область, г.Таштагол, ул.Ноградская,20</t>
  </si>
  <si>
    <t>Кемеровская область, г.Таштагол, ул.Поспелова,20</t>
  </si>
  <si>
    <t>Кемеровская область, г.Таштагол, база Алчек</t>
  </si>
  <si>
    <t>Кемеровская область, г.Таштагол, ул.Нестерова,30</t>
  </si>
  <si>
    <t>Кемеровская область, г.Таштагол, ул.Макаренко,12</t>
  </si>
  <si>
    <t>Кемеровская область, г.Таштагол, ул.Ноградская,7</t>
  </si>
  <si>
    <t>Кемеровская область, г.Таштагол, ул.Поспелова,8</t>
  </si>
  <si>
    <t>Кемеровская область, г.Таштагол, ул.Ленина,15</t>
  </si>
  <si>
    <t>Кемеровская область, г.Таштагол, ул.Ленина,46</t>
  </si>
  <si>
    <t>Кемеровская область, г.Таштагол, ул.К.Цеткин,28</t>
  </si>
  <si>
    <t>Кемеровская область, г.Таштагол, ул.К.Цеткин, 28</t>
  </si>
  <si>
    <t>Кемеровская область, г.Таштагол, ул.Советская,53</t>
  </si>
  <si>
    <t>Кемеровская область, г.Таштагол, ул.Поспелова,4</t>
  </si>
  <si>
    <t>Кемеровская область, г.Таштагол, ул.Ноградская (Военк)</t>
  </si>
  <si>
    <t>Кемеровская область, г.Таштагол, ул.Ленина,60</t>
  </si>
  <si>
    <t>Кемеровская область, г. Таштагол, ул. Ленина 60</t>
  </si>
  <si>
    <t>одноэтажное, кирпичное</t>
  </si>
  <si>
    <t xml:space="preserve">Распоряжение  Админстрации Таштагол.муниц. района  от 13.11.2014 г. №635-р </t>
  </si>
  <si>
    <t>В аренде ОАО "Вымпел - Коммуникации"</t>
  </si>
  <si>
    <t>В арендном пользовании  ИП Шабалиной Н.В.</t>
  </si>
  <si>
    <t>В арендном пользовании  Юртайкина В.И.</t>
  </si>
  <si>
    <t xml:space="preserve">В аренде ЗАО «Зап-СибТранстелеком»  </t>
  </si>
  <si>
    <t>В арендном пользовании ИП Якимовой Е.В.</t>
  </si>
  <si>
    <t>В аренде филиала ОАО "Мобильные ТелеСистемы" в Кем. области (МТС)</t>
  </si>
  <si>
    <t>42:12:0000000:603, кадастровый номер земельного участка 42:12:01 05 004:00 20</t>
  </si>
  <si>
    <t>1.5.533.1</t>
  </si>
  <si>
    <t>Пеллетно-угольная котельная школы №34 п. Мрассу</t>
  </si>
  <si>
    <t>Пеллетно-угольная котельная школы №70 п. Килинск</t>
  </si>
  <si>
    <t>1.5.534</t>
  </si>
  <si>
    <t>Система электроснабжения с использованием возобновляемых источников энергии для п.Эльбеза Усть-Кабырзинского сельского поселения</t>
  </si>
  <si>
    <t>42:12:0102005:1105</t>
  </si>
  <si>
    <t xml:space="preserve">42:34:0106002:1725 </t>
  </si>
  <si>
    <t>Земельный участок под полигон ТБО (твердых бытовых отходов)</t>
  </si>
  <si>
    <t>42:12:0106002:4078</t>
  </si>
  <si>
    <t>42:12:0104007:89</t>
  </si>
  <si>
    <t xml:space="preserve">Кемеровская область, г Таштагол, в р-не Шалымской ГРЭ по ул. Геологической </t>
  </si>
  <si>
    <t>кап.ремонт а/дороги от ПЛ-39 до зоны отдыха "Бельково"</t>
  </si>
  <si>
    <t>протяж. 5800 м</t>
  </si>
  <si>
    <t>2-х этажное, кирпичное (V=10700 куб. м)</t>
  </si>
  <si>
    <t>2-х этажное, кирпичное (V=5804 куб.м)</t>
  </si>
  <si>
    <t>3-х этажное, кирпичное (V=23692,4 куб.м)</t>
  </si>
  <si>
    <t>3-х этажное, кирпичное (V=28105 куб.м)</t>
  </si>
  <si>
    <t>2-х этажное, кирпичное (V=4346 куб.м)</t>
  </si>
  <si>
    <t>2-х этажное, кирпичное (V=7757,9 куб.м)</t>
  </si>
  <si>
    <t>2-х этажное, кирпичное (V=10425 куб.м)</t>
  </si>
  <si>
    <t>4-х этажное , кирпичное (V=7623 куб.м)</t>
  </si>
  <si>
    <t>Кемеровская область, Таштагольский район, пос.Амзас (Алгаин),ул.Алгаин</t>
  </si>
  <si>
    <t>Кемеровская область, Таштагольский район, пос.Амзас (Алгаин), ул.Центральная</t>
  </si>
  <si>
    <t xml:space="preserve">42:12:0102002:913 </t>
  </si>
  <si>
    <t>Встроенное нежилое помещение детского сада № 6</t>
  </si>
  <si>
    <t>Отдельно стоящее нежилое здание котельной  детского сада №30</t>
  </si>
  <si>
    <t>В аренде МП "Управление коммунально-жилищного хозяйства"</t>
  </si>
  <si>
    <t>В арендном пользовании ООО "Сервис"</t>
  </si>
  <si>
    <t>42:34:0106002:458</t>
  </si>
  <si>
    <t>42:34:0106001:269</t>
  </si>
  <si>
    <t>42:34:0101044:196</t>
  </si>
  <si>
    <t xml:space="preserve">42:34:0106002:455 </t>
  </si>
  <si>
    <t xml:space="preserve">42:34:0106001:263 </t>
  </si>
  <si>
    <t>42:34:0102036:48</t>
  </si>
  <si>
    <t>42:34:0104019:67</t>
  </si>
  <si>
    <t>42:34:0104009:100</t>
  </si>
  <si>
    <t>42:34:0104029:17</t>
  </si>
  <si>
    <t>42:34:0104019:61</t>
  </si>
  <si>
    <t>42:34:0104019:60</t>
  </si>
  <si>
    <t>42:34:0104019:64</t>
  </si>
  <si>
    <t>42:34:0104019:69</t>
  </si>
  <si>
    <t>42:34:0104019:59</t>
  </si>
  <si>
    <t>42:34:0104019:62</t>
  </si>
  <si>
    <t>42:34:0104019:68</t>
  </si>
  <si>
    <t>42:34:0101041:153</t>
  </si>
  <si>
    <t>42:34:0106008:280</t>
  </si>
  <si>
    <t>42:34:0107001:72</t>
  </si>
  <si>
    <t>42:34:0105017:57</t>
  </si>
  <si>
    <t>42:34:0105018:13</t>
  </si>
  <si>
    <t>42:34:0105018:15</t>
  </si>
  <si>
    <t>42:34:0105018:9</t>
  </si>
  <si>
    <t>42:34:0105018:12</t>
  </si>
  <si>
    <t>42:34:0105018:5</t>
  </si>
  <si>
    <t>42:34:0105018:10</t>
  </si>
  <si>
    <t>42:34:0105018:6</t>
  </si>
  <si>
    <t>42:34:0105018:7</t>
  </si>
  <si>
    <t>42:34:0105018:11</t>
  </si>
  <si>
    <t>42:34:0105017:61</t>
  </si>
  <si>
    <t xml:space="preserve">42:34:0112002:26 </t>
  </si>
  <si>
    <t xml:space="preserve">42:34:0112002:30 </t>
  </si>
  <si>
    <t xml:space="preserve">42:34:0112001:23 </t>
  </si>
  <si>
    <t>42:34:0112001:25</t>
  </si>
  <si>
    <t xml:space="preserve">42:34:0112002:28 </t>
  </si>
  <si>
    <t xml:space="preserve">42:34:0112001:22 </t>
  </si>
  <si>
    <t xml:space="preserve">42:34:0112002:27 </t>
  </si>
  <si>
    <t xml:space="preserve">42:34:0112002:29 </t>
  </si>
  <si>
    <t>42:34:0112001:26</t>
  </si>
  <si>
    <t xml:space="preserve">42:34:0101044:385 </t>
  </si>
  <si>
    <t>42:34:0106006:63</t>
  </si>
  <si>
    <t xml:space="preserve">42:12:0105002:1954 </t>
  </si>
  <si>
    <t>42:12:0104002:75</t>
  </si>
  <si>
    <t>42:12:0104001:3518</t>
  </si>
  <si>
    <t>42:34:0106008:281</t>
  </si>
  <si>
    <t>42:34:0114017:124</t>
  </si>
  <si>
    <t>42:34:0114008:124</t>
  </si>
  <si>
    <t>42:34:0113035:47</t>
  </si>
  <si>
    <t>42:34:0114013:68</t>
  </si>
  <si>
    <t xml:space="preserve">42:12:0106002:2167 </t>
  </si>
  <si>
    <t>42:12:0106002:2154</t>
  </si>
  <si>
    <t xml:space="preserve">42:34:0106002:454 </t>
  </si>
  <si>
    <t>42:34:0106001:276</t>
  </si>
  <si>
    <t xml:space="preserve">42:34:0106001:268 </t>
  </si>
  <si>
    <t xml:space="preserve">42:34:0106004:536 </t>
  </si>
  <si>
    <t>42:12:0106003:1012</t>
  </si>
  <si>
    <t>42:12:0106003:1030</t>
  </si>
  <si>
    <t>42:34:0101042:411</t>
  </si>
  <si>
    <t>42:34:0102028:234</t>
  </si>
  <si>
    <t>42:34:0102063:257</t>
  </si>
  <si>
    <t>42:34:0107001:39</t>
  </si>
  <si>
    <t>42:34:0107001:49</t>
  </si>
  <si>
    <t>42:34:0107001:68</t>
  </si>
  <si>
    <t>42:34:0107001:69</t>
  </si>
  <si>
    <t>42:34:0107005:7</t>
  </si>
  <si>
    <t>42:34:0107001:61</t>
  </si>
  <si>
    <t>42:34:0107001:50</t>
  </si>
  <si>
    <t>42:34:0107001:42</t>
  </si>
  <si>
    <t>42:34:0107001:46</t>
  </si>
  <si>
    <t>42:34:0107001:47</t>
  </si>
  <si>
    <t>42:34:0107001:53</t>
  </si>
  <si>
    <t>42:34:0107001:64</t>
  </si>
  <si>
    <t>42:34:0107001:51</t>
  </si>
  <si>
    <t>42:34:0107001:48</t>
  </si>
  <si>
    <t>42:12:0105002:3078</t>
  </si>
  <si>
    <t>42:12:0105002:3109</t>
  </si>
  <si>
    <t>42:12:0105004:190</t>
  </si>
  <si>
    <t>42:12:0105007:173</t>
  </si>
  <si>
    <t>42:12:0000000:565</t>
  </si>
  <si>
    <t>42:12:0105002:3076</t>
  </si>
  <si>
    <t>42:12:0105003:1008</t>
  </si>
  <si>
    <t>42:12:0105003:1009</t>
  </si>
  <si>
    <t>42:12:0105002:3118</t>
  </si>
  <si>
    <t xml:space="preserve">42:12:0105002:3124 </t>
  </si>
  <si>
    <t>42:12:0105002:3073</t>
  </si>
  <si>
    <t>42:12:0104001:3509</t>
  </si>
  <si>
    <t>42:12:0104001:3508</t>
  </si>
  <si>
    <t>42:12:0000000:564</t>
  </si>
  <si>
    <t>42:34:0104006:88</t>
  </si>
  <si>
    <t>42:34:0104006:86</t>
  </si>
  <si>
    <t xml:space="preserve">42:34:0101042:129 </t>
  </si>
  <si>
    <t>42:12:0106002:3954</t>
  </si>
  <si>
    <t>42:12:0106003:1026</t>
  </si>
  <si>
    <t>42:12:0106003:1027</t>
  </si>
  <si>
    <t>42:12:0106003:1033</t>
  </si>
  <si>
    <t>42:12:0106003:1031</t>
  </si>
  <si>
    <t>42:12:0106003:1029</t>
  </si>
  <si>
    <t>42:34:0102033:6</t>
  </si>
  <si>
    <t>42:34:0106002:1642</t>
  </si>
  <si>
    <t>42:34:0104019:65</t>
  </si>
  <si>
    <t>42:34:0104019:66</t>
  </si>
  <si>
    <t>42:34:0112012:53</t>
  </si>
  <si>
    <t xml:space="preserve">42:34:0104006:80 </t>
  </si>
  <si>
    <t>42:34:0115012:36</t>
  </si>
  <si>
    <t>42:34:0101021:52</t>
  </si>
  <si>
    <t>42:12:0104001:3511</t>
  </si>
  <si>
    <t>42:12:0104001:3513</t>
  </si>
  <si>
    <t>42:12:0105002:3077</t>
  </si>
  <si>
    <t>42:12:0104001:3510</t>
  </si>
  <si>
    <t>42:34:0101041:157</t>
  </si>
  <si>
    <t>42:34:0105008:100</t>
  </si>
  <si>
    <t>42:12:0105002:3088</t>
  </si>
  <si>
    <t>42:12:0105002:3119</t>
  </si>
  <si>
    <t>42:12:0105002:3117</t>
  </si>
  <si>
    <t>42:12:0105002:3074</t>
  </si>
  <si>
    <t>42:34:0112005:453</t>
  </si>
  <si>
    <t>42:34:0105008:99</t>
  </si>
  <si>
    <t>42:34:0114010:144</t>
  </si>
  <si>
    <t>42:34:0114008:123</t>
  </si>
  <si>
    <t xml:space="preserve">42:12:0101001:47 </t>
  </si>
  <si>
    <t>42:34:0106008:90</t>
  </si>
  <si>
    <t xml:space="preserve">42:34:0102050:29 </t>
  </si>
  <si>
    <t>42:34:0000000:98</t>
  </si>
  <si>
    <t>42:12:0000000:250</t>
  </si>
  <si>
    <t>42:12:0106002:3729</t>
  </si>
  <si>
    <t>42:12:0106002:3719</t>
  </si>
  <si>
    <t>42:12:0000000:254</t>
  </si>
  <si>
    <t>42:12:0000000:263</t>
  </si>
  <si>
    <t>42:12:0000000:249</t>
  </si>
  <si>
    <t>42:12:0000000:266</t>
  </si>
  <si>
    <t>42:12:0000000:531</t>
  </si>
  <si>
    <t>42:12:0102001:1378</t>
  </si>
  <si>
    <t>2-х этажное кирпичное- 1 этаж</t>
  </si>
  <si>
    <t>42:34:0102012:174</t>
  </si>
  <si>
    <t>42:34:0102012:175</t>
  </si>
  <si>
    <t>42:34:0101017:25</t>
  </si>
  <si>
    <t>42:34:0000000:194</t>
  </si>
  <si>
    <t>Встроенные нежилые помещения 5-го этажа</t>
  </si>
  <si>
    <t xml:space="preserve">Кемеровская область, г. Таштагол </t>
  </si>
  <si>
    <t>Отдельно стоящее нежилое здание насосной станции и водозабора</t>
  </si>
  <si>
    <t>1.1.618.1</t>
  </si>
  <si>
    <t>1.1.618.2</t>
  </si>
  <si>
    <t>1.1.618.3</t>
  </si>
  <si>
    <t>42:34:0106001:1436</t>
  </si>
  <si>
    <t xml:space="preserve">Кемеровская область, г.Таштагол </t>
  </si>
  <si>
    <t>В безвозмезд. польз.  МКУ «Центр социального обслуживания граждан пожилого возраста и инвалидов Таштагольского городского поселения»</t>
  </si>
  <si>
    <t>Отдельно стоящее нежилое здание котельной с насосной станцией</t>
  </si>
  <si>
    <t>в том числе: отдельно стоящее нежилое здание котельной</t>
  </si>
  <si>
    <t>1.2.376.2</t>
  </si>
  <si>
    <t>(90 кв. м)</t>
  </si>
  <si>
    <t>(47,4 кв.м)</t>
  </si>
  <si>
    <t>в том числе:пристроенное здание насосной станции</t>
  </si>
  <si>
    <t>1.2.88.1</t>
  </si>
  <si>
    <t xml:space="preserve">Кемеровская область, Таштагольский район, пгт.Шерегеш, ул. Гагарина,2а </t>
  </si>
  <si>
    <t>1998</t>
  </si>
  <si>
    <t>Отдельно стоящее нежилое здание  школы</t>
  </si>
  <si>
    <t>Отдельно стоящее нежилое здание почты</t>
  </si>
  <si>
    <t>Отдельно стоящее нежилое здание магазина</t>
  </si>
  <si>
    <t>Встроенное нежилое помещение гаражного бокса</t>
  </si>
  <si>
    <t>В безвозмездном пользовании Администрации Шерегешского городского поселения</t>
  </si>
  <si>
    <t>В безвозмезд. пользов. Администрации У-Кабырзинского сельского поселения</t>
  </si>
  <si>
    <t>Кемеровская область, Таштагольский район, пгт.Мундыбаш, ул.Кабалевского,2</t>
  </si>
  <si>
    <t>5-х этажное, кирпичное (первый этаж)</t>
  </si>
  <si>
    <t>Кемеровская область, Таштагольский район, пгт. Мундыбаш, ул. Ленина,16</t>
  </si>
  <si>
    <t>5-х этажное, кирпичное (цокольный этаж)</t>
  </si>
  <si>
    <t xml:space="preserve">Кемеровская область, г.Таштагол,гора "Туманная" </t>
  </si>
  <si>
    <t>Кемеровская область, Таштагольский район, пгт.Каз</t>
  </si>
  <si>
    <t>Кемеровская область,  г.Таштагол</t>
  </si>
  <si>
    <t>Кемеровская область,   г.Таштагол</t>
  </si>
  <si>
    <t>Кемеровская область, Таштагольский район, пгт.Темиртау</t>
  </si>
  <si>
    <t>В арендном пользовании ООО «МОФ»</t>
  </si>
  <si>
    <t>1.1.824.</t>
  </si>
  <si>
    <t>1.1.824.1</t>
  </si>
  <si>
    <t>1.1.824.3</t>
  </si>
  <si>
    <t>1.1.824.4</t>
  </si>
  <si>
    <t>1.1.824.7</t>
  </si>
  <si>
    <t>1.1.824.10</t>
  </si>
  <si>
    <t>1.1.824.11</t>
  </si>
  <si>
    <t>1.1.824.15</t>
  </si>
  <si>
    <t xml:space="preserve">42:34:0112002:31 </t>
  </si>
  <si>
    <t>5-ти этажное, кирпичное здание</t>
  </si>
  <si>
    <t xml:space="preserve">42:34:0112002:46 </t>
  </si>
  <si>
    <t xml:space="preserve">42:34:0112002:49 </t>
  </si>
  <si>
    <t>42:34:0112002:74</t>
  </si>
  <si>
    <t>42:34:0112002:52</t>
  </si>
  <si>
    <t xml:space="preserve">42:34:0112002:57 </t>
  </si>
  <si>
    <t>В арендном пользовании ИП Константинова Д.Н.</t>
  </si>
  <si>
    <t>В арендном пользовании  ООО"Кузбасские телефонные сети"</t>
  </si>
  <si>
    <t>В арендном пользовании ИП Полежаевой О.В.</t>
  </si>
  <si>
    <t>1.5.533.2</t>
  </si>
  <si>
    <t>1.5.533.3</t>
  </si>
  <si>
    <t>длина 120 п.м</t>
  </si>
  <si>
    <t>1.5.533.4</t>
  </si>
  <si>
    <t>Ограждения охранной зоны насосной станции</t>
  </si>
  <si>
    <t>1.5.533.5</t>
  </si>
  <si>
    <t>Подающий трубопровод от насосной станции до резервуаров</t>
  </si>
  <si>
    <t>1.5.533.6</t>
  </si>
  <si>
    <t>Подающий трубопровод от резервуаров до ВК-9</t>
  </si>
  <si>
    <t>1.5.533.7</t>
  </si>
  <si>
    <t>Подающий трубопровод от ВК-19 до ВК-19</t>
  </si>
  <si>
    <t>1.5.533.8</t>
  </si>
  <si>
    <t>1.5.533.9</t>
  </si>
  <si>
    <t>2015</t>
  </si>
  <si>
    <t>12114,0</t>
  </si>
  <si>
    <t>1.2.43.10</t>
  </si>
  <si>
    <t>4-х этажное, кирпичное (1-4 этажи)</t>
  </si>
  <si>
    <t>1.2.186.1</t>
  </si>
  <si>
    <t>Встроенное нежилое помещение (центральная библиотека)</t>
  </si>
  <si>
    <t>d=63 мм.</t>
  </si>
  <si>
    <t>d=100 мм.</t>
  </si>
  <si>
    <t>1.3.203</t>
  </si>
  <si>
    <t xml:space="preserve">42:34:0106002:1629 </t>
  </si>
  <si>
    <t xml:space="preserve">42:34:0000000:113 </t>
  </si>
  <si>
    <t>Распр.  КУМИ №27 от 24.01.2011 г.</t>
  </si>
  <si>
    <t xml:space="preserve">В арендном пользовании ООО « Сервисный центр»  </t>
  </si>
  <si>
    <t xml:space="preserve">Кемеровская область, г.Таштагол, ул.Поспелова, д. №19а </t>
  </si>
  <si>
    <t>42:34:0106003:506</t>
  </si>
  <si>
    <t>4-х этажное, кирпичное-1 этаж</t>
  </si>
  <si>
    <t>В арендном пользовании  Беляковой Е.И.</t>
  </si>
  <si>
    <t>В арендном пользовании   Белякова А.А.</t>
  </si>
  <si>
    <t>1.5.126.10</t>
  </si>
  <si>
    <t>Водовод холодной воды от моста по ул. Суворова до центральной котельной г. Таштагола</t>
  </si>
  <si>
    <t>капитальный ремонт</t>
  </si>
  <si>
    <t>трубы чугунные</t>
  </si>
  <si>
    <t>термоконтейнер S=26 кв.м</t>
  </si>
  <si>
    <t>Кемеровская область, Таштагольский район, п. Мрассу</t>
  </si>
  <si>
    <t>1-но этажное, трехслойные сендвич-панели</t>
  </si>
  <si>
    <t>1-но этажное, трехслойные метал. панели</t>
  </si>
  <si>
    <t>1-но этажное, трехслойные метал.панели</t>
  </si>
  <si>
    <t xml:space="preserve">42:12:0104001:1048 </t>
  </si>
  <si>
    <t>2-х этажное, кирпичное с подвалом</t>
  </si>
  <si>
    <t xml:space="preserve">42:12:0104001:3148 </t>
  </si>
  <si>
    <t>Здание гаража (бокс)</t>
  </si>
  <si>
    <t>1-но этажное здание, кирпичное, пристроенное</t>
  </si>
  <si>
    <t>42:12:0104001:3576</t>
  </si>
  <si>
    <t>42:12:0104001:3574</t>
  </si>
  <si>
    <t>42:12:0104001:3575</t>
  </si>
  <si>
    <t>42:12:0102002:1879</t>
  </si>
  <si>
    <t>42:12:0102002:1877</t>
  </si>
  <si>
    <t>42:12:0102003:1259</t>
  </si>
  <si>
    <t>1.2.40.5.8</t>
  </si>
  <si>
    <t>В арендном пользовании садовод.общества "Шерегешевец"</t>
  </si>
  <si>
    <t>В арендном пользовании ИП Галюкшовой Н.В.</t>
  </si>
  <si>
    <t>В арендном пользовании отдела МВД России по Таштагольскому району</t>
  </si>
  <si>
    <t>В арендном пользовании ИП Башковой В.А.</t>
  </si>
  <si>
    <t>В арендном пользовании ИП Скурепова А.В.</t>
  </si>
  <si>
    <t>В арендном пользовании ИП Полынянкиной Н.В</t>
  </si>
  <si>
    <t>В арендном пользовании филиала РТРС "Кемеровский областной радиотелевизионный передающий центр"</t>
  </si>
  <si>
    <t>В арендном пользовании ИП Фоминской Г.А.</t>
  </si>
  <si>
    <t>В арендном пользовании ИП Орловой Н.М.</t>
  </si>
  <si>
    <t>В арендном пользовании Таштагольской общественной организации "Союз Чернобыль"</t>
  </si>
  <si>
    <t>В арендном пользовании индивидуального предпринимателя Аняновой И.Г.</t>
  </si>
  <si>
    <t>В арендном пользовании Ромашкиной Е.Я.</t>
  </si>
  <si>
    <t>В арендном пользовании  Власовой С.Г .</t>
  </si>
  <si>
    <t xml:space="preserve">В арендном пользовании  Степановой А.Г. </t>
  </si>
  <si>
    <t xml:space="preserve">В арендном пользовании Кузнецовой А.А.  </t>
  </si>
  <si>
    <t>В арендном пользовании Юдицкой З.М.</t>
  </si>
  <si>
    <t>В арендном пользовании Управления федеральной почтовой связи Кемеровской области - филиала Федерального государственного унитарного предприятия "Почта России</t>
  </si>
  <si>
    <t xml:space="preserve">В арендном пользовании ПО «Спасск хлеб» </t>
  </si>
  <si>
    <t>1.3.89</t>
  </si>
  <si>
    <t>1.3.140</t>
  </si>
  <si>
    <t>1.3.142</t>
  </si>
  <si>
    <t>1.3.143</t>
  </si>
  <si>
    <t>1.3.144</t>
  </si>
  <si>
    <t>1.3.145</t>
  </si>
  <si>
    <t>1.3.146</t>
  </si>
  <si>
    <t>1.3.147</t>
  </si>
  <si>
    <t>1.3.148</t>
  </si>
  <si>
    <t>1.3.149</t>
  </si>
  <si>
    <t>1.3.153</t>
  </si>
  <si>
    <t>1.3.154</t>
  </si>
  <si>
    <t>42:34:0107002:9</t>
  </si>
  <si>
    <t>42:34:0101043:410</t>
  </si>
  <si>
    <t>Встроенное нежилое помещение (гараж)</t>
  </si>
  <si>
    <t>1-но этажное, кирпичное (бокс)</t>
  </si>
  <si>
    <t>Кемеровская область, Таштагольский район, пос.Алтамаш, ул.Терешковой,1Б, помещение №1</t>
  </si>
  <si>
    <t>Кемеровская область, Таштагольский район, пгт.Спасск, ул.Урушская,5</t>
  </si>
  <si>
    <t>Кемеровская область, Таштагольский район, пос.Чугунаш, ул.Суворова,32</t>
  </si>
  <si>
    <t>Кемеровская область, Таштагольский район, пгт. Шерегеш, ул.Советская,8</t>
  </si>
  <si>
    <t>Кемеровская область, Таштагольский район, п. Усть-Кабырза,ул. Школьная,4</t>
  </si>
  <si>
    <t>Кемеровская область, Таштагольский район, пгт.Каз, профилакторий "Кедр"</t>
  </si>
  <si>
    <t>Кемеровская область, Таштагольский район, пгт.Темиртау, ул.Центральная,30а</t>
  </si>
  <si>
    <t>Кемеровская область, Таштагольский район, пгт.Темиртау, ул.Центральная,11а</t>
  </si>
  <si>
    <t>Кемеровская область, Таштагольский район, пгт.Темиртау, ул.Центральная,27</t>
  </si>
  <si>
    <t>Кемеровская область, Таштагольский район, пгт.Темиртау, ул.Центральная,12а</t>
  </si>
  <si>
    <t>Кемеровская область, Таштагольский район, пгт.Темиртау, ул.Центральная,29</t>
  </si>
  <si>
    <t>Кемеровская область, Таштагольский район, пгт.Темиртау, ул.Центральная,16а</t>
  </si>
  <si>
    <t>Кемеровская область, Таштагольский район, пгт.Темиртау, ул.Кирова,1</t>
  </si>
  <si>
    <t>Кемеровская область, Таштагольский район, пгт.Каз, ул.Ленина,3</t>
  </si>
  <si>
    <t>Кемеровская область, Таштагольский район, пгт.Каз, ул.Нагорная,39</t>
  </si>
  <si>
    <t>Кемеровская область, Таштагольский район, пгт.Каз, ул.Ленина,5</t>
  </si>
  <si>
    <t>Кемеровская область, Таштагольский район, пгт.Каз, ул.Победы,2б</t>
  </si>
  <si>
    <t>Кемеровская область, Таштагольский район, пгт.Каз, ул.Ленина,7</t>
  </si>
  <si>
    <t>Кемеровская область, Таштагольский район, пгт.Каз, ул.Ленина,11</t>
  </si>
  <si>
    <t>Кемеровская область, Таштагольский район, пгт.Каз, ул.Зеленая,1в</t>
  </si>
  <si>
    <t>Кемеровская область, Таштагольский район, пгт.Каз,ул.Школьная,4</t>
  </si>
  <si>
    <t>Кемеровская область, Таштагольский район, пгт.Мундыбаш, ул.Октябрьская,1</t>
  </si>
  <si>
    <t>Кемеровская область, Таштагольский район, пгт.Мундыбаш, ул.Ленина,2</t>
  </si>
  <si>
    <t>Кемеровская область, Таштагольский район, пгт. Мундыбаш, ул.Ленина,2</t>
  </si>
  <si>
    <t>Кемеровская область, Таштагольский район, пгт.Мундыбаш, ул.Кабалевского,9</t>
  </si>
  <si>
    <t>Кемеровская область, Таштагольский район, пгт.Каз, ул.Зеленая</t>
  </si>
  <si>
    <t>Кемеровская область, Таштагольский район, пгт.Темиртау, ул.Мичурина,18</t>
  </si>
  <si>
    <t>Кемеровская область, Таштагольский район, пос.Ключевой, ул.Мира,22</t>
  </si>
  <si>
    <t>Кемеровская область, Таштагольский район, пос.Усть-Кабырза, ул.Григорьева,10</t>
  </si>
  <si>
    <t>1.3.137</t>
  </si>
  <si>
    <t>42:12:0104001:3577</t>
  </si>
  <si>
    <t xml:space="preserve">42:12:0102002:1878 </t>
  </si>
  <si>
    <t>1.1.609</t>
  </si>
  <si>
    <t>42:12:0105011:126</t>
  </si>
  <si>
    <t>1.5.124.1</t>
  </si>
  <si>
    <t>Паропровод от производственно-отопительной котельной до района ВГСЧ</t>
  </si>
  <si>
    <t xml:space="preserve">Кемеровская область, Таштагольский район, п.Эльбеза </t>
  </si>
  <si>
    <t xml:space="preserve">42:12:0102002:560 </t>
  </si>
  <si>
    <t xml:space="preserve">42:34:0101043:101 </t>
  </si>
  <si>
    <t>1.2.40.4.7</t>
  </si>
  <si>
    <t>1.2.40.4.8</t>
  </si>
  <si>
    <t xml:space="preserve">42:34:0106002:464 </t>
  </si>
  <si>
    <t>Земельный участок  для использования  садового участка</t>
  </si>
  <si>
    <t>адрес-основание- постановление</t>
  </si>
  <si>
    <t>квартира-специализ. жилой фонд</t>
  </si>
  <si>
    <t>1.2.87.1</t>
  </si>
  <si>
    <t xml:space="preserve"> 5-ти этажное, кирпичное (1 этаж, торговое)</t>
  </si>
  <si>
    <t>5-ти этажное, кирпичное (1 этаж, торговое)</t>
  </si>
  <si>
    <t>1.2.180.1</t>
  </si>
  <si>
    <t>кирпичная, высота 80м</t>
  </si>
  <si>
    <t>КОМПЛЕКС ЭНЕРГЕТИЧЕСКОГО ЦЕХА-СООРУЖЕНИЕ, состоящее из 17 объектов. Общая площадь -7478,8 кв. м</t>
  </si>
  <si>
    <t>КОМПЛЕКС КОТЕЛЬНОЙ СТАРОГО ПОСЕЛКА-СООРУЖЕНИЕ ОБЩЕЙ ПЛОЩАДЬЮ 2183,5 КВ.М</t>
  </si>
  <si>
    <t xml:space="preserve">КОМПЛЕКС УЧАСТКА ПРОИЗВОДСТВЕННОЙ КОТЕЛЬНОЙ-СООРУЖЕНИЕ ОБЩАЯ ПЛОЩАДЬ 8494,2 КВ.М   </t>
  </si>
  <si>
    <t>КОМПЛЕКС ФИЛЬТРОВАЛЬНОЙ СТАНЦИИ -СООРУЖЕНИЕ ОБЩЕЙ ПЛОЩАДЬЮ 2706,84 КВ.М</t>
  </si>
  <si>
    <t>КОМПЛЕКС КОТЕЛЬНОЙ НОВОЙ ПРОМПЛОЩАДКИ-СООРУЖЕНИЕ ОБЩЕЙ ПЛОЩАДЬЮ 10470,1 КВ.М</t>
  </si>
  <si>
    <t>КОМПЛЕКС ОЧИСТНЫХ СООРУЖЕНИЙ-СООРУЖЕНИЕ ОБЩЕЙ ПЛОЩАДЬЮ 3845,5 КВ.М</t>
  </si>
  <si>
    <t>КОМПЛЕКС НАСОСНОЙ СТАНЦИИ «Большой речки» (состоящий из 2-х объектов-Лит. В, Лит., Г)-СООРУЖЕНИЕ ОБЩЕЙ ПЛОЩАДЬЮ 289,99 КВ.М</t>
  </si>
  <si>
    <t>КОМПЛЕКС ВОДОСНАБЖЕНИЕ ПРОИЗВОДСТВА И ЖИЛОГО ПОСЕЛКА-</t>
  </si>
  <si>
    <t>В арендном пользовании ОАО "Мобильные ТелеСистемы"</t>
  </si>
  <si>
    <t xml:space="preserve">Распр. Админстр. Таштагол. муниц. района  от 06.05.2015 г. №241-р-расторжение договора аренды №32 от 25.11.2014 г. </t>
  </si>
  <si>
    <t>В арендном пользовании  ИП Антроповой С.В.</t>
  </si>
  <si>
    <t>1.5.535</t>
  </si>
  <si>
    <t>Памятник, посвященный 70-летию Победы советского народа над фашистской Германией</t>
  </si>
  <si>
    <t>Кемеровская область, г. Таштагол, ул. Поспелова, р-н парка Баляева</t>
  </si>
  <si>
    <t>1.2.40.3.13</t>
  </si>
  <si>
    <t>42:12:0106002:4138</t>
  </si>
  <si>
    <t>ж/б, минер. штук-ка, нерж.сталь, алюм. лист, рандоль, бетон, мастика с с покрыв.лаком "мокрый камень"</t>
  </si>
  <si>
    <t>1.4.4.2</t>
  </si>
  <si>
    <t>42:12:0105002:3053</t>
  </si>
  <si>
    <t>Земельный участок  для использования под ЛЭП-0,4 кВ, от ТП-306 до ВРУ-0,4 кВ торгового центра</t>
  </si>
  <si>
    <t xml:space="preserve">3-х этажное, кирпичное </t>
  </si>
  <si>
    <t>техпаспорт от 11.04.2014</t>
  </si>
  <si>
    <t>1.5.407.3</t>
  </si>
  <si>
    <t>В оперативном управлении МКДОУ детский сад  №15  "Ромашка"</t>
  </si>
  <si>
    <t>В оперативном управлении МКДОУ детский сад  №5 "Петрушка"</t>
  </si>
  <si>
    <t>1-но этажное кирпичное</t>
  </si>
  <si>
    <t>В оперативном управлении  МКДОУ детский сад №6 "Теремок"</t>
  </si>
  <si>
    <t>Административное здание с раздевалкой</t>
  </si>
  <si>
    <t>Здание с игровым залом</t>
  </si>
  <si>
    <t>Общественный туалет</t>
  </si>
  <si>
    <t>Спортивное сооружение: Стадион "Горняк"</t>
  </si>
  <si>
    <t>42:34:0112007:50</t>
  </si>
  <si>
    <t>Кемеровская область, Таштагольский район, пос.Чугунаш, ул.Школьная,1</t>
  </si>
  <si>
    <t>Кемеровская область, Таштагольский район, пос.Чугунаш, ул.Станционная,14</t>
  </si>
  <si>
    <t>Кемеровская область, Таштагольский район, пос.Чугунаш, ул.Береговая,1</t>
  </si>
  <si>
    <t>Кемеровская область, Таштагольский район, пос.Усть-Анзасс, без улицы</t>
  </si>
  <si>
    <t>Кемеровская область, Таштагольский район, пос.Усть-Кабырза, без улицы</t>
  </si>
  <si>
    <t>Кемеровская область, Таштагольский район, пос.Мрассу, ул.Набережная,34</t>
  </si>
  <si>
    <t>1.2.447</t>
  </si>
  <si>
    <t>В оперативном управлении МДОУ детский сад  №25 "Ромашка"</t>
  </si>
  <si>
    <t xml:space="preserve">42:12:0106002:4148 </t>
  </si>
  <si>
    <t xml:space="preserve">42:34:0106002:1737 </t>
  </si>
  <si>
    <t xml:space="preserve">42:12:0101001:668 </t>
  </si>
  <si>
    <t xml:space="preserve">42:12:0101001:669 </t>
  </si>
  <si>
    <t>Помещение лечебно-оздоровительного центра  (ЛОЦ)</t>
  </si>
  <si>
    <t xml:space="preserve">42:12:0101001:773 </t>
  </si>
  <si>
    <t>Кемеровская область,  г. Таштагол, ул.Спортивная,2</t>
  </si>
  <si>
    <t>Кемеровская область, г. Таштагол, ул.Спортивная,2</t>
  </si>
  <si>
    <t>Кемеровская область, г. Таштагол, ул.Коммунистическая,13</t>
  </si>
  <si>
    <t>Кемеровская область, г. Таштагол,  ул.Коммунистическая,21а</t>
  </si>
  <si>
    <t>Кемеровская область, г. Таштагол,   ул.Коммунистическая,21а</t>
  </si>
  <si>
    <t>Кемеровская область, г. Таштагол,  ул.Школьная</t>
  </si>
  <si>
    <t>Кемеровская область, г. Таштагол, ул. Кислородная,2</t>
  </si>
  <si>
    <t>Кемеровская область, г. Таштагол</t>
  </si>
  <si>
    <t>Кемеровская область, г.Таштагол, ул.С.Разина</t>
  </si>
  <si>
    <t>Кемеровская область, г. Таштагол, ул.С.Разина</t>
  </si>
  <si>
    <t>Кемеровская область, г.Таштагол, ул. 20 П/съезда (район столовой №1)</t>
  </si>
  <si>
    <t>Кемеровская область, г.Таштагол, ул.Ленина,9</t>
  </si>
  <si>
    <t>Кемеровская область, г.Таштагол, ул.Геологическая,66</t>
  </si>
  <si>
    <t>Кемеровская область, г.Таштагол, ул.Советская,36а</t>
  </si>
  <si>
    <t xml:space="preserve">Кемеровская область, г.Таштагол, ул.Ульянова </t>
  </si>
  <si>
    <t>Кемеровская область, г.Таштагол, ул.Ленина,28</t>
  </si>
  <si>
    <t>Кемеровская область, г.Таштагол, ул.Ленина,11</t>
  </si>
  <si>
    <t xml:space="preserve">Кемеровская область, г.Таштагол, ул.Поспелова,16 </t>
  </si>
  <si>
    <t>Кемеровская область, г.Таштагол, ул.Ноградская,место №97 (район Военкомата)</t>
  </si>
  <si>
    <t>Кемеровская область, г.Таштагол, ул.20 Партсъезда</t>
  </si>
  <si>
    <t>Кемеровская область, г.Таштагол, ул.Островского,10а</t>
  </si>
  <si>
    <t>Кемеровская область, г.Таштагол, ул.Островского,10а, около магазина</t>
  </si>
  <si>
    <t>Кемеровская область, г.Таштагол, ул.Островского,1а</t>
  </si>
  <si>
    <t>Кемеровская область, г.Таштагол, ул.Советская,2а</t>
  </si>
  <si>
    <t>Кемеровская область, г.Таштагол, ул.Ноградская,3 (р-он бассейна "Кристалл")</t>
  </si>
  <si>
    <t>Кемеровская область, г.Таштагол, ул.Дальняя Каменушка</t>
  </si>
  <si>
    <t>Кемеровская область, г.Таштагол,ул.К.Маркса,2/1</t>
  </si>
  <si>
    <t>Кемеровская область, г.Таштагол, ул.Советская</t>
  </si>
  <si>
    <t>Кемеровская область, г.Таштагол, ул.Партизанская</t>
  </si>
  <si>
    <t>Кемеровская область, г.Таштагол, ул.Партизанская,№108а/2</t>
  </si>
  <si>
    <t>Кемеровская область,  г. Таштагол,  ул.Артема,5</t>
  </si>
  <si>
    <t>Кемеровская область,   г.Таштагол, ул.Артема, 5</t>
  </si>
  <si>
    <t>на стене здания</t>
  </si>
  <si>
    <t>В арендном пользовании ИП Хмеловец И.Н.</t>
  </si>
  <si>
    <t>Кемеровская область, Таштагольский район, пгт.Мундыбаш, ул.Ленина,19</t>
  </si>
  <si>
    <t>Кемеровская область, Таштагольский район, пгт.Мундыбаш, ул.Ленина,29</t>
  </si>
  <si>
    <t>Кемеровская область, Таштагольский район, пгт. Мундыбаш, ул. Ленина,30</t>
  </si>
  <si>
    <t>Кемеровская область, г.Таштагол, гора Туманная</t>
  </si>
  <si>
    <t>Кемеровская область,  г. Таштагол, ул. Ленина 60</t>
  </si>
  <si>
    <t>Кемеровская область, г. Таштагол, ул. Ленина,60</t>
  </si>
  <si>
    <t>Кемеровская область, г.Таштагол, ул.Ленина,36</t>
  </si>
  <si>
    <t>Кемеровская область, г.Таштагол, ул.Суворова,19</t>
  </si>
  <si>
    <t>Кемеровская область, г.Таштагол, ул.Поспелова,19</t>
  </si>
  <si>
    <t>Кемеровская область, г.Таштагол, ул.Поспелова,19а</t>
  </si>
  <si>
    <t>Кемеровская область, г. Таштагол, ул.Кислородная</t>
  </si>
  <si>
    <t>Кемеровская область, г. Таштагол, ул.Кислородная,1</t>
  </si>
  <si>
    <t>Кемеровская область, г.Таштагол, ул.Мира,31/1</t>
  </si>
  <si>
    <t>Кемеровская область, г.Таштагол, ул.18 Партсъезда, гараж №5</t>
  </si>
  <si>
    <t xml:space="preserve">Кемеровская область, г.Таштагол, ул.Ломоносова </t>
  </si>
  <si>
    <t>Кемеровская область, г.Таштагол, ул.Поспелова, возле  школы № 9</t>
  </si>
  <si>
    <t>Кемеровская область, г.Таштагол, ул.18 Партсъезда, место № 2</t>
  </si>
  <si>
    <t>Кемеровская область, г.Таштагол, ул.К.Маркса,4</t>
  </si>
  <si>
    <t>Кемеровская область, г.Таштагол, ул.Ленина (р-он деревянного моста)</t>
  </si>
  <si>
    <t>Кемеровская область, г.Таштагол, ул.Солнечная,42/1</t>
  </si>
  <si>
    <t xml:space="preserve">Кемеровская область, г.Таштагол, ул.Тельмана,2а/1 </t>
  </si>
  <si>
    <t>Кемеровская область,г.Таштагол, ул.Матросова (район ВГСЧ)</t>
  </si>
  <si>
    <t>Кемеровская область,г.Таштагол, ул.Увальная</t>
  </si>
  <si>
    <t>Кемеровская область,г.Таштагол, ул.Кислородная</t>
  </si>
  <si>
    <t xml:space="preserve">Кемеровская область,г.Таштагол, ул.Спортивная,№9/1 </t>
  </si>
  <si>
    <t>Кемеровская область,г.Таштагол,ул. Кислородная,2а</t>
  </si>
  <si>
    <t>Кемеровская область,г.Таштагол, ул.Ломоносова</t>
  </si>
  <si>
    <t>Кемеровская область, г.Таштагол, ул.Урицкого,96</t>
  </si>
  <si>
    <t>Кемеровская область, г. Таштагол, территория парка Боевой славы</t>
  </si>
  <si>
    <t>Кемеровская область, Таштагольский район, пгт.Мундыбаш, ул.Ленина,5</t>
  </si>
  <si>
    <t>Кемеровская область, Таштагольский район, пгт.Мундыбаш, ул.Октябрьская,48</t>
  </si>
  <si>
    <t>Кемеровская область, Таштагольский район, пгт.Спасск, ул.Клубная,16</t>
  </si>
  <si>
    <t>Кемеровская область, Таштагольский район, пгт.Спасск, ул.Октябрьская,3</t>
  </si>
  <si>
    <t>Кемеровская область, Таштагольский район, пгт.Спасск, ул. Октябрьская,3</t>
  </si>
  <si>
    <t>Кемеровская область, Таштагольский район, пгт.Спасск, ул.Октябрьская,6-а</t>
  </si>
  <si>
    <t xml:space="preserve">Кемеровская область, Таштагольский район, пгт.Шерегеш, ул.Советская,12а </t>
  </si>
  <si>
    <t xml:space="preserve">Кемеровская область, Таштагольский район, пгт.Шерегеш, ул.19 Партсъезда,4а </t>
  </si>
  <si>
    <t>Кемеровская область, Таштагольский район, пгт.Шерегеш, ул.Дзержинского</t>
  </si>
  <si>
    <t>Кемеровская область, Таштагольский район, пгт.Шерегеш, без улицы</t>
  </si>
  <si>
    <t>Кемеровская область, Таштагольский район,пос.Базанча, ул.Комарова,64</t>
  </si>
  <si>
    <t>Кемеровская область, Таштагольский район,пос.Усть-Кабырза, без улицы</t>
  </si>
  <si>
    <t>Кемеровская область, Таштагольский район,пос.Усть-Кабырза, ул.Григорьева,10</t>
  </si>
  <si>
    <t>Отдельно стоящее нежилое здание бассейна "Дельфин"</t>
  </si>
  <si>
    <t>Кемеровская область, Таштагольский район, пгт.Каз, ул.Победы, 8а</t>
  </si>
  <si>
    <t>Кемеровская область, Таштагольский район, пгт.Темиртау, ул.Центральная,31а</t>
  </si>
  <si>
    <t>Кемеровская область, Таштагольский район, пгт.Мундыбаш, ул.Григорьева</t>
  </si>
  <si>
    <t>Кемеровская область, Таштагольский район, пгт.Шерегеш, район ул.Советская,14</t>
  </si>
  <si>
    <t>Кемеровская область, Таштагольский район,пос.Усть-Кабырза</t>
  </si>
  <si>
    <t>Кемеровская область, Таштагольский район,пос.Центральный</t>
  </si>
  <si>
    <t>Кемеровская область, Таштагольский район,пос.Мрассу, ул.Набережная,32</t>
  </si>
  <si>
    <t>Кемеровская область, Таштагольский район,пос.Шор-Тайга, без улицы</t>
  </si>
  <si>
    <t>Кемеровская область, Таштагольский район,пос.Алтамаш, ул.Больничная</t>
  </si>
  <si>
    <t>Кемеровская область, Таштагольский район,пос.Алтамаш, ул.Терешковой,1</t>
  </si>
  <si>
    <t>Кемеровская область, Таштагольский район,пгт.Мундыбаш, ул.Октябрьская,66</t>
  </si>
  <si>
    <t>Кемеровская область, Таштагольский район,пгт.Мундыбаш, ул.Октябрьская,13а</t>
  </si>
  <si>
    <t>Кемеровская область, Таштагольский район,п. Кондома, ул. Фестивальная</t>
  </si>
  <si>
    <t>Кемеровская область, Таштагольский район, пгт.Темиртау (п. Кедровка)</t>
  </si>
  <si>
    <t>Кемеровская область, Таштагольский район, пос.Базанча, ул.Школьная,11а</t>
  </si>
  <si>
    <t>Кемеровская область, Таштагольский район, пгт.Темиртау, ул.Чкалова,1б</t>
  </si>
  <si>
    <t>Кемеровская область, Таштагольский район, пгт.Мундыбаш, ул.Вокзальная</t>
  </si>
  <si>
    <t>Кемеровская область, Таштагольский район, пгт.Мундыбаш, ул.Школьная</t>
  </si>
  <si>
    <t>Кемеровская область, г.Таштагол, ул.Ленина,3</t>
  </si>
  <si>
    <t>Кемеровская область, Таштагольский район, пгт.Шерегеш, ул.Советская,4</t>
  </si>
  <si>
    <t>Кемеровская область, Таштагольский район, пгт.Каз, ул.Победы, район дома № 4, ряд № 2, место № 1-Б</t>
  </si>
  <si>
    <t>Кемеровская область, Таштагольский район, пос.Калары</t>
  </si>
  <si>
    <t>Кемеровская область, Таштагольский район, пгт.Шерегеш, гора Зеленая</t>
  </si>
  <si>
    <t>Кемеровская область, Таштагольский район, п.Алтамаш, ул.Терешковой,1а</t>
  </si>
  <si>
    <t>Кемеровская область, г.Таштагол, ул.18 Партсъезда,1/1</t>
  </si>
  <si>
    <t>Кемеровская область, Таштагольский район, пгт.Шерегеш (старый)</t>
  </si>
  <si>
    <t>Кемеровская область, Таштагольский район, пгт.Темиртау, котельная</t>
  </si>
  <si>
    <t>Кемеровская область, Таштагольский район, пгт.Темиртау,ул. Октябрьская</t>
  </si>
  <si>
    <t>Кемеровская область, Таштагольский район, пос.Шор-Тайга</t>
  </si>
  <si>
    <t>Кемеровская область, Таштагольский район, пос.Эльбеза</t>
  </si>
  <si>
    <t>Кемеровская область, Таштагольский район, п.Карагол</t>
  </si>
  <si>
    <t>37/208</t>
  </si>
  <si>
    <t>В аренде Кем. обл. отдел. полит. партии "Коммунистическая партия Рос. Федерации"</t>
  </si>
  <si>
    <t>3-х этажное, кирпичное с подвалом</t>
  </si>
  <si>
    <t>Кемеровская область, Таштагольский район, пгт.Мундыбаш, ул.Октябрьская,40Б</t>
  </si>
  <si>
    <t>Кемеровская область, Таштагольский район, пгт.Шерегеш, ул.Дзержинского,2</t>
  </si>
  <si>
    <t>Кемеровская область, Таштагольский район, пгт.Шерегеш, ул.Дзержинского,7</t>
  </si>
  <si>
    <t>Кемеровская область, Таштагольский район, пгт.Шерегеш, ул.Дзержинского,8</t>
  </si>
  <si>
    <t>Кемеровская область, Таштагольский район, пгт.Шерегеш, ул.Дзержинского,14</t>
  </si>
  <si>
    <t>Кемеровская область, Таштагольский район, пгт.Шерегеш, ул.Дзержинского,17</t>
  </si>
  <si>
    <t>Кемеровская область, Таштагольский район, пгт. Шерегеш, ул.Дзержинского,20</t>
  </si>
  <si>
    <t>Кемеровская область, Таштагольский район, пгт.Шерегеш, ул.Дзержинского,25</t>
  </si>
  <si>
    <t>Кемеровская область, Таштагольский район, пгт.Шерегеш, ул.Гагарина,6</t>
  </si>
  <si>
    <t>Кемеровская область, Таштагольский район, пгт.Шерегеш, ул.Советская,1</t>
  </si>
  <si>
    <t>Кемеровская область, Таштагольский район, пгт.Шерегеш, ул.Советская,6</t>
  </si>
  <si>
    <t>Кемеровская область, Таштагольский район, пгт.Каз, ул.Победы,6</t>
  </si>
  <si>
    <t>Кемеровская область, Таштагольский район, пгт.Каз, ул.Ленина,8</t>
  </si>
  <si>
    <t>Кемеровская область, Таштагольский район, пгт.Каз, ул.Ленина,10</t>
  </si>
  <si>
    <t>Кемеровская область, Таштагольский район, пгт.Каз, ул.Ленина,14</t>
  </si>
  <si>
    <t>Кемеровская область, Таштагольский район, пгт.Каз, ул.Ленина,16</t>
  </si>
  <si>
    <t>Кемеровская область, Таштагольский район, пгт.Темиртау, ул.Центральная,7</t>
  </si>
  <si>
    <t>Кемеровская область, Таштагольский район, пгт.Темиртау, ул.Центральная,13</t>
  </si>
  <si>
    <t>Кемеровская область, Таштагольский район, пгт.Темиртау, ул.Центральная,16</t>
  </si>
  <si>
    <t>Кемеровская область, Таштагольский район,пгт.Темиртау, ул.Центральная,18</t>
  </si>
  <si>
    <t>Кемеровская область, Таштагольский район,пгт.Темиртау, ул.Центральная,26</t>
  </si>
  <si>
    <t>Кемеровская область, Таштагольский район, пгт.Темиртау, ул.Центральная,26</t>
  </si>
  <si>
    <t>Кемеровская область, Таштагольский район, пгт.Темиртау, ул.Суворова,16</t>
  </si>
  <si>
    <t>Кемеровская область, Таштагольский район, пгт.Темиртау, ул. Почтовая,2</t>
  </si>
  <si>
    <t>Кемеровская область, Таштагольский район, пгт.Темиртау, ул.Почтовая,28</t>
  </si>
  <si>
    <t>Кемеровская область, Таштагольский район, пгт. Мундыбаш, ул. Мамонтова,2</t>
  </si>
  <si>
    <t>Кемеровская область, Таштагольский район, пгт.Мундыбаш, ул.Ленина,8</t>
  </si>
  <si>
    <t xml:space="preserve">42:12:0106002:2147 </t>
  </si>
  <si>
    <t>42:12:0106002:2150</t>
  </si>
  <si>
    <t>85/408</t>
  </si>
  <si>
    <t>58/312</t>
  </si>
  <si>
    <t>В арендном пользовании Шуткариной Н.В.</t>
  </si>
  <si>
    <t>Договор аренды № 177 от 10.04.2009 года (по 31.12.2015 г.)</t>
  </si>
  <si>
    <t>Договор аренды №178  от 10.04.2009 года (по 31.12.2015 г.)</t>
  </si>
  <si>
    <t>Распр. Админстр. Таштагол.муниц. района от 02.06.2015 г. №310-р</t>
  </si>
  <si>
    <t xml:space="preserve">42:34:0106008:294 </t>
  </si>
  <si>
    <t>1.1.69.7</t>
  </si>
  <si>
    <t xml:space="preserve">42:12:0102002:1864 </t>
  </si>
  <si>
    <t>42:12:0104001:3602</t>
  </si>
  <si>
    <t>42:12:0106002:4159</t>
  </si>
  <si>
    <t>1.2.448</t>
  </si>
  <si>
    <t>42:12:0114002:1957</t>
  </si>
  <si>
    <t>Кемеровская область, г.Таштагол, ул.Поспелова,18</t>
  </si>
  <si>
    <t>Кемеровская область, г.Таштагол, ул.Ноградская,3</t>
  </si>
  <si>
    <t>Кемеровская область, г.Таштагол, ул.Ноградская,5</t>
  </si>
  <si>
    <t>Кемеровская область, г.Таштагол, ул.Ноградская,8</t>
  </si>
  <si>
    <t>Кемеровская область, г.Таштагол, ул.Ноградская,13</t>
  </si>
  <si>
    <t>Кемеровская область, г.Таштагол, ул.Ноградская,14</t>
  </si>
  <si>
    <t>Кемеровская область, г.Таштагол, ул.8 Марта,2</t>
  </si>
  <si>
    <t>Кемеровская область, г.Таштагол, ул.8 Марта,4</t>
  </si>
  <si>
    <t>Кемеровская область, г.Таштагол, ул.Макаренко,2</t>
  </si>
  <si>
    <t>Кемеровская область, г.Таштагол, ул.Макаренко,4</t>
  </si>
  <si>
    <t>Кемеровская область, г.Таштагол, ул.Макаренко,6</t>
  </si>
  <si>
    <t>Кемеровская область, г.Таштагол, ул.Макаренко,8</t>
  </si>
  <si>
    <t>Кемеровская область, г.Таштагол, ул.Макаренко,14</t>
  </si>
  <si>
    <t>Кемеровская область, г. Таштагол, ул. Макаренко,16, пом.5</t>
  </si>
  <si>
    <t>Кемеровская область, г. Таштагол, ул. Макаренко,18</t>
  </si>
  <si>
    <t>Кемеровская область, г.Таштагол, ул.Поспелова,7</t>
  </si>
  <si>
    <t>Кемеровская область, г.Таштагол, ул.Поспелова,9</t>
  </si>
  <si>
    <t>Кемеровская область, г.Таштагол, ул.Поспелова,11</t>
  </si>
  <si>
    <t>Кемеровская область, г.Таштагол, ул.Поспелова,13</t>
  </si>
  <si>
    <t>Кемеровская область, г.Таштагол, ул.Поспелова,15</t>
  </si>
  <si>
    <t>Кемеровская область,г.Таштагол, ул.Поспелова,17</t>
  </si>
  <si>
    <t>Кемеровская область,г.Таштагол, ул.Поспелова,18</t>
  </si>
  <si>
    <t>Кемеровская область, г.Таштагол, ул.Поспелова,27</t>
  </si>
  <si>
    <t>Кемеровская область,г.Таштагол, ул.Поспелова,33</t>
  </si>
  <si>
    <t>Кемеровская область,г.Таштагол, ул.Ленина,50</t>
  </si>
  <si>
    <t>Кемеровская область,г.Таштагол, ул.Ленина,84</t>
  </si>
  <si>
    <t>Кемеровская область, г. Таштагол, ул. Суворова,7</t>
  </si>
  <si>
    <t>Кемеровская область, г.Таштагол, ул.Ленина,84</t>
  </si>
  <si>
    <t>Кемеровская область, г.Таштагол, ул.Ленина,64</t>
  </si>
  <si>
    <t>Кемеровская область, г.Таштагол, ул.Ленина,82</t>
  </si>
  <si>
    <t>Кемеровская область, г.Таштагол, ул.Ленина,50</t>
  </si>
  <si>
    <t>Кемеровская область, г.Таштагол, ул.Суворова,23</t>
  </si>
  <si>
    <t>Кемеровская область, г.Таштагол, ул.Мира,35</t>
  </si>
  <si>
    <t>Кемеровская область, г.Таштагол, ул.Мира,37</t>
  </si>
  <si>
    <t>Кемеровская область, г. Таштагол,  ул.Коммунистическая,22</t>
  </si>
  <si>
    <t>Кемеровская область, г. Таштагол, ул.Коммунистическая,4</t>
  </si>
  <si>
    <t>Кемеровская область, г. Таштагол, ул.Коммунистическая,14</t>
  </si>
  <si>
    <t>Кемеровская область, г. Таштагол,  ул.Коммунистическая,4</t>
  </si>
  <si>
    <t>Кемеровская область, г.Таштагол, ул.Матросова,38</t>
  </si>
  <si>
    <t>Сооружение: буксировочная канатная дорога БКД-55</t>
  </si>
  <si>
    <t>1.1.647.3</t>
  </si>
  <si>
    <t xml:space="preserve">42:12:0114002:1556 </t>
  </si>
  <si>
    <t>1.1.678.1</t>
  </si>
  <si>
    <t>1.1.678.2</t>
  </si>
  <si>
    <t xml:space="preserve">42:12:0112001:358 </t>
  </si>
  <si>
    <t xml:space="preserve">42:12:0112001:359 </t>
  </si>
  <si>
    <t>1.1.722.1</t>
  </si>
  <si>
    <t>1.1.722.2</t>
  </si>
  <si>
    <t xml:space="preserve">42:12:0106002:3325 </t>
  </si>
  <si>
    <t xml:space="preserve">42:12:0106002:3326 </t>
  </si>
  <si>
    <t>42:12:0104001:3600</t>
  </si>
  <si>
    <t>1.1.825.</t>
  </si>
  <si>
    <t>1.1.825.1</t>
  </si>
  <si>
    <t>1.1.825.2</t>
  </si>
  <si>
    <t>1.1.825.3</t>
  </si>
  <si>
    <t>1.1.825.4</t>
  </si>
  <si>
    <t>1.1.825.6</t>
  </si>
  <si>
    <t>1.1.825.8</t>
  </si>
  <si>
    <t>1.1.825.9</t>
  </si>
  <si>
    <t>1.1.825.12</t>
  </si>
  <si>
    <t>1.1.825.14</t>
  </si>
  <si>
    <t>1.1.825.15</t>
  </si>
  <si>
    <t>1.1.825.19</t>
  </si>
  <si>
    <t>1.1.825.21</t>
  </si>
  <si>
    <t>6а</t>
  </si>
  <si>
    <t>42:12:0104001:3603</t>
  </si>
  <si>
    <t>42:12:0104001:3606</t>
  </si>
  <si>
    <t>42:12:0104001:3608</t>
  </si>
  <si>
    <t>42:12:0104001:3610</t>
  </si>
  <si>
    <t>42:12:0104001:3616</t>
  </si>
  <si>
    <t>42:12:0104001:3617</t>
  </si>
  <si>
    <t>42:12:0104001:3618</t>
  </si>
  <si>
    <t>42:12:0104001:3619</t>
  </si>
  <si>
    <t>42:12:0104001:3621</t>
  </si>
  <si>
    <t>42:12:0104001:3625</t>
  </si>
  <si>
    <t>42:12:0104001:3633</t>
  </si>
  <si>
    <t>42:34:0112007:43</t>
  </si>
  <si>
    <t>42:34:0106002:443</t>
  </si>
  <si>
    <t>42:12:0101001:741</t>
  </si>
  <si>
    <t>1-но этажное, кирпичное с подвалом</t>
  </si>
  <si>
    <t>1.1.826.</t>
  </si>
  <si>
    <t>1.1.826.4</t>
  </si>
  <si>
    <t>1.1.826.5</t>
  </si>
  <si>
    <t>1.1.826.7</t>
  </si>
  <si>
    <t>1.1.826.13</t>
  </si>
  <si>
    <t>1.1.826.19</t>
  </si>
  <si>
    <t>1.1.826.21</t>
  </si>
  <si>
    <t>3-х этажное, монолитные ж/б</t>
  </si>
  <si>
    <t>3-х этажное, монолитные</t>
  </si>
  <si>
    <t>42:12:0105002:3218</t>
  </si>
  <si>
    <t>42:12:0104001:3604</t>
  </si>
  <si>
    <t>42:12:0105002:3222</t>
  </si>
  <si>
    <t>42:12:0105002:3223</t>
  </si>
  <si>
    <t>42:12:0105002:3226</t>
  </si>
  <si>
    <t>42:12:0105002:3228</t>
  </si>
  <si>
    <t>42:12:0105002:3232</t>
  </si>
  <si>
    <t>42:12:0105002:3238</t>
  </si>
  <si>
    <t>1.1.756.67</t>
  </si>
  <si>
    <t>42:34:0102066:17</t>
  </si>
  <si>
    <t>Кемеровская область, г.Таштагол, ул.8 Марта,5</t>
  </si>
  <si>
    <t>1-но этажное, кирпичное (V=4940 куб.м)</t>
  </si>
  <si>
    <t>Передача в субаренду МУП "Управление развития жилищного комплекса" ТМР</t>
  </si>
  <si>
    <t>1.2.208.2</t>
  </si>
  <si>
    <t>В безвозм. пользовании администрации Мундыбашского городского поселения</t>
  </si>
  <si>
    <t>Россия, Кемеровская область,  Таштагольский район, п. Шерегеш</t>
  </si>
  <si>
    <t>42:12:0102015:162</t>
  </si>
  <si>
    <t>В безвоз. пользовании администрации Спасского город. поселения</t>
  </si>
  <si>
    <t>Кемеровская область, Таштагольский район, село Карагол, без улицы</t>
  </si>
  <si>
    <t>Кемеровская область, Таштагольский район, село Кондома, ул.Центральная,12</t>
  </si>
  <si>
    <t>54/320</t>
  </si>
  <si>
    <t>26/219</t>
  </si>
  <si>
    <t>1.1.817.10</t>
  </si>
  <si>
    <t>1.1.817.11</t>
  </si>
  <si>
    <t>Кемеровская область, Таштагольский район, пгт.Спасск, ул.Набережная,18</t>
  </si>
  <si>
    <t>1.1.828.</t>
  </si>
  <si>
    <t>1.1.828.2</t>
  </si>
  <si>
    <t>1.1.828.11</t>
  </si>
  <si>
    <t>6б</t>
  </si>
  <si>
    <t>42:12:0105002:3250</t>
  </si>
  <si>
    <t>42:12:0105002:3255</t>
  </si>
  <si>
    <t>Встроенное нежилое помещение спортзала</t>
  </si>
  <si>
    <t xml:space="preserve">42:34:0114011:43 </t>
  </si>
  <si>
    <t>2-х этажное, каменное         (V=9038 куб.м)</t>
  </si>
  <si>
    <t>42:12:0105002:2820</t>
  </si>
  <si>
    <t>1.1.499.9</t>
  </si>
  <si>
    <t>42:12:0105002:1245</t>
  </si>
  <si>
    <t>цокол.этаж</t>
  </si>
  <si>
    <t>В арендном пользовании ООО «ЮКЭК»</t>
  </si>
  <si>
    <t>39/204</t>
  </si>
  <si>
    <t>24/215</t>
  </si>
  <si>
    <t>23/213</t>
  </si>
  <si>
    <t>1.1.52.35</t>
  </si>
  <si>
    <t>1.1.817.12</t>
  </si>
  <si>
    <t>1.1.817.13</t>
  </si>
  <si>
    <t>7А</t>
  </si>
  <si>
    <t>5-ти этажное, кирпичное (подвальное, ж/дом)-магазин</t>
  </si>
  <si>
    <t>Кемеровская область, Таштагольский район, пгт.Мундыбаш, ул.Вокзальная,1Б</t>
  </si>
  <si>
    <t>Кемеровская область, Таштагольский район, пгт.Мундыбаш, ул.Вокзальная,1В</t>
  </si>
  <si>
    <t>Встроенное нежилое помещение ФАП</t>
  </si>
  <si>
    <t>Встроенное нежилое помещение почты</t>
  </si>
  <si>
    <t>Встроенное нежилое помещение администрции</t>
  </si>
  <si>
    <t>первый этаж,  медицин.</t>
  </si>
  <si>
    <t>42:12:0102015:207</t>
  </si>
  <si>
    <t>42:12:0102015:206</t>
  </si>
  <si>
    <t xml:space="preserve">42:12:0101001:750 </t>
  </si>
  <si>
    <t>1.2.40.1.7</t>
  </si>
  <si>
    <t>1.5.536</t>
  </si>
  <si>
    <t>Спортивно–технический комплекс горных лыж и сноуборда</t>
  </si>
  <si>
    <t>Кемеровская область, Таштагольский район, пос.Мрассу, ул.Набережная,26</t>
  </si>
  <si>
    <t>42:34:0102066:41</t>
  </si>
  <si>
    <t>42:34:0106003:511</t>
  </si>
  <si>
    <t>В арендном пользовании МЭФ</t>
  </si>
  <si>
    <t>В арендном пользовании Заева С.Б</t>
  </si>
  <si>
    <t>1-5,7</t>
  </si>
  <si>
    <t>Отдельно стоящее нежилое здание  мастерской школы № 2</t>
  </si>
  <si>
    <t>Кемеровская область, Таштагольский район, пгт.Спасск, ул.Набережная,15</t>
  </si>
  <si>
    <t>В безвоз. пользов. администрации Каларского сельского поселения</t>
  </si>
  <si>
    <t>Встроенное нежилое помещение 2</t>
  </si>
  <si>
    <t xml:space="preserve">42:12:0104001:3652 </t>
  </si>
  <si>
    <t xml:space="preserve">42:12:0105002:3275 </t>
  </si>
  <si>
    <t xml:space="preserve">42:34:0101041:52  </t>
  </si>
  <si>
    <t>2-х этажное кирпичное (V=2150)</t>
  </si>
  <si>
    <t xml:space="preserve">42:34:0102011:40  </t>
  </si>
  <si>
    <t xml:space="preserve">42:34:0101044:175 </t>
  </si>
  <si>
    <t>42:34:0102003:57</t>
  </si>
  <si>
    <t>4-х этажное, кирпичное (V=16529 куб. м)</t>
  </si>
  <si>
    <t>жилое помещение</t>
  </si>
  <si>
    <t xml:space="preserve">42:12:0108002:590 </t>
  </si>
  <si>
    <t>3-х этажное,кирпичное (цокольный этаж, торговое)</t>
  </si>
  <si>
    <t>Кемеровская область, Таштагольский район, пгт.Мундыбаш, ул.Ленина,9</t>
  </si>
  <si>
    <t>Кемеровская область, Таштагольский район,  пгт. Шерегеш, ул. Гагарина,4а</t>
  </si>
  <si>
    <t>Кемеровская область, Таштагольский район, пгт. Каз, ул. Победы,12</t>
  </si>
  <si>
    <t>5-ти этаж. кирпичное с цокольным этажом-цокольный этаж, торговое</t>
  </si>
  <si>
    <t>Нежилое отдельно стоящее здание Дворца культуры "Октябрь"</t>
  </si>
  <si>
    <t>Нежилое отдельно стоящее здание Дворца культуры "Горняк"</t>
  </si>
  <si>
    <t>Кемеровская область, Таштагольский район, пгт.Шерегеш, ул.Советская,15а</t>
  </si>
  <si>
    <t>Отдельно стоящее нежилое здание Дворца культуры "Горняк"</t>
  </si>
  <si>
    <t>2-х этажное, кирпичное  (V=3361 куб.м)</t>
  </si>
  <si>
    <t>42:34:0114009:67</t>
  </si>
  <si>
    <t>1.3.26</t>
  </si>
  <si>
    <t>1.3.27</t>
  </si>
  <si>
    <t>5-ти этажное, кирпичное-1 этаж</t>
  </si>
  <si>
    <t>5-ти этажное, кирпичное-1 этаж, аптека</t>
  </si>
  <si>
    <t>4-х этажное, кирпичное-1 этаж,торговое, складское</t>
  </si>
  <si>
    <t>3-х этажное, кирпичное-цокольный этаж</t>
  </si>
  <si>
    <t>3-х этажное, кирпичное-цокольный этаж, телеателье</t>
  </si>
  <si>
    <t>3-х этажное, кирпичное-1 этаж, аптека</t>
  </si>
  <si>
    <t>4-х этажное, кирпичное-цокольный этаж, торговое</t>
  </si>
  <si>
    <t>4-х этажное, кирпичное-цокольный этаж</t>
  </si>
  <si>
    <t>3-х этажное, кирпичное-цокольный этаж, школа-класс</t>
  </si>
  <si>
    <t>5-ти этажное, кирпичное,цокольный этаж, офисное ЖКХ</t>
  </si>
  <si>
    <t>5-ти этажное, кирпичное,цокольный этаж</t>
  </si>
  <si>
    <t>5-ти этажное, кирпичное,первый этаж, парикмахерская (1 этаж)</t>
  </si>
  <si>
    <t>4-х этажное, кирпичное  (первый этаж, торговое)</t>
  </si>
  <si>
    <t>4-х этажное, кирпичное (1 этаж, офисное ЖКХ)</t>
  </si>
  <si>
    <t>Отдельно стоящее нежилое здание магазина № 3</t>
  </si>
  <si>
    <t>42:12:0102015:285</t>
  </si>
  <si>
    <t>Земельный участок  для использования : под индивидуальное жилищное строительство</t>
  </si>
  <si>
    <t>Встроенное нежилое помещение №1</t>
  </si>
  <si>
    <t>1.1.817.14</t>
  </si>
  <si>
    <t xml:space="preserve">42:34:0102029:82 </t>
  </si>
  <si>
    <t>Кемеровская область, Таштагольский район,пос.Усть-Кабырза, ул.Григорьева,47</t>
  </si>
  <si>
    <t xml:space="preserve"> встроенное нежилое помещение -спортивный зал</t>
  </si>
  <si>
    <t>42:12:0114002:1976</t>
  </si>
  <si>
    <t>42:12:0102003:1266</t>
  </si>
  <si>
    <t>42:12:0102015:230</t>
  </si>
  <si>
    <t>42:12:0102015:251</t>
  </si>
  <si>
    <t>42:12:0102015:234</t>
  </si>
  <si>
    <t>42:12:0102015:235</t>
  </si>
  <si>
    <t>42:12:0102015:236</t>
  </si>
  <si>
    <t>42:12:0102015:237</t>
  </si>
  <si>
    <t>42:12:0102015:238</t>
  </si>
  <si>
    <t>42:12:0102015:239</t>
  </si>
  <si>
    <t>42:12:0102015:241</t>
  </si>
  <si>
    <t>42:12:0102015:242</t>
  </si>
  <si>
    <t>42:12:0102015:243</t>
  </si>
  <si>
    <t>42:12:0102015:244</t>
  </si>
  <si>
    <t>42:12:0102015:245</t>
  </si>
  <si>
    <t>42:12:0102015:246</t>
  </si>
  <si>
    <t>42:12:0102015:248</t>
  </si>
  <si>
    <t>42:12:0102015:249</t>
  </si>
  <si>
    <t>42:12:0102015:250</t>
  </si>
  <si>
    <t>42:12:0105002:3285</t>
  </si>
  <si>
    <t>42:12:0105002:3284</t>
  </si>
  <si>
    <t>1.4.4.1.1</t>
  </si>
  <si>
    <t>1.4.4.1.2</t>
  </si>
  <si>
    <t>42:12:0102015:296</t>
  </si>
  <si>
    <t>42:12:0102015:291</t>
  </si>
  <si>
    <t>42:12:0102015:290</t>
  </si>
  <si>
    <t>42:12:0102015:287</t>
  </si>
  <si>
    <t>42:12:0102015:326</t>
  </si>
  <si>
    <t>42:12:0102015:325</t>
  </si>
  <si>
    <t>42:12:0102015:330</t>
  </si>
  <si>
    <t>42:12:0102015:332</t>
  </si>
  <si>
    <t>42:12:0102015:289</t>
  </si>
  <si>
    <t>42:12:0102015:323</t>
  </si>
  <si>
    <t>1.2.242.1</t>
  </si>
  <si>
    <t>пристрой 2-3 этажи- второй этаж</t>
  </si>
  <si>
    <t>42:12:0102015:222</t>
  </si>
  <si>
    <t>42:12:0102015:225</t>
  </si>
  <si>
    <t>42:12:0102015:226</t>
  </si>
  <si>
    <t>42:12:0102015:227</t>
  </si>
  <si>
    <t>42:12:0102015:229</t>
  </si>
  <si>
    <t>42:12:0102015:213</t>
  </si>
  <si>
    <t>42:12:0102015:253</t>
  </si>
  <si>
    <t>42:12:0102015:211</t>
  </si>
  <si>
    <t>42:12:0102015:214</t>
  </si>
  <si>
    <t>42:12:0102015:215</t>
  </si>
  <si>
    <t>42:12:0102015:219</t>
  </si>
  <si>
    <t>42:12:0102015:220</t>
  </si>
  <si>
    <t>42:34:0106003:512</t>
  </si>
  <si>
    <t>42:12:0102015:320</t>
  </si>
  <si>
    <t>42:12:0102015:324</t>
  </si>
  <si>
    <t>42:12:0108002:764</t>
  </si>
  <si>
    <t>42:12:0102015:264</t>
  </si>
  <si>
    <t>42:12:0102015:269</t>
  </si>
  <si>
    <t>42:12:0102015:271</t>
  </si>
  <si>
    <t xml:space="preserve">Галерея угля </t>
  </si>
  <si>
    <t>1.4.19.1</t>
  </si>
  <si>
    <t>1.4.26.1</t>
  </si>
  <si>
    <t>1.4.26.4</t>
  </si>
  <si>
    <t>1.4.26.6</t>
  </si>
  <si>
    <t>1.4.26.7</t>
  </si>
  <si>
    <t>1.4.26.9</t>
  </si>
  <si>
    <t>1.4.26.10</t>
  </si>
  <si>
    <t>1.4.26.13</t>
  </si>
  <si>
    <t>1.4.26.14</t>
  </si>
  <si>
    <t>1.4.26.15</t>
  </si>
  <si>
    <t>1.4.26.16</t>
  </si>
  <si>
    <t>1.4.26.17</t>
  </si>
  <si>
    <t>1.4.26.18</t>
  </si>
  <si>
    <t>1.4.26.20</t>
  </si>
  <si>
    <t>1.4.26.21</t>
  </si>
  <si>
    <t>1.4.26.22</t>
  </si>
  <si>
    <t>1.4.26.23</t>
  </si>
  <si>
    <t>1.4.26.24</t>
  </si>
  <si>
    <t>1.4.26.25</t>
  </si>
  <si>
    <t>1.4.26.27</t>
  </si>
  <si>
    <t>1.4.26.28</t>
  </si>
  <si>
    <t>1.4.26.29</t>
  </si>
  <si>
    <t>1.4.26.30</t>
  </si>
  <si>
    <t>1.4.26.32</t>
  </si>
  <si>
    <t>1.4.26.33</t>
  </si>
  <si>
    <t>1.4.26.34</t>
  </si>
  <si>
    <t>1.4.26.37</t>
  </si>
  <si>
    <t>1.4.26.38</t>
  </si>
  <si>
    <t>1.4.26.39</t>
  </si>
  <si>
    <t>1.4.26.40</t>
  </si>
  <si>
    <t>1.4.26.44</t>
  </si>
  <si>
    <t>1.4.26.45</t>
  </si>
  <si>
    <t>1.4.26.48</t>
  </si>
  <si>
    <t>1.4.26.51</t>
  </si>
  <si>
    <t>1.4.26.54</t>
  </si>
  <si>
    <t>1.4.26.55</t>
  </si>
  <si>
    <t>1.4.26.56</t>
  </si>
  <si>
    <t>1.4.26.59</t>
  </si>
  <si>
    <t>1.4.26.60</t>
  </si>
  <si>
    <t>1.4.26.61</t>
  </si>
  <si>
    <t>1.4.26.62</t>
  </si>
  <si>
    <t>1.4.26.63</t>
  </si>
  <si>
    <t>1.4.26.64</t>
  </si>
  <si>
    <t>1.4.26.68</t>
  </si>
  <si>
    <t>1.4.26.69</t>
  </si>
  <si>
    <t>1.4.26.72</t>
  </si>
  <si>
    <t>1.4.26.74</t>
  </si>
  <si>
    <t>1.4.26.76</t>
  </si>
  <si>
    <t>1.4.26.80</t>
  </si>
  <si>
    <t>1.4.26.82</t>
  </si>
  <si>
    <t>Кабельная линия 6 кВ до котельной</t>
  </si>
  <si>
    <t>Россия, Кемеровская область, Таштагольский район, пгт. Темиртау, ул. Почтовая,28а</t>
  </si>
  <si>
    <t>Россия, Кемеровская область, Таштагольский район, пгт. Темиртау, ул. Почтовая,28б</t>
  </si>
  <si>
    <t>42:12:0107003:259</t>
  </si>
  <si>
    <t>1.5.536.1</t>
  </si>
  <si>
    <t>1.1.358.13</t>
  </si>
  <si>
    <t>Кемеровская область, г.Таштагол, ул.Мира,30А</t>
  </si>
  <si>
    <t>Бугельная канатная дорога ВЛ-1000</t>
  </si>
  <si>
    <t>1.4.26.89</t>
  </si>
  <si>
    <t>1.4.26.90</t>
  </si>
  <si>
    <t>1.4.26.92</t>
  </si>
  <si>
    <t>1.4.26.94</t>
  </si>
  <si>
    <t>42:12:0102015:369</t>
  </si>
  <si>
    <t>42:12:0102015:363</t>
  </si>
  <si>
    <t>42:12:0102015:362</t>
  </si>
  <si>
    <t>42:12:0102015:374</t>
  </si>
  <si>
    <t>1.4.26.95</t>
  </si>
  <si>
    <t>1.4.26.97</t>
  </si>
  <si>
    <t>1.4.26.98</t>
  </si>
  <si>
    <t>1.4.26.101</t>
  </si>
  <si>
    <t>1.4.26.103</t>
  </si>
  <si>
    <t>1.4.26.104</t>
  </si>
  <si>
    <t>1.4.26.105</t>
  </si>
  <si>
    <t>1.4.26.106</t>
  </si>
  <si>
    <t>1.4.26.107</t>
  </si>
  <si>
    <t>1.4.26.110</t>
  </si>
  <si>
    <t>1.4.26.116</t>
  </si>
  <si>
    <t>1.4.26.118</t>
  </si>
  <si>
    <t>1.4.26.119</t>
  </si>
  <si>
    <t>1.4.26.120</t>
  </si>
  <si>
    <t>42:12:0102015:311</t>
  </si>
  <si>
    <t>42:12:0102015:334</t>
  </si>
  <si>
    <t>42:12:0102015:353</t>
  </si>
  <si>
    <t>42:12:0102015:337</t>
  </si>
  <si>
    <t>42:12:0102015:339</t>
  </si>
  <si>
    <t>42:12:0102015:340</t>
  </si>
  <si>
    <t>42:12:0102015:342</t>
  </si>
  <si>
    <t>42:12:0102015:343</t>
  </si>
  <si>
    <t>42:12:0102015:346</t>
  </si>
  <si>
    <t>42:12:0102015:348</t>
  </si>
  <si>
    <t>42:12:0102015:349</t>
  </si>
  <si>
    <t>42:12:0102015:350</t>
  </si>
  <si>
    <t>42:12:0102015:351</t>
  </si>
  <si>
    <t>42:12:0102015:352</t>
  </si>
  <si>
    <t xml:space="preserve">В безвозмездном пользовании МБОУ  дополнительного образования детей  «Специализированная детско-юношеская спортивная школа олимпийского резерва по горнолыжному спорту» </t>
  </si>
  <si>
    <t>1.1.821.51</t>
  </si>
  <si>
    <t>1.1.821.59</t>
  </si>
  <si>
    <t>42:12:0102005:1155</t>
  </si>
  <si>
    <t>10-ти этажное, крупноблочные</t>
  </si>
  <si>
    <t>42:12:0102005:1179</t>
  </si>
  <si>
    <t>1.1.821.79</t>
  </si>
  <si>
    <t>42:12:0102005:1221</t>
  </si>
  <si>
    <t>42:12:0108001:335</t>
  </si>
  <si>
    <t xml:space="preserve">реконструкция </t>
  </si>
  <si>
    <t>42:34:0101001:150</t>
  </si>
  <si>
    <t>42:34:0112005:483</t>
  </si>
  <si>
    <t>42:12:0108003:620</t>
  </si>
  <si>
    <t>42:12:0110001:1496</t>
  </si>
  <si>
    <t>42:12:0112004:251</t>
  </si>
  <si>
    <t>42:12:0104001:3677</t>
  </si>
  <si>
    <t>В арендном пользовании  ИП Ананиной А.А.</t>
  </si>
  <si>
    <t>1.4.26.125</t>
  </si>
  <si>
    <t>1.4.26.131</t>
  </si>
  <si>
    <t>1.4.26.132</t>
  </si>
  <si>
    <t>1.4.26.133</t>
  </si>
  <si>
    <t>1.4.26.134</t>
  </si>
  <si>
    <t>1.4.26.135</t>
  </si>
  <si>
    <t>42:34:0102003:82</t>
  </si>
  <si>
    <t>42:12:0105004:196</t>
  </si>
  <si>
    <t>42:12:0102015:278</t>
  </si>
  <si>
    <t>42:12:0102015:312</t>
  </si>
  <si>
    <t>42:12:0102015:315</t>
  </si>
  <si>
    <t>42:12:0102015:260</t>
  </si>
  <si>
    <t>42:12:0102015:261</t>
  </si>
  <si>
    <t>42:12:0102015:262</t>
  </si>
  <si>
    <t xml:space="preserve">42:12:0115001:604 </t>
  </si>
  <si>
    <t>42:12:0102002:1910</t>
  </si>
  <si>
    <t>42:12:0106002:4199</t>
  </si>
  <si>
    <t>42:12:0105002:3297</t>
  </si>
  <si>
    <t>42:34:0102012:178</t>
  </si>
  <si>
    <t>Россия, Кемеровская область, Таштагольский район,пгт.Мундыбаш, ул.Суворова,104</t>
  </si>
  <si>
    <t xml:space="preserve">В аренде ООО «Т2 Мобайл» </t>
  </si>
  <si>
    <t>протяж.1240м</t>
  </si>
  <si>
    <t>78,5</t>
  </si>
  <si>
    <t>металлич., высота 12м</t>
  </si>
  <si>
    <t>протяж.4000м</t>
  </si>
  <si>
    <t>2660</t>
  </si>
  <si>
    <t>щебень, высота 3,67м</t>
  </si>
  <si>
    <t>935</t>
  </si>
  <si>
    <t>544</t>
  </si>
  <si>
    <t>бетон, высота 2,20м</t>
  </si>
  <si>
    <t>2811</t>
  </si>
  <si>
    <t>земляной, длина 937м</t>
  </si>
  <si>
    <t>498</t>
  </si>
  <si>
    <t>ж/б, длина 207,5м</t>
  </si>
  <si>
    <t>длина 183м</t>
  </si>
  <si>
    <t>суглинок,камень, высота 29,5м</t>
  </si>
  <si>
    <t>длина 95,8м</t>
  </si>
  <si>
    <t>суглинок, камень, высота 8м</t>
  </si>
  <si>
    <t>512,6</t>
  </si>
  <si>
    <t>ж/б, длина 233м</t>
  </si>
  <si>
    <t xml:space="preserve">В безвозмездном пользовании МБОУ ДОД «Специализированная детско-юношеская спортивная школа олимпийского резерва по сноуборду» </t>
  </si>
  <si>
    <t>затраты на капитальный ремонт</t>
  </si>
  <si>
    <t>60/402</t>
  </si>
  <si>
    <t>6-ти этажное, кирпичное (2-й этаж)-фотостудия</t>
  </si>
  <si>
    <t xml:space="preserve">Кузбасское региональное отделение Сибирского филиала публичного акционерного общества «МегаФон» </t>
  </si>
  <si>
    <t>В аренде Публичного  акционерного общества «Мобильные ТелеСистемы»</t>
  </si>
  <si>
    <t>3-х этажное, кирпичное (1 этаж)-торговое</t>
  </si>
  <si>
    <t>Кемеровская область, Таштагольский район, пос.Чулеш, ул. Приисковая</t>
  </si>
  <si>
    <t xml:space="preserve">42:12:0106002:4204 </t>
  </si>
  <si>
    <t xml:space="preserve">42:12:0115001:605 </t>
  </si>
  <si>
    <t xml:space="preserve">42:12:0101001:985 </t>
  </si>
  <si>
    <t>Кемеровская область, Таштагольский район, пгт.Спасск,  ул.Мостовая,25</t>
  </si>
  <si>
    <t xml:space="preserve">42:34:0101044:101 </t>
  </si>
  <si>
    <t xml:space="preserve">42:12:0106002:3949 </t>
  </si>
  <si>
    <t xml:space="preserve">42:12:0104001:1798 </t>
  </si>
  <si>
    <t>протяж.  1200 п.м, площадь зем. уч. 13020,7 кв.м</t>
  </si>
  <si>
    <t>Кемеровская область, Таштагольский район, пгт.Шерегеш, ул. Советская,4а</t>
  </si>
  <si>
    <t xml:space="preserve">42:12:0102002:1915 </t>
  </si>
  <si>
    <t xml:space="preserve">Кемеровская область, р-н Таштагольский, пгт Шерегеш, ул Советская, д 8, пом. 2 </t>
  </si>
  <si>
    <t xml:space="preserve">42:12:0102002:1916 </t>
  </si>
  <si>
    <t>Кемеровская область, Таштагольский район, пгт. Шерегеш, ул.Советская,8, пом. 3</t>
  </si>
  <si>
    <t>42:12:0102002:1914</t>
  </si>
  <si>
    <t>Пристрой к зданию школы № 30</t>
  </si>
  <si>
    <t xml:space="preserve">Отдельно стоящее нежилое здание школы № 30 </t>
  </si>
  <si>
    <t>1978-1979</t>
  </si>
  <si>
    <t xml:space="preserve">42:12:0102002:270 </t>
  </si>
  <si>
    <t xml:space="preserve">42:12:0114002:777 </t>
  </si>
  <si>
    <t>Земельный участок под отдельно стоящее нежилое здание котельной</t>
  </si>
  <si>
    <t>42:34:0102064:447</t>
  </si>
  <si>
    <t>42:34:0102064:448</t>
  </si>
  <si>
    <t>42:12:0102002:1918</t>
  </si>
  <si>
    <t>Кемеровская область, г.Таштагол, ул.Ноградская,16</t>
  </si>
  <si>
    <t>42:12:0105002:966 (ранее 42:12:0105009:0007)</t>
  </si>
  <si>
    <t>42:12:0106002:4207</t>
  </si>
  <si>
    <t>1.4.26.136</t>
  </si>
  <si>
    <t>1.4.26.137</t>
  </si>
  <si>
    <t>1.4.26.139</t>
  </si>
  <si>
    <t>1.4.26.141</t>
  </si>
  <si>
    <t>1.4.26.142</t>
  </si>
  <si>
    <t>1.4.26.144</t>
  </si>
  <si>
    <t>42:12:0102015:394</t>
  </si>
  <si>
    <t>42:12:0102015:391</t>
  </si>
  <si>
    <t>42:12:0102015:282</t>
  </si>
  <si>
    <t>42:12:0102015:407</t>
  </si>
  <si>
    <t>42:12:0102015:400</t>
  </si>
  <si>
    <t>42:12:0102015:304</t>
  </si>
  <si>
    <t xml:space="preserve">Водозабор Балгашта 
Дамба насыпная, высота дамбы -12 м
Площадь зеркала водоема – 5,5 га
</t>
  </si>
  <si>
    <t>1967, 1985, 1986, 1992, 1994, 2005, 2006</t>
  </si>
  <si>
    <t xml:space="preserve">услуги по расчету вероятного вреда в результате гидродинамической аварии на ГТС </t>
  </si>
  <si>
    <t xml:space="preserve">услуги по разработке правил эксплуатации  ГТС </t>
  </si>
  <si>
    <t xml:space="preserve">услуги технического контроля за проведением работ по реконструкции паропровода </t>
  </si>
  <si>
    <t>услуги технического контроля за проведением работ по ремонту водовода</t>
  </si>
  <si>
    <t>1.1.7.76</t>
  </si>
  <si>
    <t>42:34:0106003:505</t>
  </si>
  <si>
    <t xml:space="preserve">42:12:0101001:240 </t>
  </si>
  <si>
    <t>Кемеровская область, Таштагольский район, пос.Усть-Кабырза, ул.Школьная,4</t>
  </si>
  <si>
    <t>1-но этажное , брус (V=5497)</t>
  </si>
  <si>
    <t xml:space="preserve">42:12:0110001:1303 </t>
  </si>
  <si>
    <t>Кемеровская область,  г. Таштагол, ул. Коммунальная,2</t>
  </si>
  <si>
    <t>1-но этажное, кирпичное и шлакоблочное</t>
  </si>
  <si>
    <t xml:space="preserve">Отдельно стоящее нежилое здание хозяйственного склада </t>
  </si>
  <si>
    <t xml:space="preserve">3-х этажное с подвалом , кирпичное </t>
  </si>
  <si>
    <t>Кемеровская область, г. Таштагол, ул. Поспелова,5/1</t>
  </si>
  <si>
    <t>Кемеровская область, Таштагольский район,п. Алтамаш, ул. Терешковой,1</t>
  </si>
  <si>
    <t>42:12:0109001:198</t>
  </si>
  <si>
    <t>Кемеровская область, Таштагольский район, пгт. Мундыбаш,  ул. Октябрьская,67, место №6</t>
  </si>
  <si>
    <t>1.2.442.1</t>
  </si>
  <si>
    <t>Кемеровская область, Таштагольский район, пгт. Мундыбаш,  ул. Октябрьская,67, место №8</t>
  </si>
  <si>
    <t>Отдельно стоящее нежилое здание гаража (инв.ном. Ц0057457)</t>
  </si>
  <si>
    <t>Кемеровская область, Таштагольский район,пгт.Мундыбаш, ул.Октябрьская,79</t>
  </si>
  <si>
    <t>Здание свинарника (инв.ном. Ц0057354)</t>
  </si>
  <si>
    <t>Кемеровская область, Таштагольский район, пгт. Мундыбаш,  ул. Октябрьская,69</t>
  </si>
  <si>
    <t>42:34:0000000:25</t>
  </si>
  <si>
    <t>42:12:0000000:13</t>
  </si>
  <si>
    <t>1.4.15.1</t>
  </si>
  <si>
    <t>1.4.15.2</t>
  </si>
  <si>
    <t>1.4.15.3</t>
  </si>
  <si>
    <t>1.4.15.4</t>
  </si>
  <si>
    <t>42:12:0105011:135</t>
  </si>
  <si>
    <t>1.4.15.5</t>
  </si>
  <si>
    <t>42:12:0105011:136</t>
  </si>
  <si>
    <t>42:12:0105011:137</t>
  </si>
  <si>
    <t>42:12:0105011:138</t>
  </si>
  <si>
    <t>42:12:0105011:139</t>
  </si>
  <si>
    <t xml:space="preserve">Россия, Кемеровская область, Таштагольский р-н, п Кедровка, ул Весенняя, д. 28-а </t>
  </si>
  <si>
    <t>42:12:0105004:30</t>
  </si>
  <si>
    <t>42:34:0104026:10</t>
  </si>
  <si>
    <t>42:12:0106003:69</t>
  </si>
  <si>
    <t>42:12:0105002:136</t>
  </si>
  <si>
    <t>42:12:0105002:51</t>
  </si>
  <si>
    <t>42:12:0105004:20</t>
  </si>
  <si>
    <t>42:12:0105004:6</t>
  </si>
  <si>
    <t>42:34:0000000:12</t>
  </si>
  <si>
    <t xml:space="preserve">42:12:0106002:3947 </t>
  </si>
  <si>
    <t>1.4.26.146</t>
  </si>
  <si>
    <t>1.4.26.148</t>
  </si>
  <si>
    <t>1.4.26.149</t>
  </si>
  <si>
    <t>1.4.26.151</t>
  </si>
  <si>
    <t>1.4.26.152</t>
  </si>
  <si>
    <t>1.4.26.153</t>
  </si>
  <si>
    <t>42:12:0102015:409</t>
  </si>
  <si>
    <t>42:12:0102015:392</t>
  </si>
  <si>
    <t>42:12:0102015:420</t>
  </si>
  <si>
    <t>42:12:0102015:366</t>
  </si>
  <si>
    <t>42:12:0102015:365</t>
  </si>
  <si>
    <t>42:12:0102015:364</t>
  </si>
  <si>
    <t>1.4.26.155</t>
  </si>
  <si>
    <t>1.4.26.157</t>
  </si>
  <si>
    <t>1.4.26.158</t>
  </si>
  <si>
    <t>1.4.26.160</t>
  </si>
  <si>
    <t>1.4.26.161</t>
  </si>
  <si>
    <t>1.4.26.162</t>
  </si>
  <si>
    <t>1.4.26.164</t>
  </si>
  <si>
    <t>1.4.26.165</t>
  </si>
  <si>
    <t>1.4.26.166</t>
  </si>
  <si>
    <t>1.4.26.168</t>
  </si>
  <si>
    <t>1.4.26.171</t>
  </si>
  <si>
    <t>1.4.26.173</t>
  </si>
  <si>
    <t>1.4.26.175</t>
  </si>
  <si>
    <t>1.4.26.176</t>
  </si>
  <si>
    <t>1.4.26.178</t>
  </si>
  <si>
    <t>1.4.26.179</t>
  </si>
  <si>
    <t>42:12:0102015:436</t>
  </si>
  <si>
    <t>42:12:0102015:438</t>
  </si>
  <si>
    <t>42:12:0102015:439</t>
  </si>
  <si>
    <t>42:12:0102015:441</t>
  </si>
  <si>
    <t>42:12:0102015:442</t>
  </si>
  <si>
    <t>42:12:0102015:443</t>
  </si>
  <si>
    <t>42:12:0102015:445</t>
  </si>
  <si>
    <t>42:12:0102015:446</t>
  </si>
  <si>
    <t>42:12:0102015:447</t>
  </si>
  <si>
    <t>42:12:0102015:449</t>
  </si>
  <si>
    <t>42:12:0102015:452</t>
  </si>
  <si>
    <t>42:12:0102015:454</t>
  </si>
  <si>
    <t>42:12:0102015:430</t>
  </si>
  <si>
    <t>42:12:0102015:431</t>
  </si>
  <si>
    <t>42:12:0102015:433</t>
  </si>
  <si>
    <t>42:12:0102015:434</t>
  </si>
  <si>
    <t>1.1.353.2</t>
  </si>
  <si>
    <t xml:space="preserve">42:34:0114017:100 </t>
  </si>
  <si>
    <t xml:space="preserve">42:34:0112005:175 </t>
  </si>
  <si>
    <t xml:space="preserve">42:34:0112005:197 </t>
  </si>
  <si>
    <t xml:space="preserve">42:34:0112005:177 </t>
  </si>
  <si>
    <t xml:space="preserve">42:34:0101020:33 </t>
  </si>
  <si>
    <t>1.1.327.1</t>
  </si>
  <si>
    <t>1.1.327.2</t>
  </si>
  <si>
    <t>42:12:0102009:299</t>
  </si>
  <si>
    <t xml:space="preserve">42:12:0102009:298 </t>
  </si>
  <si>
    <t>1.1.218.2</t>
  </si>
  <si>
    <t>1.1.219.1</t>
  </si>
  <si>
    <t>1.1.220.2</t>
  </si>
  <si>
    <t>42:12:0110001:1512</t>
  </si>
  <si>
    <t>Администрация У-Кабырзинского сельского поселения</t>
  </si>
  <si>
    <t>Администрация Кызыл-Шорского городского поселения</t>
  </si>
  <si>
    <t>Администрация Коуринского сельского поселения</t>
  </si>
  <si>
    <t xml:space="preserve">42:12:0105002:1988 </t>
  </si>
  <si>
    <t>2-х этажное с цокольным, кирпичное</t>
  </si>
  <si>
    <t>1.1.52.37</t>
  </si>
  <si>
    <t>1.1.294.1</t>
  </si>
  <si>
    <t>Кадастровый номер земельного участка: 42:12:0102006:111; S=600 кв.м</t>
  </si>
  <si>
    <t xml:space="preserve">42:34:0102066:32 </t>
  </si>
  <si>
    <t xml:space="preserve">42:12:0101001:48 </t>
  </si>
  <si>
    <t>42:12:0104001:988</t>
  </si>
  <si>
    <t>1.4.43</t>
  </si>
  <si>
    <t xml:space="preserve">42:12:0106002:56 </t>
  </si>
  <si>
    <t>Земельный участок под отдельно стоящее нежилое здание детской музыкальной школы</t>
  </si>
  <si>
    <t xml:space="preserve">Земельный участок под детскую школу искусств №8 
</t>
  </si>
  <si>
    <t>42:34:0106002:447</t>
  </si>
  <si>
    <t>В безвоз. польз. МБУК "Музей этнографии и природы "Горной Шории" Таштагольского муниципального района</t>
  </si>
  <si>
    <t>протяж. 270 м, д/ трубы 300 мм</t>
  </si>
  <si>
    <t>протяж. 170 м, д/трубы 100 мм</t>
  </si>
  <si>
    <t>протяж. 420 м, д/трубы 100 мм</t>
  </si>
  <si>
    <t xml:space="preserve"> протяж. 210 м, д/трубы 100 мм</t>
  </si>
  <si>
    <t xml:space="preserve"> протяж. 72 м, д/трубы 100 мм</t>
  </si>
  <si>
    <t xml:space="preserve"> протяж. 350 м, д/ трубы 100 мм</t>
  </si>
  <si>
    <t xml:space="preserve"> протяж. 90 м, д/ трубы 200 мм</t>
  </si>
  <si>
    <t xml:space="preserve"> протяж. 1600 м, д/ трубы 200 мм</t>
  </si>
  <si>
    <t xml:space="preserve"> протяж. 1500 м, д/ трубы 500 мм</t>
  </si>
  <si>
    <t>протяж. 2730 м, д/трубы 159 мм</t>
  </si>
  <si>
    <t xml:space="preserve">42:12:0106002:1117 </t>
  </si>
  <si>
    <t>В безвоз. польз. МКУ "Центр  социального обслуживания граждан пожилого возраста и инвалидов Таштагольского городского поселения"</t>
  </si>
  <si>
    <t xml:space="preserve">42:12:0101001:833 </t>
  </si>
  <si>
    <t>В оперативном управлении МБОУ ДО "Центр развития творчества детей и юношества "Сибиряк"</t>
  </si>
  <si>
    <t xml:space="preserve">протяж.2500 м, Ф 50; </t>
  </si>
  <si>
    <t>Резервуар – бак для воды 600 м3</t>
  </si>
  <si>
    <t xml:space="preserve">В оперативном управлении МБУ ДО «Школа искусств №64» </t>
  </si>
  <si>
    <t xml:space="preserve">В оперативном управлении МБУ ДО «Школа искусств №67» </t>
  </si>
  <si>
    <t xml:space="preserve">В оперативном управлении МБУ ДО «Школа искусств №68» </t>
  </si>
  <si>
    <t xml:space="preserve">В оперативном управлении МБУ ДО «Школа искусств №8 им. Н.А. Капишникова» </t>
  </si>
  <si>
    <t xml:space="preserve">В оперативном управлении МБУ ДО  «Школа искусств №65» </t>
  </si>
  <si>
    <t>В арендном пользовании Палаухиной А.А.</t>
  </si>
  <si>
    <t>Кемеровская область, г.Таштагол, ул.Поспелова,22</t>
  </si>
  <si>
    <t>В арендном пользовании Администрации Мундыбашского городского поселения</t>
  </si>
  <si>
    <t>Кемеровская область, г.Таштагол, ул.Ноградская,8 ,пом. №109</t>
  </si>
  <si>
    <t>1.4.44</t>
  </si>
  <si>
    <t xml:space="preserve">42:12:0110001:1500 </t>
  </si>
  <si>
    <t xml:space="preserve">42:34:0101074:145 </t>
  </si>
  <si>
    <t>3-х этажное здание (чердак)</t>
  </si>
  <si>
    <t>Кемеровская область, г.Таштагол, ул.Юбилейная,1а</t>
  </si>
  <si>
    <t xml:space="preserve">42:34:0104006:83 </t>
  </si>
  <si>
    <t>1.4.45</t>
  </si>
  <si>
    <t>1.4.46</t>
  </si>
  <si>
    <t>1.4.47</t>
  </si>
  <si>
    <t xml:space="preserve">42:34:0104006:24 </t>
  </si>
  <si>
    <t xml:space="preserve">Кемеровская область,  г. Таштагол, ул. Геологическая, д. 66
</t>
  </si>
  <si>
    <t>1.1.829.</t>
  </si>
  <si>
    <t>1.1.829.1</t>
  </si>
  <si>
    <t>1.1.829.2</t>
  </si>
  <si>
    <t>1.1.829.3</t>
  </si>
  <si>
    <t>1.1.830.</t>
  </si>
  <si>
    <t>1.1.830.1</t>
  </si>
  <si>
    <t>1.1.831.</t>
  </si>
  <si>
    <t>1.1.831.1</t>
  </si>
  <si>
    <t>1.1.830.2</t>
  </si>
  <si>
    <t>1.1.830.3</t>
  </si>
  <si>
    <t>1.1.830.4</t>
  </si>
  <si>
    <t>1.1.831.2</t>
  </si>
  <si>
    <t>1.1.831.3</t>
  </si>
  <si>
    <t>1.1.831.4</t>
  </si>
  <si>
    <t>42:12:0106002:4191</t>
  </si>
  <si>
    <t>42:12:0106002:4195</t>
  </si>
  <si>
    <t>42:12:0106002:4193</t>
  </si>
  <si>
    <t>42:12:0106002:4186</t>
  </si>
  <si>
    <t>42:12:0106002:4187</t>
  </si>
  <si>
    <t>42:12:0106002:4189</t>
  </si>
  <si>
    <t>42:12:0106002:4190</t>
  </si>
  <si>
    <t>42:12:0106002:4188</t>
  </si>
  <si>
    <t>42:12:0106002:4181</t>
  </si>
  <si>
    <t>42:12:0106002:4182</t>
  </si>
  <si>
    <t>42:12:0106002:4183</t>
  </si>
  <si>
    <t>42:12:0106002:4184</t>
  </si>
  <si>
    <t>42:12:0106002:4185</t>
  </si>
  <si>
    <t>42:34:0000000:293</t>
  </si>
  <si>
    <t>Земельный участок  для использования в целях под строительство жилого дома</t>
  </si>
  <si>
    <t>Земельный участок  для использования в целях под размещение объектов рекреационного и лечебно-оздоровительного назначения</t>
  </si>
  <si>
    <t>Земельный участок  для использования в целях под  строительство жилого дома</t>
  </si>
  <si>
    <t xml:space="preserve">Россия, Кемеровская область, Таштагольский р-н, п. Кедровка </t>
  </si>
  <si>
    <t xml:space="preserve">Россия, Кемеровская область, Таштагольский р-н, п. Кедровка, ул. Весенняя, д. 28 </t>
  </si>
  <si>
    <t>Россия, Кемеровская область, Таштагольский р-н, п. Кедровка, ул. Весенняя, д. 28-б</t>
  </si>
  <si>
    <t xml:space="preserve">Россия, Кемеровская область, Таштагольский р-н, п. Кедровка, ул. Весенняя, д. 28-в </t>
  </si>
  <si>
    <t>Встроенное нежилое помещение аптеки</t>
  </si>
  <si>
    <t>Гараж (бокс)</t>
  </si>
  <si>
    <t>Кемеровская область, Таштагольский район, п. Чугунаш, ул. Школьная,1</t>
  </si>
  <si>
    <t xml:space="preserve">42:12:0101001:798 </t>
  </si>
  <si>
    <t>В арендном пользовании филиала "Кемеровский областной радиотелевизионный передающий центр"</t>
  </si>
  <si>
    <t>1.2.223.2</t>
  </si>
  <si>
    <t>брус, 1 этажное -первый этаж</t>
  </si>
  <si>
    <t>1.2.208.3</t>
  </si>
  <si>
    <t>1-но этажное , брус-первый этаж</t>
  </si>
  <si>
    <t>42:34:0102064:451</t>
  </si>
  <si>
    <t>42:34:0102064:452</t>
  </si>
  <si>
    <t>42:34:0102064:453</t>
  </si>
  <si>
    <t>42:34:0101074:9</t>
  </si>
  <si>
    <t>1.2.12.3</t>
  </si>
  <si>
    <t>1.3.135</t>
  </si>
  <si>
    <t>1.3.73.1</t>
  </si>
  <si>
    <t>1.3.78.1</t>
  </si>
  <si>
    <t>1.2.450</t>
  </si>
  <si>
    <t>1.2.451</t>
  </si>
  <si>
    <t>1.2.452</t>
  </si>
  <si>
    <t>1.2.453</t>
  </si>
  <si>
    <t>1.2.454</t>
  </si>
  <si>
    <t>1.2.455</t>
  </si>
  <si>
    <t>1.2.456</t>
  </si>
  <si>
    <t>Отдельно стоящее нежилое здание пеллетно-угольного склада</t>
  </si>
  <si>
    <t>Кемеровская область, Таштагольский район, п. Калары, ул.Луначарского,2</t>
  </si>
  <si>
    <t xml:space="preserve">1-но этажное  дощатое с обшивкой </t>
  </si>
  <si>
    <t>МКОУ "Основная общеобразовательная школа №70"</t>
  </si>
  <si>
    <t>Кемеровская область, Таштагольский район,пос.Килинск</t>
  </si>
  <si>
    <t xml:space="preserve"> МКОУ "Основная общеобразовательная школа №34"</t>
  </si>
  <si>
    <t>Кемеровская область, Таштагольский район,пос.Мрассу,ул.Набережная,26</t>
  </si>
  <si>
    <t xml:space="preserve">Кемеровская область, Таштагольский район, пгт.Каз, ул.Горноспасательная,1,пом.33 </t>
  </si>
  <si>
    <t>42:12:0105002:3311</t>
  </si>
  <si>
    <t xml:space="preserve">42:12:0101001:705 </t>
  </si>
  <si>
    <t xml:space="preserve">42:34:0104006:81 </t>
  </si>
  <si>
    <t xml:space="preserve">42:12:0101001:276 </t>
  </si>
  <si>
    <t>1.3.8.2</t>
  </si>
  <si>
    <t>1.3.10.2</t>
  </si>
  <si>
    <t>1.3.13.1</t>
  </si>
  <si>
    <t>1.3.21.1</t>
  </si>
  <si>
    <t>1.3.23.1</t>
  </si>
  <si>
    <t>1.3.29.1</t>
  </si>
  <si>
    <t>1.3.31.2</t>
  </si>
  <si>
    <t>1.3.31.3</t>
  </si>
  <si>
    <t>1.3.31.4</t>
  </si>
  <si>
    <t>1.3.32</t>
  </si>
  <si>
    <t>1.4.26.181</t>
  </si>
  <si>
    <t>1.4.26.182</t>
  </si>
  <si>
    <t>1.4.26.188</t>
  </si>
  <si>
    <t>1.4.26.190</t>
  </si>
  <si>
    <t>1.4.26.193</t>
  </si>
  <si>
    <t>1.4.26.195</t>
  </si>
  <si>
    <t>1.4.26.196</t>
  </si>
  <si>
    <t>1.4.26.198</t>
  </si>
  <si>
    <t>42:12:0102015:274</t>
  </si>
  <si>
    <t>42:12:0102015:410</t>
  </si>
  <si>
    <t>42:12:0102015:425</t>
  </si>
  <si>
    <t>42:12:0102015:418</t>
  </si>
  <si>
    <t>42:12:0102015:415</t>
  </si>
  <si>
    <t>42:12:0102015:292</t>
  </si>
  <si>
    <t>42:12:0102015:293</t>
  </si>
  <si>
    <t>42:12:0102015:456</t>
  </si>
  <si>
    <t>42:34:0000000:294</t>
  </si>
  <si>
    <t>42:12:0101001:537</t>
  </si>
  <si>
    <t>Отдельно стоящее нежилое здание ГЗУ насосной станции осветления воды  (и трансформаторных)</t>
  </si>
  <si>
    <t xml:space="preserve">Кемеровская область,  г. Таштагол, ул. Коммунальная,д.2
</t>
  </si>
  <si>
    <t>Земельный участок,использование:Новая пром. Площадка: фактическое использование: для размещения и эксплуатации котельной</t>
  </si>
  <si>
    <t>Кемеровская область, г.Таштагол,  городская котельная</t>
  </si>
  <si>
    <t>Отдельно стоящее нежилое здание клуба "Топаз"</t>
  </si>
  <si>
    <t>Музыкальная школа</t>
  </si>
  <si>
    <t>Пристроенный к котельной угольный склад</t>
  </si>
  <si>
    <t xml:space="preserve">Хоккейная коробка </t>
  </si>
  <si>
    <t>Дымовая труба котельной</t>
  </si>
  <si>
    <t>Отдельно стоящее нежилое здание (дом творчества)</t>
  </si>
  <si>
    <t xml:space="preserve">42:34:0000000:168                             </t>
  </si>
  <si>
    <t>42:12:0112001:434</t>
  </si>
  <si>
    <t>42:12:0112001:435</t>
  </si>
  <si>
    <t>1.3.14.1</t>
  </si>
  <si>
    <t>1.3.43.1</t>
  </si>
  <si>
    <t>1.3.53</t>
  </si>
  <si>
    <t>1.3.54</t>
  </si>
  <si>
    <t>1.3.55</t>
  </si>
  <si>
    <t>1.3.56</t>
  </si>
  <si>
    <t>1.3.65.1</t>
  </si>
  <si>
    <t>1.3.73.2</t>
  </si>
  <si>
    <t>1.3.82.1</t>
  </si>
  <si>
    <t>1.3.82.2</t>
  </si>
  <si>
    <t>1.3.82.3</t>
  </si>
  <si>
    <t>1.3.95.1</t>
  </si>
  <si>
    <t>1.3.99.1</t>
  </si>
  <si>
    <t>1.3.104.1</t>
  </si>
  <si>
    <t>1.3.117.1</t>
  </si>
  <si>
    <t>1.3.127</t>
  </si>
  <si>
    <t>1.3.133.3</t>
  </si>
  <si>
    <t>1.3.147.1</t>
  </si>
  <si>
    <t>1.3.147.2</t>
  </si>
  <si>
    <t>1.3.153.1</t>
  </si>
  <si>
    <t>1.3.161.1</t>
  </si>
  <si>
    <t>1.3.161.2</t>
  </si>
  <si>
    <t>Нежилое здание (городская котельная)</t>
  </si>
  <si>
    <t>42:12:0101001:586</t>
  </si>
  <si>
    <t>1.3.163</t>
  </si>
  <si>
    <t>1.3.164</t>
  </si>
  <si>
    <t>1.3.171</t>
  </si>
  <si>
    <t>Кемеровская область, Таштагольский район, пгт.Мундыбаш, ул.Школьная,4</t>
  </si>
  <si>
    <t>1.4.48</t>
  </si>
  <si>
    <t>42:12:0105010:2</t>
  </si>
  <si>
    <t xml:space="preserve"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</t>
  </si>
  <si>
    <t xml:space="preserve">Земли промышленности, энергетики, транспорта, связи, радиовещания, телевидения, информатики, земель для обеспечения космической деятельности, обороны, безопасности и земель иного назначения </t>
  </si>
  <si>
    <t>Земли поселений</t>
  </si>
  <si>
    <t>Земли населенных пунктов</t>
  </si>
  <si>
    <t>Земли населённых пунктов</t>
  </si>
  <si>
    <t>Земельный участок  для размещения промышленных объектов: Карьер ЛБС с отвалами</t>
  </si>
  <si>
    <t>1.1.817.15</t>
  </si>
  <si>
    <t>1.1.547.3</t>
  </si>
  <si>
    <t xml:space="preserve">42:12:0106002:2472 </t>
  </si>
  <si>
    <t xml:space="preserve">Земли населенных пунктов </t>
  </si>
  <si>
    <t xml:space="preserve">42:34:0106002:1758 </t>
  </si>
  <si>
    <t xml:space="preserve">42:34:0106002:1757 </t>
  </si>
  <si>
    <t>Встроенное нежилое помещение (подразделение от взрослой поликлиники)</t>
  </si>
  <si>
    <t xml:space="preserve">ДК "Горняк" </t>
  </si>
  <si>
    <t>Отдельно стоящее нежилое здание (гараж на 2 бокса)</t>
  </si>
  <si>
    <t>42:34:0106008:91</t>
  </si>
  <si>
    <t>42:34:0106003:516</t>
  </si>
  <si>
    <t>42:34:0106002:1753</t>
  </si>
  <si>
    <t>42:34:0106002:1754</t>
  </si>
  <si>
    <t>42:34:0106002:1752</t>
  </si>
  <si>
    <t>42:34:0106002:1756</t>
  </si>
  <si>
    <t>42:34:0106002:1755</t>
  </si>
  <si>
    <t>Кемеровская область, г.Таштагол, ул. Ленина,25</t>
  </si>
  <si>
    <t xml:space="preserve">42:34:0112002:84 </t>
  </si>
  <si>
    <t>1.4.50</t>
  </si>
  <si>
    <t xml:space="preserve">42:34:0102011:11 </t>
  </si>
  <si>
    <t>1.2.200.1</t>
  </si>
  <si>
    <t>1.2.12.7</t>
  </si>
  <si>
    <t>1.2.12.12</t>
  </si>
  <si>
    <t>1-ноэтажное  здание, кирпичное</t>
  </si>
  <si>
    <t>3х этажное  с цокольным здание  (3 этаж)</t>
  </si>
  <si>
    <t>1.4.26.199</t>
  </si>
  <si>
    <t>1.4.26.207</t>
  </si>
  <si>
    <t>1.4.26.208</t>
  </si>
  <si>
    <t>42:12:0102015:361</t>
  </si>
  <si>
    <t>42:12:0102015:306</t>
  </si>
  <si>
    <t>42:12:0102015:458</t>
  </si>
  <si>
    <t>42:34:0106002:1759</t>
  </si>
  <si>
    <t>1.1.832.</t>
  </si>
  <si>
    <t xml:space="preserve">Кемеровская область, 14-ый км ж/д пути Таштагол-Шерегеш </t>
  </si>
  <si>
    <t>Кемеровская область,г.Таштагол, ул.Ленина,7,бокс № 3</t>
  </si>
  <si>
    <t>Кемеровская область,г.Таштагол, ул.Ленина,7,бокс № 7</t>
  </si>
  <si>
    <t>Кемеровская область,г.Таштагол, ул.Ленина,7,бокс № 12</t>
  </si>
  <si>
    <t xml:space="preserve">42:12:0102002:257 </t>
  </si>
  <si>
    <t>В безвоз. польз. МКУ "Управление образования Администрации Таштагольского муниципального района"</t>
  </si>
  <si>
    <t>Административно-спортивное здание в составе Губернского центра сноуборда и горных лыж на горе Туманная в г. Таштаголе Кемеровской области</t>
  </si>
  <si>
    <t>Кемеровская область, Таштагольский муниципальный район, Таштагольское городское поселение, г. Таштагол, ул. Скворцова, д.42/1</t>
  </si>
  <si>
    <t>1.2.157.20</t>
  </si>
  <si>
    <t>Встроенное нежилое помещение (музей)</t>
  </si>
  <si>
    <t>Встроенное нежилое помещение гаража (бывший склад)</t>
  </si>
  <si>
    <t>100000 кв.м</t>
  </si>
  <si>
    <t>42:34:0106001:1449</t>
  </si>
  <si>
    <t>42:34:0106001:1448</t>
  </si>
  <si>
    <t>42:34:0106001:1447</t>
  </si>
  <si>
    <t>42:34:01006001:1451</t>
  </si>
  <si>
    <t>42:34:0106001:1450</t>
  </si>
  <si>
    <t>Сооружение: буксировочная канатная дорога БКД-45</t>
  </si>
  <si>
    <t>протяж.1283,9 м-до 2002 г</t>
  </si>
  <si>
    <t>1.2.210.1</t>
  </si>
  <si>
    <t>Встроенное нежилое помещение медпункта</t>
  </si>
  <si>
    <t>1.1.833.</t>
  </si>
  <si>
    <t>1.1.833.2</t>
  </si>
  <si>
    <t>1.1.833.3</t>
  </si>
  <si>
    <t>1.1.833.5</t>
  </si>
  <si>
    <t>1.1.833.7</t>
  </si>
  <si>
    <t>1.1.833.8</t>
  </si>
  <si>
    <t>1.1.833.11</t>
  </si>
  <si>
    <t>1.1.833.14</t>
  </si>
  <si>
    <t>1.1.833.15</t>
  </si>
  <si>
    <t>1.1.833.17</t>
  </si>
  <si>
    <t xml:space="preserve">42:12:0114002:1971 </t>
  </si>
  <si>
    <t xml:space="preserve">42:34:0101041:171 </t>
  </si>
  <si>
    <t xml:space="preserve">42:34:0101041:175 </t>
  </si>
  <si>
    <t xml:space="preserve">42:34:0101041:182 </t>
  </si>
  <si>
    <t>1.4.26.210</t>
  </si>
  <si>
    <t>1.4.26.211</t>
  </si>
  <si>
    <t>1.4.26.212</t>
  </si>
  <si>
    <t>1.4.26.213</t>
  </si>
  <si>
    <t>1.4.26.214</t>
  </si>
  <si>
    <t>1.4.26.215</t>
  </si>
  <si>
    <t>1.4.26.218</t>
  </si>
  <si>
    <t>1.4.26.221</t>
  </si>
  <si>
    <t>1.4.26.222</t>
  </si>
  <si>
    <t>1.4.26.224</t>
  </si>
  <si>
    <t>1.4.26.225</t>
  </si>
  <si>
    <t>1.4.26.226</t>
  </si>
  <si>
    <t>1.4.26.227</t>
  </si>
  <si>
    <t>1.4.26.228</t>
  </si>
  <si>
    <t>1.4.26.230</t>
  </si>
  <si>
    <t>42:12:0102015:317</t>
  </si>
  <si>
    <t>42:12:0102015:301</t>
  </si>
  <si>
    <t>42:12:0102015:478</t>
  </si>
  <si>
    <t>42:12:0102015:482</t>
  </si>
  <si>
    <t>42:12:0102015:483</t>
  </si>
  <si>
    <t>42:12:0102015:303</t>
  </si>
  <si>
    <t>42:12:0102015:305</t>
  </si>
  <si>
    <t>42:12:0102015:475</t>
  </si>
  <si>
    <t>42:12:0102015:476</t>
  </si>
  <si>
    <t>42:12:0102015:489</t>
  </si>
  <si>
    <t>42:12:0102015:486</t>
  </si>
  <si>
    <t>42:12:0102015:314</t>
  </si>
  <si>
    <t>42:12:0102015:316</t>
  </si>
  <si>
    <t>42:12:0102015:300</t>
  </si>
  <si>
    <t>42:12:0102015:490</t>
  </si>
  <si>
    <t>4-х этажное, кирпичное (2-й этаж)</t>
  </si>
  <si>
    <t>4-х этажное, кирпичное (4-й этаж)</t>
  </si>
  <si>
    <t>Сооружение: Станция "Турист"-1 очередь</t>
  </si>
  <si>
    <t>протяж. 1088 м, d=50,100,159</t>
  </si>
  <si>
    <t>протяж. 295 м, d=150</t>
  </si>
  <si>
    <t>протяженность 8340 м</t>
  </si>
  <si>
    <t>42:12:0108001:357</t>
  </si>
  <si>
    <t xml:space="preserve"> Помещение нежилое (гараж)</t>
  </si>
  <si>
    <t>42:12:0108003:644</t>
  </si>
  <si>
    <t>42:34:0101040:213</t>
  </si>
  <si>
    <t>Кемеровская область, Таштагольский район,пос.Базанча, ул.Школьная,5</t>
  </si>
  <si>
    <t>2-х этажное, смешанные стены</t>
  </si>
  <si>
    <t>42:34:0102066:55</t>
  </si>
  <si>
    <t xml:space="preserve">В безвозмездном пользовании МБУЗ "Таштагольская Центральная районная больница"  </t>
  </si>
  <si>
    <t>1.2.224.1</t>
  </si>
  <si>
    <t xml:space="preserve">В безвоз.пользовании МБУЗ "Таштагольская Центральная районная больница"  </t>
  </si>
  <si>
    <t>1.1.834</t>
  </si>
  <si>
    <t>1.1.834.2</t>
  </si>
  <si>
    <t>1.1.834.8</t>
  </si>
  <si>
    <t>1.1.834.11</t>
  </si>
  <si>
    <t>1.1.834.13</t>
  </si>
  <si>
    <t>28а</t>
  </si>
  <si>
    <t>42:34:0103007:170</t>
  </si>
  <si>
    <t>42:34:0103007:171</t>
  </si>
  <si>
    <t>42:34:0103007:178</t>
  </si>
  <si>
    <t>42:34:0103007:181</t>
  </si>
  <si>
    <t>42:34:0103007:183</t>
  </si>
  <si>
    <t>3-х этажное, монолитные ж/б панели</t>
  </si>
  <si>
    <t>1.4.26.232</t>
  </si>
  <si>
    <t>1.4.26.233</t>
  </si>
  <si>
    <t>1.4.26.234</t>
  </si>
  <si>
    <t>1.4.26.235</t>
  </si>
  <si>
    <t>1.4.26.237</t>
  </si>
  <si>
    <t>1.4.26.240</t>
  </si>
  <si>
    <t>1.4.26.241</t>
  </si>
  <si>
    <t>1.4.26.242</t>
  </si>
  <si>
    <t>1.4.26.243</t>
  </si>
  <si>
    <t>1.4.26.245</t>
  </si>
  <si>
    <t>1.4.26.248</t>
  </si>
  <si>
    <t>1.4.26.249</t>
  </si>
  <si>
    <t>1.4.26.252</t>
  </si>
  <si>
    <t>1.4.26.254</t>
  </si>
  <si>
    <t>1.4.26.255</t>
  </si>
  <si>
    <t>1.4.26.256</t>
  </si>
  <si>
    <t>1.4.26.257</t>
  </si>
  <si>
    <t>1.4.26.260</t>
  </si>
  <si>
    <t>1.4.26.262</t>
  </si>
  <si>
    <t>1.4.26.263</t>
  </si>
  <si>
    <t>1.4.26.270</t>
  </si>
  <si>
    <t>1.4.26.271</t>
  </si>
  <si>
    <t>1.4.26.272</t>
  </si>
  <si>
    <t>1.4.26.273</t>
  </si>
  <si>
    <t>1.4.26.274</t>
  </si>
  <si>
    <t>1.4.26.276</t>
  </si>
  <si>
    <t>42:12:0102015:459</t>
  </si>
  <si>
    <t>42:12:0102015:460</t>
  </si>
  <si>
    <t>42:12:0102015:461</t>
  </si>
  <si>
    <t>42:12:0102015:480</t>
  </si>
  <si>
    <t>42:12:0102015:531</t>
  </si>
  <si>
    <t>42:12:0102015:539</t>
  </si>
  <si>
    <t>42:12:0102015:535</t>
  </si>
  <si>
    <t>42:12:0102015:536</t>
  </si>
  <si>
    <t>42:12:0102015:537</t>
  </si>
  <si>
    <t>42:12:0102015:534</t>
  </si>
  <si>
    <t>4-х этажное здание на 5 котлов, ж/б блоки, панели, кирпич (3 раб. котла)</t>
  </si>
  <si>
    <t xml:space="preserve">42:12:0108003:646 </t>
  </si>
  <si>
    <t>1.4.26.277</t>
  </si>
  <si>
    <t>1.4.26.278</t>
  </si>
  <si>
    <t>1.4.26.279</t>
  </si>
  <si>
    <t>1.4.26.280</t>
  </si>
  <si>
    <t>1.4.26.282</t>
  </si>
  <si>
    <t>1.4.26.283</t>
  </si>
  <si>
    <t>1.4.26.284</t>
  </si>
  <si>
    <t>1.4.26.285</t>
  </si>
  <si>
    <t>1.4.26.286</t>
  </si>
  <si>
    <t>1.4.26.287</t>
  </si>
  <si>
    <t>1.4.26.288</t>
  </si>
  <si>
    <t>1.4.26.289</t>
  </si>
  <si>
    <t>1.4.26.290</t>
  </si>
  <si>
    <t>1.4.26.294</t>
  </si>
  <si>
    <t>1.4.26.295</t>
  </si>
  <si>
    <t>1.4.26.296</t>
  </si>
  <si>
    <t>1.4.26.297</t>
  </si>
  <si>
    <t>1.4.26.298</t>
  </si>
  <si>
    <t>1.4.26.299</t>
  </si>
  <si>
    <t>1.4.26.301</t>
  </si>
  <si>
    <t>1.4.26.302</t>
  </si>
  <si>
    <t>1.4.26.303</t>
  </si>
  <si>
    <t>1.4.26.304</t>
  </si>
  <si>
    <t>1.4.26.305</t>
  </si>
  <si>
    <t>42:12:0102015:665</t>
  </si>
  <si>
    <t>42:12:0102015:521</t>
  </si>
  <si>
    <t>42:12:0102015:522</t>
  </si>
  <si>
    <t>42:12:0102015:523</t>
  </si>
  <si>
    <t>42:12:0102015:524</t>
  </si>
  <si>
    <t>42:12:0102015:529</t>
  </si>
  <si>
    <t>42:12:0102015:526</t>
  </si>
  <si>
    <t>42:12:0102015:527</t>
  </si>
  <si>
    <t>42:12:0102015:528</t>
  </si>
  <si>
    <t>42:12:0102015:729</t>
  </si>
  <si>
    <t>42:12:0102015:730</t>
  </si>
  <si>
    <t>42:12:0102015:743</t>
  </si>
  <si>
    <t>42:12:0102015:731</t>
  </si>
  <si>
    <t>42:12:0102015:733</t>
  </si>
  <si>
    <t>42:12:0102015:734</t>
  </si>
  <si>
    <t>42:12:0102015:735</t>
  </si>
  <si>
    <t>42:12:0102015:736</t>
  </si>
  <si>
    <t>42:12:0102015:737</t>
  </si>
  <si>
    <t>42:12:0102015:738</t>
  </si>
  <si>
    <t>42:12:0102015:739</t>
  </si>
  <si>
    <t>42:12:0102015:740</t>
  </si>
  <si>
    <t>42:12:0102015:741</t>
  </si>
  <si>
    <t>42:12:0102015:742</t>
  </si>
  <si>
    <t>42:12:0102015:759</t>
  </si>
  <si>
    <t>42:12:0102015:760</t>
  </si>
  <si>
    <t>протяж. 970 м, d=273; 219 мм</t>
  </si>
  <si>
    <t>протяж. 4500 м</t>
  </si>
  <si>
    <t xml:space="preserve">42:34:0102033:10 </t>
  </si>
  <si>
    <t xml:space="preserve">Кемеровская область, г Таштагол, ул Ломоносова </t>
  </si>
  <si>
    <t xml:space="preserve">Сооружение: Трансформаторная подстанция </t>
  </si>
  <si>
    <t>1.4.26.367</t>
  </si>
  <si>
    <t>1.4.26.370</t>
  </si>
  <si>
    <t>1.4.26.373</t>
  </si>
  <si>
    <t>1.4.26.374</t>
  </si>
  <si>
    <t>1.4.26.376</t>
  </si>
  <si>
    <t>1.4.26.377</t>
  </si>
  <si>
    <t>1.4.26.379</t>
  </si>
  <si>
    <t>1.4.26.380</t>
  </si>
  <si>
    <t>1.4.26.382</t>
  </si>
  <si>
    <t>1.4.26.383</t>
  </si>
  <si>
    <t>1.4.26.385</t>
  </si>
  <si>
    <t>1.2.40.4.6</t>
  </si>
  <si>
    <t>42:12:0102015:515</t>
  </si>
  <si>
    <t>42:12:0102015:520</t>
  </si>
  <si>
    <t>42:12:0102015:519</t>
  </si>
  <si>
    <t>42:12:0102015:502</t>
  </si>
  <si>
    <t>42:12:0102015:503</t>
  </si>
  <si>
    <t>42:12:0102015:504</t>
  </si>
  <si>
    <t>42:12:0102015:505</t>
  </si>
  <si>
    <t>42:12:0102015:508</t>
  </si>
  <si>
    <t>42:12:0102015:510</t>
  </si>
  <si>
    <t>42:12:0102015:511</t>
  </si>
  <si>
    <t>42:12:0102015:551</t>
  </si>
  <si>
    <t>42:12:0102015:546</t>
  </si>
  <si>
    <t>42:12:0102015:547</t>
  </si>
  <si>
    <t>42:12:0102015:548</t>
  </si>
  <si>
    <t>42:12:0102015:549</t>
  </si>
  <si>
    <t>42:12:0102015:545</t>
  </si>
  <si>
    <t>42:12:0102015:663</t>
  </si>
  <si>
    <t>42:12:0102015:664</t>
  </si>
  <si>
    <t>42:12:0102015:703</t>
  </si>
  <si>
    <t>42:12:0102015:667</t>
  </si>
  <si>
    <t>42:12:0102015:668</t>
  </si>
  <si>
    <t>42:12:0102015:674</t>
  </si>
  <si>
    <t>42:12:0102015:669</t>
  </si>
  <si>
    <t>42:12:0102015:670</t>
  </si>
  <si>
    <t>42:12:0102015:671</t>
  </si>
  <si>
    <t>42:12:0102015:672</t>
  </si>
  <si>
    <t>42:12:0102015:673</t>
  </si>
  <si>
    <t>42:12:0102015:698</t>
  </si>
  <si>
    <t>42:12:0102015:699</t>
  </si>
  <si>
    <t>42:12:0102015:700</t>
  </si>
  <si>
    <t>42:12:0102015:701</t>
  </si>
  <si>
    <t>42:12:0102015:710</t>
  </si>
  <si>
    <t>42:12:0102015:702</t>
  </si>
  <si>
    <t>42:12:0102015:705</t>
  </si>
  <si>
    <t>42:12:0102015:706</t>
  </si>
  <si>
    <t>42:12:0102015:707</t>
  </si>
  <si>
    <t>42:12:0102015:708</t>
  </si>
  <si>
    <t>42:12:0102015:709</t>
  </si>
  <si>
    <t>1.4.57</t>
  </si>
  <si>
    <t>1.4.58</t>
  </si>
  <si>
    <t>1.4.59</t>
  </si>
  <si>
    <t>42:12:0105009:1</t>
  </si>
  <si>
    <t>Земельный участок, использование: действующий отвал доломитного карьера</t>
  </si>
  <si>
    <t>42:12:0105004:29</t>
  </si>
  <si>
    <t>Земельный участок, использование: шахтовые отвалы, угольный склад</t>
  </si>
  <si>
    <t>42:12:0105004:21</t>
  </si>
  <si>
    <t>Здание конторы РСУ</t>
  </si>
  <si>
    <t>42:12:0105002:964</t>
  </si>
  <si>
    <t>1.4.60</t>
  </si>
  <si>
    <t>Земельный участок, использование: карьер Полгашты</t>
  </si>
  <si>
    <t>42:12:0105002:3047</t>
  </si>
  <si>
    <t>1.1.835</t>
  </si>
  <si>
    <t>1.1.835.3</t>
  </si>
  <si>
    <t>1.1.835.6</t>
  </si>
  <si>
    <t>1.1.835.10</t>
  </si>
  <si>
    <t>1.1.835.11</t>
  </si>
  <si>
    <t>1.1.835.17</t>
  </si>
  <si>
    <t>1.1.835.18</t>
  </si>
  <si>
    <t>1.1.835.19</t>
  </si>
  <si>
    <t>42:12:0102006:1436</t>
  </si>
  <si>
    <t xml:space="preserve">3-х этажное, монолитные </t>
  </si>
  <si>
    <t>42:12:0102006:1438</t>
  </si>
  <si>
    <t>42:12:0102006:1441</t>
  </si>
  <si>
    <t>42:12:0102006:1445</t>
  </si>
  <si>
    <t>42:12:0102006:1446</t>
  </si>
  <si>
    <t>42:12:0102006:1454</t>
  </si>
  <si>
    <t>1.1.817.16</t>
  </si>
  <si>
    <t>Ликвидация МКОУ "Основная общеобразовательная школа №80"</t>
  </si>
  <si>
    <t>В аренде ООО "Рвсчетно-кассовый центр"</t>
  </si>
  <si>
    <t>42:12:0102015:626</t>
  </si>
  <si>
    <t>42:12:0102015:645</t>
  </si>
  <si>
    <t>42:12:0102015:495</t>
  </si>
  <si>
    <t>42:12:0102015:662</t>
  </si>
  <si>
    <t>42:12:0102015:647</t>
  </si>
  <si>
    <t>42:12:0102015:612</t>
  </si>
  <si>
    <t>42:12:0102015:614</t>
  </si>
  <si>
    <t>42:12:0102015:615</t>
  </si>
  <si>
    <t>42:12:0102015:616</t>
  </si>
  <si>
    <t>42:12:0102015:652</t>
  </si>
  <si>
    <t>42:12:0102015:654</t>
  </si>
  <si>
    <t>1.4.26.306</t>
  </si>
  <si>
    <t>1.4.26.307</t>
  </si>
  <si>
    <t>1.4.26.308</t>
  </si>
  <si>
    <t>1.4.26.309</t>
  </si>
  <si>
    <t>1.4.26.310</t>
  </si>
  <si>
    <t>1.4.26.311</t>
  </si>
  <si>
    <t>1.4.26.312</t>
  </si>
  <si>
    <t>1.4.26.313</t>
  </si>
  <si>
    <t>1.4.26.315</t>
  </si>
  <si>
    <t>1.4.26.316</t>
  </si>
  <si>
    <t>1.4.26.317</t>
  </si>
  <si>
    <t>1.4.26.319</t>
  </si>
  <si>
    <t>1.4.26.320</t>
  </si>
  <si>
    <t>1.4.26.321</t>
  </si>
  <si>
    <t>1.4.26.322</t>
  </si>
  <si>
    <t>1.4.26.323</t>
  </si>
  <si>
    <t>1.4.26.324</t>
  </si>
  <si>
    <t>1.4.26.325</t>
  </si>
  <si>
    <t>1.4.26.326</t>
  </si>
  <si>
    <t>1.4.26.327</t>
  </si>
  <si>
    <t>1.4.26.328</t>
  </si>
  <si>
    <t>1.4.26.329</t>
  </si>
  <si>
    <t>1.4.26.330</t>
  </si>
  <si>
    <t>1.4.26.331</t>
  </si>
  <si>
    <t>1.4.26.332</t>
  </si>
  <si>
    <t>1.4.26.333</t>
  </si>
  <si>
    <t>1.4.26.334</t>
  </si>
  <si>
    <t>1.4.26.335</t>
  </si>
  <si>
    <t>1.4.26.336</t>
  </si>
  <si>
    <t>1.4.26.337</t>
  </si>
  <si>
    <t>1.4.26.339</t>
  </si>
  <si>
    <t>1.4.26.341</t>
  </si>
  <si>
    <t>1.4.26.344</t>
  </si>
  <si>
    <t>1.4.26.345</t>
  </si>
  <si>
    <t>1.4.26.348</t>
  </si>
  <si>
    <t>42:12:0102015:765</t>
  </si>
  <si>
    <t>42:12:0102015:780</t>
  </si>
  <si>
    <t>42:12:0102015:817</t>
  </si>
  <si>
    <t>42:12:0102015:818</t>
  </si>
  <si>
    <t>42:12:0102015:822</t>
  </si>
  <si>
    <t>42:12:0102015:749</t>
  </si>
  <si>
    <t>42:12:0102015:751</t>
  </si>
  <si>
    <t>42:12:0102015:752</t>
  </si>
  <si>
    <t>42:12:0102015:754</t>
  </si>
  <si>
    <t>42:12:0102015:481</t>
  </si>
  <si>
    <t>42:12:0102015:756</t>
  </si>
  <si>
    <t>1.4.26.394</t>
  </si>
  <si>
    <t>1.4.26.397</t>
  </si>
  <si>
    <t>1.4.26.398</t>
  </si>
  <si>
    <t>1.4.26.399</t>
  </si>
  <si>
    <t>1.4.26.400</t>
  </si>
  <si>
    <t>1.4.26.401</t>
  </si>
  <si>
    <t>1.4.26.402</t>
  </si>
  <si>
    <t>1.4.26.403</t>
  </si>
  <si>
    <t>1.4.26.404</t>
  </si>
  <si>
    <t>1.4.26.405</t>
  </si>
  <si>
    <t>42:12:0102015:783</t>
  </si>
  <si>
    <t>42:12:0102015:786</t>
  </si>
  <si>
    <t>42:12:0102015:787</t>
  </si>
  <si>
    <t>42:12:0102015:788</t>
  </si>
  <si>
    <t>42:12:0102015:789</t>
  </si>
  <si>
    <t>42:12:0102015:794</t>
  </si>
  <si>
    <t>42:12:0102015:790</t>
  </si>
  <si>
    <t>42:12:0102015:791</t>
  </si>
  <si>
    <t>42:12:0102015:792</t>
  </si>
  <si>
    <t>42:12:0102015:793</t>
  </si>
  <si>
    <t>1-но этажное, кирпичное (1 этаж)</t>
  </si>
  <si>
    <t>1.2.25.9</t>
  </si>
  <si>
    <t>1.4.26.406</t>
  </si>
  <si>
    <t>1.4.26.407</t>
  </si>
  <si>
    <t>1.4.26.409</t>
  </si>
  <si>
    <t>1.4.26.413</t>
  </si>
  <si>
    <t>1.4.26.416</t>
  </si>
  <si>
    <t>1.4.26.418</t>
  </si>
  <si>
    <t>1.4.26.419</t>
  </si>
  <si>
    <t>1.4.26.420</t>
  </si>
  <si>
    <t>1.4.26.421</t>
  </si>
  <si>
    <t>1.4.26.423</t>
  </si>
  <si>
    <t>1.4.26.425</t>
  </si>
  <si>
    <t>1.4.26.426</t>
  </si>
  <si>
    <t>1.4.26.427</t>
  </si>
  <si>
    <t>1.4.26.428</t>
  </si>
  <si>
    <t>1.4.26.429</t>
  </si>
  <si>
    <t>1.4.26.432</t>
  </si>
  <si>
    <t>1.4.26.433</t>
  </si>
  <si>
    <t>1.4.26.434</t>
  </si>
  <si>
    <t>1.4.26.435</t>
  </si>
  <si>
    <t>1.4.26.436</t>
  </si>
  <si>
    <t>1.4.26.440</t>
  </si>
  <si>
    <t>1.4.26.441</t>
  </si>
  <si>
    <t>1.4.26.446</t>
  </si>
  <si>
    <t>1.4.26.448</t>
  </si>
  <si>
    <t>1.4.26.449</t>
  </si>
  <si>
    <t>1.4.26.450</t>
  </si>
  <si>
    <t>1.4.26.453</t>
  </si>
  <si>
    <t>1.4.26.454</t>
  </si>
  <si>
    <t>1.4.26.455</t>
  </si>
  <si>
    <t>1.4.26.456</t>
  </si>
  <si>
    <t>1.4.26.459</t>
  </si>
  <si>
    <t>1.4.26.460</t>
  </si>
  <si>
    <t>1.4.26.461</t>
  </si>
  <si>
    <t>1.4.26.462</t>
  </si>
  <si>
    <t>42:12:0102015:805</t>
  </si>
  <si>
    <t>42:12:0102015:806</t>
  </si>
  <si>
    <t>42:12:0102015:807</t>
  </si>
  <si>
    <t>42:12:0102015:808</t>
  </si>
  <si>
    <t>42:12:0102015:809</t>
  </si>
  <si>
    <t>42:12:0102015:796</t>
  </si>
  <si>
    <t>42:12:0102015:836</t>
  </si>
  <si>
    <t>42:12:0102015:838</t>
  </si>
  <si>
    <t>42:12:0102015:685</t>
  </si>
  <si>
    <t>42:12:0102015:686</t>
  </si>
  <si>
    <t>42:12:0102015:687</t>
  </si>
  <si>
    <t>42:12:0102015:693</t>
  </si>
  <si>
    <t>42:12:0102015:691</t>
  </si>
  <si>
    <t>42:12:0102015:761</t>
  </si>
  <si>
    <t>42:12:0102015:719</t>
  </si>
  <si>
    <t>42:12:0102015:720</t>
  </si>
  <si>
    <t>42:12:0102015:721</t>
  </si>
  <si>
    <t>42:12:0102015:724</t>
  </si>
  <si>
    <t>42:12:0102015:795</t>
  </si>
  <si>
    <t>42:12:0102015:797</t>
  </si>
  <si>
    <t>42:12:0102015:800</t>
  </si>
  <si>
    <t>42:12:0102015:801</t>
  </si>
  <si>
    <t>42:12:0102015:802</t>
  </si>
  <si>
    <t>42:12:0102015:803</t>
  </si>
  <si>
    <t>42:12:0102015:711</t>
  </si>
  <si>
    <t>42:12:0102015:715</t>
  </si>
  <si>
    <t>42:12:0102015:716</t>
  </si>
  <si>
    <t>42:12:0102015:844</t>
  </si>
  <si>
    <t>42:12:0102015:479</t>
  </si>
  <si>
    <t>42:12:0102015:859</t>
  </si>
  <si>
    <t>42:12:0102015:855</t>
  </si>
  <si>
    <t>42:12:0102015:856</t>
  </si>
  <si>
    <t>42:12:0102015:851</t>
  </si>
  <si>
    <t>42:12:0102015:848</t>
  </si>
  <si>
    <t>42:12:0102015:850</t>
  </si>
  <si>
    <t>42:12:0102015:611</t>
  </si>
  <si>
    <t>42:12:0102015:610</t>
  </si>
  <si>
    <t>Земельный участок  под объекты коммунального обслуживания (котельная ЦМК)</t>
  </si>
  <si>
    <t xml:space="preserve">42:34:0112007:30 </t>
  </si>
  <si>
    <t>1.4.61</t>
  </si>
  <si>
    <t>1.4.62</t>
  </si>
  <si>
    <t>1.4.63</t>
  </si>
  <si>
    <t>1.4.64</t>
  </si>
  <si>
    <t>1.4.65</t>
  </si>
  <si>
    <t>1.4.66</t>
  </si>
  <si>
    <t>1.4.67</t>
  </si>
  <si>
    <t>1.4.68</t>
  </si>
  <si>
    <t xml:space="preserve">Кемеровская область, г.Таштагол, 
ул.Ленина, д.46
</t>
  </si>
  <si>
    <t xml:space="preserve">42:34:0102003:40 </t>
  </si>
  <si>
    <t xml:space="preserve">42:34:0101042:12 </t>
  </si>
  <si>
    <t>Кемеровская область, г Таштагол, ул К.Цеткин, д. 28</t>
  </si>
  <si>
    <t xml:space="preserve">42:34:0114011:20 </t>
  </si>
  <si>
    <t>Кемеровская область, Таштагольский район, г.Таштагол, ул. Спортивная, д. 2</t>
  </si>
  <si>
    <t xml:space="preserve">Кемеровская область, Таштагольский район, г.Таштагол, ул.Советская, д. №53
</t>
  </si>
  <si>
    <t>Кемеровская область, Таштагольский район, пгт. Темиртау</t>
  </si>
  <si>
    <t>Кемеровская область, Таштагольский район</t>
  </si>
  <si>
    <t xml:space="preserve">42:34:0106002:64 </t>
  </si>
  <si>
    <t>1.4.26.463</t>
  </si>
  <si>
    <t>1.4.26.465</t>
  </si>
  <si>
    <t>1.4.26.466</t>
  </si>
  <si>
    <t>1.4.26.467</t>
  </si>
  <si>
    <t>1.4.26.468</t>
  </si>
  <si>
    <t>1.4.26.469</t>
  </si>
  <si>
    <t>1.4.26.472</t>
  </si>
  <si>
    <t>1.4.26.474</t>
  </si>
  <si>
    <t>1.4.26.475</t>
  </si>
  <si>
    <t>1.4.26.476</t>
  </si>
  <si>
    <t>1.4.26.480</t>
  </si>
  <si>
    <t>1.4.26.483</t>
  </si>
  <si>
    <t>1.4.26.485</t>
  </si>
  <si>
    <t>1.4.26.486</t>
  </si>
  <si>
    <t>1.4.26.488</t>
  </si>
  <si>
    <t>1.4.26.490</t>
  </si>
  <si>
    <t>1.4.26.491</t>
  </si>
  <si>
    <t>1.4.26.493</t>
  </si>
  <si>
    <t>1.4.26.494</t>
  </si>
  <si>
    <t>1.4.26.495</t>
  </si>
  <si>
    <t>1.4.26.496</t>
  </si>
  <si>
    <t>1.4.26.499</t>
  </si>
  <si>
    <t>1.4.26.500</t>
  </si>
  <si>
    <t>1.4.26.503</t>
  </si>
  <si>
    <t>1.4.26.504</t>
  </si>
  <si>
    <t>1.4.26.505</t>
  </si>
  <si>
    <t>1.4.26.508</t>
  </si>
  <si>
    <t>1.4.26.509</t>
  </si>
  <si>
    <t>1.4.26.510</t>
  </si>
  <si>
    <t>1.4.26.513</t>
  </si>
  <si>
    <t>1.4.26.515</t>
  </si>
  <si>
    <t>1.4.26.516</t>
  </si>
  <si>
    <t>1.4.26.517</t>
  </si>
  <si>
    <t>1.4.26.518</t>
  </si>
  <si>
    <t>42:12:0102015:987</t>
  </si>
  <si>
    <t>42:12:0102015:1002</t>
  </si>
  <si>
    <t>42:12:0102015:962</t>
  </si>
  <si>
    <t>42:12:0102015:846</t>
  </si>
  <si>
    <t>42:12:0102015:877</t>
  </si>
  <si>
    <t>42:12:0102015:893</t>
  </si>
  <si>
    <t>42:12:0102015:879</t>
  </si>
  <si>
    <t>42:12:0102015:880</t>
  </si>
  <si>
    <t>42:12:0102015:882</t>
  </si>
  <si>
    <t>42:12:0102015:883</t>
  </si>
  <si>
    <t>42:12:0102015:884</t>
  </si>
  <si>
    <t>42:12:0102015:885</t>
  </si>
  <si>
    <t>42:12:0102015:888</t>
  </si>
  <si>
    <t>42:12:0102015:889</t>
  </si>
  <si>
    <t>42:12:0102015:892</t>
  </si>
  <si>
    <t>42:12:0102015:812</t>
  </si>
  <si>
    <t>42:12:0102015:819</t>
  </si>
  <si>
    <t>42:12:0102015:829</t>
  </si>
  <si>
    <t>42:12:0102015:830</t>
  </si>
  <si>
    <t>42:12:0102015:832</t>
  </si>
  <si>
    <t>42:12:0102015:842</t>
  </si>
  <si>
    <t>42:12:0102015:965</t>
  </si>
  <si>
    <t>42:12:0102015:763</t>
  </si>
  <si>
    <t>1.4.26.519</t>
  </si>
  <si>
    <t>1.4.26.521</t>
  </si>
  <si>
    <t>1.4.26.523</t>
  </si>
  <si>
    <t>1.4.26.524</t>
  </si>
  <si>
    <t>Кемеровская область, г. Таштагол, ул. Поспелова, д.4</t>
  </si>
  <si>
    <t>42:34:0106001:24</t>
  </si>
  <si>
    <t>42:12:0106002:741</t>
  </si>
  <si>
    <t xml:space="preserve">Кемеровская область, Таштагольский район, г.Таштагол, ул. Ноградская, д.20
</t>
  </si>
  <si>
    <t xml:space="preserve">42:12:0104001:736 </t>
  </si>
  <si>
    <t>Кемеровская область, Таштагольский район, пгт.Каз, ул.Нагорная,д.39</t>
  </si>
  <si>
    <t>1.1.52.38</t>
  </si>
  <si>
    <t>42:12:0102015:1006</t>
  </si>
  <si>
    <t>42:12:0102015:1007</t>
  </si>
  <si>
    <t>42:12:0102015:767</t>
  </si>
  <si>
    <t>42:12:0102015:955</t>
  </si>
  <si>
    <t>42:12:0102015:958</t>
  </si>
  <si>
    <t>42:12:0102015:971</t>
  </si>
  <si>
    <t>42:12:0102015:972</t>
  </si>
  <si>
    <t>42:12:0102015:978</t>
  </si>
  <si>
    <t>42:12:0102015:825</t>
  </si>
  <si>
    <t>42:12:0102015:831</t>
  </si>
  <si>
    <t>42:12:0102015:589</t>
  </si>
  <si>
    <t>42:12:0102015:1016</t>
  </si>
  <si>
    <t>42:12:0102015:1021</t>
  </si>
  <si>
    <t>42:12:0102015:1022</t>
  </si>
  <si>
    <t>42:12:0102015:1026</t>
  </si>
  <si>
    <t>1.4.26.525</t>
  </si>
  <si>
    <t>1.4.26.526</t>
  </si>
  <si>
    <t>1.4.26.528</t>
  </si>
  <si>
    <t>1.4.26.529</t>
  </si>
  <si>
    <t>1.4.26.530</t>
  </si>
  <si>
    <t>1.4.26.531</t>
  </si>
  <si>
    <t>1.4.26.532</t>
  </si>
  <si>
    <t>1.4.26.533</t>
  </si>
  <si>
    <t>42:12:0102015:982</t>
  </si>
  <si>
    <t>42:12:0102015:984</t>
  </si>
  <si>
    <t>42:12:0102015:985</t>
  </si>
  <si>
    <t>42:12:0102015:775</t>
  </si>
  <si>
    <t>1.4.26.537</t>
  </si>
  <si>
    <t>1.4.26.538</t>
  </si>
  <si>
    <t>1.4.26.539</t>
  </si>
  <si>
    <t>1.4.26.542</t>
  </si>
  <si>
    <t>1.4.26.543</t>
  </si>
  <si>
    <t>1.4.26.545</t>
  </si>
  <si>
    <t>1.4.26.546</t>
  </si>
  <si>
    <t>1.4.26.553</t>
  </si>
  <si>
    <t>1.4.26.554</t>
  </si>
  <si>
    <t>42:12:0102015:1008</t>
  </si>
  <si>
    <t>42:12:0102015:824</t>
  </si>
  <si>
    <t>42:12:0102015:555</t>
  </si>
  <si>
    <t>42:12:0102015:552</t>
  </si>
  <si>
    <t>42:12:0102015:553</t>
  </si>
  <si>
    <t>42:12:0102015:606</t>
  </si>
  <si>
    <t>42:12:0102015:607</t>
  </si>
  <si>
    <t>42:12:0102015:554</t>
  </si>
  <si>
    <t>42:12:0102015:596</t>
  </si>
  <si>
    <t>42:12:0102015:597</t>
  </si>
  <si>
    <t>42:12:0102015:598</t>
  </si>
  <si>
    <t>42:12:0102015:599</t>
  </si>
  <si>
    <t>42:12:0102015:581</t>
  </si>
  <si>
    <t>42:12:0102015:601</t>
  </si>
  <si>
    <t>42:12:0102015:602</t>
  </si>
  <si>
    <t>42:12:0102015:603</t>
  </si>
  <si>
    <t>42:12:0102015:580</t>
  </si>
  <si>
    <t>42:12:0102015:587</t>
  </si>
  <si>
    <t>1.4.26.555</t>
  </si>
  <si>
    <t>1.4.26.556</t>
  </si>
  <si>
    <t>1.4.26.559</t>
  </si>
  <si>
    <t>1.4.26.560</t>
  </si>
  <si>
    <t>1.4.26.561</t>
  </si>
  <si>
    <t>1.4.26.562</t>
  </si>
  <si>
    <t>1.4.26.563</t>
  </si>
  <si>
    <t>1.4.26.569</t>
  </si>
  <si>
    <t>1.4.26.570</t>
  </si>
  <si>
    <t>1.4.26.571</t>
  </si>
  <si>
    <t>1.4.26.572</t>
  </si>
  <si>
    <t>1.4.26.573</t>
  </si>
  <si>
    <t>1.4.26.575</t>
  </si>
  <si>
    <t>1.4.26.576</t>
  </si>
  <si>
    <t>1.4.26.577</t>
  </si>
  <si>
    <t>1.4.26.578</t>
  </si>
  <si>
    <t>1.4.26.579</t>
  </si>
  <si>
    <t>1.4.26.580</t>
  </si>
  <si>
    <t>1.4.26.581</t>
  </si>
  <si>
    <t>1.4.26.590</t>
  </si>
  <si>
    <t>1.1.836</t>
  </si>
  <si>
    <t>42:12:0106002:4250</t>
  </si>
  <si>
    <t xml:space="preserve">1 этаж </t>
  </si>
  <si>
    <t>31/220</t>
  </si>
  <si>
    <t>42:12:0102015:1036</t>
  </si>
  <si>
    <t>42:12:0102015:980</t>
  </si>
  <si>
    <t>1.4.26.591</t>
  </si>
  <si>
    <t>1.4.26.592</t>
  </si>
  <si>
    <t>1.4.26.594</t>
  </si>
  <si>
    <t>42:12:0102015:727</t>
  </si>
  <si>
    <t>42:12:0102015:728</t>
  </si>
  <si>
    <t>42:12:0102015:726</t>
  </si>
  <si>
    <t>42:12:0102015:1071</t>
  </si>
  <si>
    <t>42:12:0102015:1095</t>
  </si>
  <si>
    <t>42:12:0102015:1097</t>
  </si>
  <si>
    <t>42:12:0102015:676</t>
  </si>
  <si>
    <t>42:12:0102015:677</t>
  </si>
  <si>
    <t>42:12:0102015:675</t>
  </si>
  <si>
    <t>1.4.26.596</t>
  </si>
  <si>
    <t>1.4.26.597</t>
  </si>
  <si>
    <t>1.4.26.598</t>
  </si>
  <si>
    <t>1.4.26.600</t>
  </si>
  <si>
    <t>1.4.26.602</t>
  </si>
  <si>
    <t>1.4.26.603</t>
  </si>
  <si>
    <t>1.4.26.613</t>
  </si>
  <si>
    <t>1.4.26.615</t>
  </si>
  <si>
    <t>1.4.26.616</t>
  </si>
  <si>
    <t>1.4.26.617</t>
  </si>
  <si>
    <t>1.4.26.618</t>
  </si>
  <si>
    <t>42:12:0102015:1088</t>
  </si>
  <si>
    <t>42:12:0102015:1018</t>
  </si>
  <si>
    <t>42:12:0102015:1019</t>
  </si>
  <si>
    <t>42:12:0102015:630</t>
  </si>
  <si>
    <t>42:12:0102015:627</t>
  </si>
  <si>
    <t>42:12:0102015:628</t>
  </si>
  <si>
    <t>42:12:0102015:629</t>
  </si>
  <si>
    <t>42:12:0102015:577</t>
  </si>
  <si>
    <t>42:12:0102015:632</t>
  </si>
  <si>
    <t>42:12:0102015:634</t>
  </si>
  <si>
    <t>42:12:0102015:635</t>
  </si>
  <si>
    <t>42:12:0102015:557</t>
  </si>
  <si>
    <t>42:12:0102015:565</t>
  </si>
  <si>
    <t>42:12:0102015:566</t>
  </si>
  <si>
    <t>42:12:0102015:567</t>
  </si>
  <si>
    <t>1.4.26.619</t>
  </si>
  <si>
    <t>1.4.26.621</t>
  </si>
  <si>
    <t>1.4.26.622</t>
  </si>
  <si>
    <t>1.4.26.623</t>
  </si>
  <si>
    <t>1.4.26.624</t>
  </si>
  <si>
    <t>1.4.26.626</t>
  </si>
  <si>
    <t>1.4.26.629</t>
  </si>
  <si>
    <t>1.4.26.632</t>
  </si>
  <si>
    <t>42:12:0102015:641</t>
  </si>
  <si>
    <t>42:12:0102015:636</t>
  </si>
  <si>
    <t>42:12:0102015:637</t>
  </si>
  <si>
    <t>42:12:0102015:638</t>
  </si>
  <si>
    <t>42:12:0102015:639</t>
  </si>
  <si>
    <t>42:12:0102015:643</t>
  </si>
  <si>
    <t>42:12:0102015:569</t>
  </si>
  <si>
    <t>42:12:0102015:572</t>
  </si>
  <si>
    <t>1.4.26.634</t>
  </si>
  <si>
    <t>1.4.26.635</t>
  </si>
  <si>
    <t>1.4.26.636</t>
  </si>
  <si>
    <t>42:12:0102015:1090</t>
  </si>
  <si>
    <t>42:12:0102015:1091</t>
  </si>
  <si>
    <t>Водоснабжение из артезианской скважины ул. Заречная</t>
  </si>
  <si>
    <t>Кемеровская область, г.Таштагол, ул. Мира,30б</t>
  </si>
  <si>
    <t>1.1.833.19</t>
  </si>
  <si>
    <t>1.4.26.637</t>
  </si>
  <si>
    <t>42:12:0102015:1106</t>
  </si>
  <si>
    <t>1.4.26.641</t>
  </si>
  <si>
    <t>1.4.26.642</t>
  </si>
  <si>
    <t>1.4.26.643</t>
  </si>
  <si>
    <t>42:12:0102015:843</t>
  </si>
  <si>
    <t>42:12:0102015:841</t>
  </si>
  <si>
    <t>1.4.26.644</t>
  </si>
  <si>
    <t>1.4.26.645</t>
  </si>
  <si>
    <t>1.4.26.646</t>
  </si>
  <si>
    <t>1.4.26.647</t>
  </si>
  <si>
    <t>1.4.26.648</t>
  </si>
  <si>
    <t>1.4.26.649</t>
  </si>
  <si>
    <t>1.4.26.650</t>
  </si>
  <si>
    <t>1.4.26.651</t>
  </si>
  <si>
    <t>1.4.26.653</t>
  </si>
  <si>
    <t>1.1.837</t>
  </si>
  <si>
    <t>18а</t>
  </si>
  <si>
    <t>19а</t>
  </si>
  <si>
    <t>42:12:0105002:3299</t>
  </si>
  <si>
    <t>42:12:0105002:3292</t>
  </si>
  <si>
    <t>42:12:0102015:1028</t>
  </si>
  <si>
    <t>42:12:0102015:1039</t>
  </si>
  <si>
    <t>42:12:0102015:1040</t>
  </si>
  <si>
    <t>42:12:0102015:1101</t>
  </si>
  <si>
    <t>42:12:0102015:1102</t>
  </si>
  <si>
    <t>42:12:0102015:1103</t>
  </si>
  <si>
    <t>42:12:0102015:1104</t>
  </si>
  <si>
    <t>42:12:0102015:1105</t>
  </si>
  <si>
    <t>1.4.26.655</t>
  </si>
  <si>
    <t>1.4.26.656</t>
  </si>
  <si>
    <t>1.4.26.660</t>
  </si>
  <si>
    <t>1.4.26.661</t>
  </si>
  <si>
    <t>42:12:0102015:953</t>
  </si>
  <si>
    <t>42:12:0102015:811</t>
  </si>
  <si>
    <t>42:12:0102015:1142</t>
  </si>
  <si>
    <t>42:12:0102015:1143</t>
  </si>
  <si>
    <t>1.4.26.662</t>
  </si>
  <si>
    <t>1.4.26.663</t>
  </si>
  <si>
    <t>42:12:0102015:1115</t>
  </si>
  <si>
    <t>42:12:0102015:1116</t>
  </si>
  <si>
    <t>42:12:0102015:1117</t>
  </si>
  <si>
    <t>42:12:0102015:1118</t>
  </si>
  <si>
    <t>42:12:0102015:1186</t>
  </si>
  <si>
    <t>42:12:0102015:1187</t>
  </si>
  <si>
    <t>42:12:0102015:1197</t>
  </si>
  <si>
    <t>42:12:0102015:991</t>
  </si>
  <si>
    <t>42:12:0102015:992</t>
  </si>
  <si>
    <t>42:12:0102015:993</t>
  </si>
  <si>
    <t>42:12:0102015:725</t>
  </si>
  <si>
    <t>1.4.26.666</t>
  </si>
  <si>
    <t>1.4.26.668</t>
  </si>
  <si>
    <t>1.4.26.672</t>
  </si>
  <si>
    <t>1.4.26.674</t>
  </si>
  <si>
    <t>1.4.26.675</t>
  </si>
  <si>
    <t>1.4.26.676</t>
  </si>
  <si>
    <t>42:12:0102015:1017</t>
  </si>
  <si>
    <t>42:12:0102015:1151</t>
  </si>
  <si>
    <t>42:12:0102015:1160</t>
  </si>
  <si>
    <t>42:12:0102015:1161</t>
  </si>
  <si>
    <t>42:12:0102015:1162</t>
  </si>
  <si>
    <t>42:12:0102015:1180</t>
  </si>
  <si>
    <t>42:12:0102015:994</t>
  </si>
  <si>
    <t>42:12:0102015:995</t>
  </si>
  <si>
    <t>42:12:0102015:997</t>
  </si>
  <si>
    <t>42:12:0102015:1129</t>
  </si>
  <si>
    <t>42:12:0102015:1130</t>
  </si>
  <si>
    <t>42:12:0102015:926</t>
  </si>
  <si>
    <t>42:12:0102015:928</t>
  </si>
  <si>
    <t>42:12:0102015:929</t>
  </si>
  <si>
    <t>42:12:0102015:933</t>
  </si>
  <si>
    <t>42:12:0102015:924</t>
  </si>
  <si>
    <t>42:12:0102015:925</t>
  </si>
  <si>
    <t>42:12:0102015:937</t>
  </si>
  <si>
    <t>42:12:0102015:939</t>
  </si>
  <si>
    <t>42:12:0102015:942</t>
  </si>
  <si>
    <t>42:12:0102015:948</t>
  </si>
  <si>
    <t>42:12:0102015:950</t>
  </si>
  <si>
    <t>42:12:0102015:1081</t>
  </si>
  <si>
    <t>42:12:0102015:1082</t>
  </si>
  <si>
    <t>42:12:0102015:1083</t>
  </si>
  <si>
    <t>42:12:0102015:1084</t>
  </si>
  <si>
    <t>1.4.26.678</t>
  </si>
  <si>
    <t>1.4.26.684</t>
  </si>
  <si>
    <t>1.4.26.686</t>
  </si>
  <si>
    <t>1.4.26.687</t>
  </si>
  <si>
    <t>1.4.26.693</t>
  </si>
  <si>
    <t>1.4.26.694</t>
  </si>
  <si>
    <t>1.4.26.695</t>
  </si>
  <si>
    <t>1.4.26.696</t>
  </si>
  <si>
    <t>1.4.26.697</t>
  </si>
  <si>
    <t>1.4.26.698</t>
  </si>
  <si>
    <t>1.4.26.701</t>
  </si>
  <si>
    <t>1.4.26.702</t>
  </si>
  <si>
    <t>1.4.26.703</t>
  </si>
  <si>
    <t>1.4.26.708</t>
  </si>
  <si>
    <t>1.4.26.710</t>
  </si>
  <si>
    <t>1.4.26.711</t>
  </si>
  <si>
    <t>1.4.26.714</t>
  </si>
  <si>
    <t>1.4.26.715</t>
  </si>
  <si>
    <t>1.4.26.716</t>
  </si>
  <si>
    <t>1.4.26.717</t>
  </si>
  <si>
    <t>1.4.26.718</t>
  </si>
  <si>
    <t>42:12:0102015:1096</t>
  </si>
  <si>
    <t>42:12:0102015:839</t>
  </si>
  <si>
    <t>42:12:0102015:934</t>
  </si>
  <si>
    <t>42:12:0102015:905</t>
  </si>
  <si>
    <t>1.4.26.719</t>
  </si>
  <si>
    <t>1.4.26.720</t>
  </si>
  <si>
    <t>1.4.26.721</t>
  </si>
  <si>
    <t>1.4.26.722</t>
  </si>
  <si>
    <t>1.4.26.730</t>
  </si>
  <si>
    <t>1.4.26.731</t>
  </si>
  <si>
    <t>1.4.26.732</t>
  </si>
  <si>
    <t>1.4.26.733</t>
  </si>
  <si>
    <t>1.4.26.734</t>
  </si>
  <si>
    <t>1.4.26.735</t>
  </si>
  <si>
    <t>1.4.26.740</t>
  </si>
  <si>
    <t>1.4.26.741</t>
  </si>
  <si>
    <t>1.4.26.742</t>
  </si>
  <si>
    <t>1.4.26.743</t>
  </si>
  <si>
    <t>1.4.26.745</t>
  </si>
  <si>
    <t>1.4.26.749</t>
  </si>
  <si>
    <t>1.4.26.752</t>
  </si>
  <si>
    <t>1.4.26.754</t>
  </si>
  <si>
    <t>1.4.26.755</t>
  </si>
  <si>
    <t>1.4.26.756</t>
  </si>
  <si>
    <t>1.4.26.757</t>
  </si>
  <si>
    <t>1.4.26.758</t>
  </si>
  <si>
    <t>42:12:0102015:1043</t>
  </si>
  <si>
    <t>42:12:0102015:1059</t>
  </si>
  <si>
    <t>42:12:0102015:1060</t>
  </si>
  <si>
    <t>42:12:0102015:1061</t>
  </si>
  <si>
    <t>42:12:0102015:1062</t>
  </si>
  <si>
    <t>42:12:0102015:1063</t>
  </si>
  <si>
    <t>42:12:0102015:1051</t>
  </si>
  <si>
    <t>42:12:0102015:1069</t>
  </si>
  <si>
    <t>42:12:0102015:1065</t>
  </si>
  <si>
    <t>42:12:0102015:712</t>
  </si>
  <si>
    <t>42:12:0102015:717</t>
  </si>
  <si>
    <t>42:12:0102015:714</t>
  </si>
  <si>
    <t>1.4.26.759</t>
  </si>
  <si>
    <t>42:12:0102015:1050</t>
  </si>
  <si>
    <t>42:12:0102015:1053</t>
  </si>
  <si>
    <t>42:12:0102015:1054</t>
  </si>
  <si>
    <t>42:12:0102015:1066</t>
  </si>
  <si>
    <t>42:12:0102015:1067</t>
  </si>
  <si>
    <t>42:12:0102015:1068</t>
  </si>
  <si>
    <t>42:12:0102015:1055</t>
  </si>
  <si>
    <t>Кемеровская область, Таштагольский район,пос.Базанча, ул.Комарова,77А</t>
  </si>
  <si>
    <t>Земельный участок, предназначенный для размещения станции перекачки Темиртауского рудника</t>
  </si>
  <si>
    <t>42:12:0104007:2</t>
  </si>
  <si>
    <t>42:34:0106006:13</t>
  </si>
  <si>
    <t>жилые помещения -специализ. жилищный фонд</t>
  </si>
  <si>
    <t>1.3.10.1.1</t>
  </si>
  <si>
    <t>подвальное, бытовое</t>
  </si>
  <si>
    <t xml:space="preserve">42:12:0102015:1041 </t>
  </si>
  <si>
    <t>1.1.836.1</t>
  </si>
  <si>
    <t>1.1.836.2</t>
  </si>
  <si>
    <t>1.1.836.3</t>
  </si>
  <si>
    <t>1.1.836.4</t>
  </si>
  <si>
    <t>1.1.837.1</t>
  </si>
  <si>
    <t>1.1.837.2</t>
  </si>
  <si>
    <t>1.1.837.3</t>
  </si>
  <si>
    <t>1.1.837.4</t>
  </si>
  <si>
    <t xml:space="preserve">42:12:0105002:3295 </t>
  </si>
  <si>
    <t xml:space="preserve">42:12:0105002:3291 </t>
  </si>
  <si>
    <t>42:12:0105002:3293</t>
  </si>
  <si>
    <t>1-но этажное, OSB панели</t>
  </si>
  <si>
    <t>1-но этажное, деревянные из OSB панелей</t>
  </si>
  <si>
    <t xml:space="preserve">42:12:0105002:3300 </t>
  </si>
  <si>
    <t xml:space="preserve">42:12:0105002:3301 </t>
  </si>
  <si>
    <t>42:12:0105002:3302</t>
  </si>
  <si>
    <t>42:12:0102015:1208</t>
  </si>
  <si>
    <t>42:12:0102015:872</t>
  </si>
  <si>
    <t>42:12:0102015:867</t>
  </si>
  <si>
    <t>42:12:0102015:909</t>
  </si>
  <si>
    <t>42:12:0102015:911</t>
  </si>
  <si>
    <t>42:12:0102015:863</t>
  </si>
  <si>
    <t>42:12:0102015:1212</t>
  </si>
  <si>
    <t>42:12:0102015:861</t>
  </si>
  <si>
    <t>42:12:0102015:862</t>
  </si>
  <si>
    <t>42:12:0102015:874</t>
  </si>
  <si>
    <t>42:12:0102015:913</t>
  </si>
  <si>
    <t>42:12:0102015:914</t>
  </si>
  <si>
    <t>42:12:0102015:915</t>
  </si>
  <si>
    <t>42:12:0102015:916</t>
  </si>
  <si>
    <t>42:12:0102015:894</t>
  </si>
  <si>
    <t>42:12:0102015:895</t>
  </si>
  <si>
    <t>42:12:0102015:896</t>
  </si>
  <si>
    <t>42:12:0102015:897</t>
  </si>
  <si>
    <t>42:12:0102015:1128</t>
  </si>
  <si>
    <t>42:12:0102015:858</t>
  </si>
  <si>
    <t>42:12:0102015:853</t>
  </si>
  <si>
    <t>42:12:0102015:1138</t>
  </si>
  <si>
    <t>1.4.26.763</t>
  </si>
  <si>
    <t>1.4.26.769</t>
  </si>
  <si>
    <t>1.4.26.776</t>
  </si>
  <si>
    <t>1.4.26.778</t>
  </si>
  <si>
    <t>1.4.26.779</t>
  </si>
  <si>
    <t>1.4.26.781</t>
  </si>
  <si>
    <t>1.4.26.782</t>
  </si>
  <si>
    <t>1.4.26.785</t>
  </si>
  <si>
    <t>1.4.26.786</t>
  </si>
  <si>
    <t>1.4.26.788</t>
  </si>
  <si>
    <t>1.4.26.789</t>
  </si>
  <si>
    <t>1.4.26.790</t>
  </si>
  <si>
    <t>1.4.26.791</t>
  </si>
  <si>
    <t>1.4.26.795</t>
  </si>
  <si>
    <t>1.4.26.796</t>
  </si>
  <si>
    <t>1.4.26.797</t>
  </si>
  <si>
    <t>1.4.26.798</t>
  </si>
  <si>
    <t>1.4.26.807</t>
  </si>
  <si>
    <t>1.4.26.810</t>
  </si>
  <si>
    <t>1.4.26.811</t>
  </si>
  <si>
    <t>1.4.26.812</t>
  </si>
  <si>
    <t>1.4.26.813</t>
  </si>
  <si>
    <t>1.4.26.814</t>
  </si>
  <si>
    <t>1.4.26.815</t>
  </si>
  <si>
    <t>1.4.26.820</t>
  </si>
  <si>
    <t>1.4.26.821</t>
  </si>
  <si>
    <t>1.4.26.822</t>
  </si>
  <si>
    <t>1.4.26.824</t>
  </si>
  <si>
    <t>1.4.26.825</t>
  </si>
  <si>
    <t>42:12:0102015:1159</t>
  </si>
  <si>
    <t>42:12:0102015:1023</t>
  </si>
  <si>
    <t>Земельный участок, использование: под размещение объектов капитального строительства, предназначенных для оказания гражданам медицинской помощи</t>
  </si>
  <si>
    <t xml:space="preserve">Кемеровская область, г. Таштагол, ул.Советская,2а </t>
  </si>
  <si>
    <t>1.4.79</t>
  </si>
  <si>
    <t>42:34:0106008:230</t>
  </si>
  <si>
    <t>Кемеровская область, г. Таштагол, ул. Поспелова, д.5/1</t>
  </si>
  <si>
    <t>Земельный участок, использование: под промышленную территорию</t>
  </si>
  <si>
    <t>42:12:0102015:1150</t>
  </si>
  <si>
    <t>42:12:0102015:1155</t>
  </si>
  <si>
    <t>42:12:0102015:1156</t>
  </si>
  <si>
    <t>42:12:0102015:777</t>
  </si>
  <si>
    <t>42:12:0102015:1072</t>
  </si>
  <si>
    <t>1.4.86</t>
  </si>
  <si>
    <t>1.4.87</t>
  </si>
  <si>
    <t>1.4.88</t>
  </si>
  <si>
    <t>42:12:0102015:1147</t>
  </si>
  <si>
    <t>42:12:0102015:1280</t>
  </si>
  <si>
    <t>Земельный участок  для использования : индивидуальная жилая застройка</t>
  </si>
  <si>
    <r>
      <t>Тепловые сети в 2-х трубном исполнении от домов : № 2, 4, 6, 8, 10, 12, 14, 16 по ул</t>
    </r>
    <r>
      <rPr>
        <b/>
        <sz val="10.5"/>
        <rFont val="Times New Roman"/>
        <family val="1"/>
        <charset val="204"/>
      </rPr>
      <t xml:space="preserve">. </t>
    </r>
    <r>
      <rPr>
        <sz val="8"/>
        <rFont val="Arial"/>
        <family val="2"/>
        <charset val="204"/>
      </rPr>
      <t xml:space="preserve">Увальная </t>
    </r>
  </si>
  <si>
    <t>Тепловые сети в 2-х трубном исполнении от домов : № 42, 46, 48, по ул.Солнечная</t>
  </si>
  <si>
    <t>протяж. 105 м, д/ трубы 50мм</t>
  </si>
  <si>
    <t>протяж. 132 м, д/ труб 40;57 мм</t>
  </si>
  <si>
    <t>42:34:0106003:520</t>
  </si>
  <si>
    <t>2-х этажное здание , кирпичное</t>
  </si>
  <si>
    <t>В оперативном управлении МБОУ ДО «Специализированная детско-юношеская спортивная школа олимпийского резерва по горнолыжному спорту»</t>
  </si>
  <si>
    <t>1.2.40.4.9</t>
  </si>
  <si>
    <t>42:12:0102015:1141</t>
  </si>
  <si>
    <t>1.4.26.827</t>
  </si>
  <si>
    <t>1.4.26.828</t>
  </si>
  <si>
    <t>1.4.26.829</t>
  </si>
  <si>
    <t>1.4.26.830</t>
  </si>
  <si>
    <t>1.4.26.831</t>
  </si>
  <si>
    <t>1.4.26.833</t>
  </si>
  <si>
    <t>1.4.26.835</t>
  </si>
  <si>
    <t>1.4.26.836</t>
  </si>
  <si>
    <t>1.4.26.837</t>
  </si>
  <si>
    <t>1.4.26.839</t>
  </si>
  <si>
    <t>1.4.26.840</t>
  </si>
  <si>
    <t>1.4.26.841</t>
  </si>
  <si>
    <t>1.4.26.842</t>
  </si>
  <si>
    <t>1.4.26.844</t>
  </si>
  <si>
    <t>1.4.26.845</t>
  </si>
  <si>
    <t>1.4.26.846</t>
  </si>
  <si>
    <t>1.4.26.848</t>
  </si>
  <si>
    <t>1.4.26.850</t>
  </si>
  <si>
    <t>42:12:0102015:1297</t>
  </si>
  <si>
    <t>42:12:0102015:1282</t>
  </si>
  <si>
    <t>42:12:0102015:1087</t>
  </si>
  <si>
    <t>42:12:0102015:1255</t>
  </si>
  <si>
    <t>42:12:0102015:1256</t>
  </si>
  <si>
    <t>42:12:0102015:1279</t>
  </si>
  <si>
    <t>42:12:0102015:1257</t>
  </si>
  <si>
    <t>42:12:0102015:1259</t>
  </si>
  <si>
    <t>42:12:0102015:1260</t>
  </si>
  <si>
    <t>42:12:0102015:1261</t>
  </si>
  <si>
    <t>42:12:0102015:1262</t>
  </si>
  <si>
    <t>42:12:0102015:1264</t>
  </si>
  <si>
    <t>1.4.26.856</t>
  </si>
  <si>
    <t>1.4.26.857</t>
  </si>
  <si>
    <t>42:12:0102015:1268</t>
  </si>
  <si>
    <t>42:12:0102015:1269</t>
  </si>
  <si>
    <t>42:12:0102015:1271</t>
  </si>
  <si>
    <t>42:12:0102015:1273</t>
  </si>
  <si>
    <t>1.1.838</t>
  </si>
  <si>
    <t>1.1.839</t>
  </si>
  <si>
    <t>1.1.839.2</t>
  </si>
  <si>
    <t>1.1.839.3</t>
  </si>
  <si>
    <t>протяж. 4282м</t>
  </si>
  <si>
    <t>1.1.829.4</t>
  </si>
  <si>
    <t xml:space="preserve">42:12:0106002:4192 </t>
  </si>
  <si>
    <t>23/318</t>
  </si>
  <si>
    <t>Кемеровская область, г.Таштагол, ул.Матросова,42/1</t>
  </si>
  <si>
    <t>Сооружение-теплотрасса АТЦ</t>
  </si>
  <si>
    <t xml:space="preserve">Россия, Кемеровская область, Таштагольский район, пгт. Темиртау
</t>
  </si>
  <si>
    <t>Теплотрасса от бойлерной до колодца по ул. Юбилейная и до колодца по ул. Дзержинского, 20</t>
  </si>
  <si>
    <t>1.4.26.712</t>
  </si>
  <si>
    <t>1.4.26.713</t>
  </si>
  <si>
    <t>1.4.26.724</t>
  </si>
  <si>
    <t>1.4.26.725</t>
  </si>
  <si>
    <t>1.4.26.726</t>
  </si>
  <si>
    <t>1.4.26.727</t>
  </si>
  <si>
    <t>1.4.26.861</t>
  </si>
  <si>
    <t>42:12:0102015:820</t>
  </si>
  <si>
    <t>42:12:0102015:1121</t>
  </si>
  <si>
    <t>1.4.26.870</t>
  </si>
  <si>
    <t>1.4.26.871</t>
  </si>
  <si>
    <t>1.4.26.872</t>
  </si>
  <si>
    <t>1.4.26.873</t>
  </si>
  <si>
    <t>42:12:0102015:1029</t>
  </si>
  <si>
    <t>42:12:0102015:1030</t>
  </si>
  <si>
    <t>42:12:0102015:1038</t>
  </si>
  <si>
    <t>42:12:0102015:1092</t>
  </si>
  <si>
    <t>42:12:0102015:1093</t>
  </si>
  <si>
    <t>42:12:0102015:1094</t>
  </si>
  <si>
    <t>42:12:0102015:1113</t>
  </si>
  <si>
    <t>42:12:0102015:979</t>
  </si>
  <si>
    <t>42:12:0102015:1289</t>
  </si>
  <si>
    <t>42:12:0102015:999</t>
  </si>
  <si>
    <t>42:12:0102015:1000</t>
  </si>
  <si>
    <t>42:12:0102015:1137</t>
  </si>
  <si>
    <t>42:12:0102015:1139</t>
  </si>
  <si>
    <t>42:12:0102015:1140</t>
  </si>
  <si>
    <t>42:12:0102015:981</t>
  </si>
  <si>
    <t>42:12:0102015:1234</t>
  </si>
  <si>
    <t>42:12:0102015:1235</t>
  </si>
  <si>
    <t>42:12:0102015:1236</t>
  </si>
  <si>
    <t>1.4.26.874</t>
  </si>
  <si>
    <t>1.4.26.875</t>
  </si>
  <si>
    <t>1.4.26.876</t>
  </si>
  <si>
    <t>1.4.26.877</t>
  </si>
  <si>
    <t>1.4.26.878</t>
  </si>
  <si>
    <t>1.4.26.879</t>
  </si>
  <si>
    <t>1.4.26.882</t>
  </si>
  <si>
    <t>1.4.26.883</t>
  </si>
  <si>
    <t>1.4.26.884</t>
  </si>
  <si>
    <t>1.4.26.885</t>
  </si>
  <si>
    <t>1.4.26.887</t>
  </si>
  <si>
    <t>42:12:0102015:1111</t>
  </si>
  <si>
    <t>42:12:0102015:1112</t>
  </si>
  <si>
    <t>42:12:0102015:1284</t>
  </si>
  <si>
    <t>42:12:0102015:1100</t>
  </si>
  <si>
    <t>42:12:0102015:1249</t>
  </si>
  <si>
    <t>1.4.26.888</t>
  </si>
  <si>
    <t>1.4.26.889</t>
  </si>
  <si>
    <t>1.4.26.890</t>
  </si>
  <si>
    <t xml:space="preserve"> 42:34:0101041:154</t>
  </si>
  <si>
    <t>1.5.326.7</t>
  </si>
  <si>
    <t>1.4.26.891</t>
  </si>
  <si>
    <t>42:12:0102015:1251</t>
  </si>
  <si>
    <t xml:space="preserve">одноэтажное, кирпичное </t>
  </si>
  <si>
    <t>Кемеровская обл.,  г.Таштагол, ул.Энергетиков</t>
  </si>
  <si>
    <t xml:space="preserve">42:12:0102015:1077 </t>
  </si>
  <si>
    <t>42:12:0102015:1078</t>
  </si>
  <si>
    <t>1.4.26.893</t>
  </si>
  <si>
    <t>1.4.26.894</t>
  </si>
  <si>
    <t>1.4.26.895</t>
  </si>
  <si>
    <t>1.4.26.896</t>
  </si>
  <si>
    <t>1.4.26.897</t>
  </si>
  <si>
    <t>42:12:0102015:1085</t>
  </si>
  <si>
    <t>42:12:0102015:1221</t>
  </si>
  <si>
    <t>42:12:0102015:1009</t>
  </si>
  <si>
    <t>В оперативном управлении МБДОУ детский сад  №17 "Чебурашка"</t>
  </si>
  <si>
    <t>1.4.26.899</t>
  </si>
  <si>
    <t>1.4.26.900</t>
  </si>
  <si>
    <t>1.4.26.901</t>
  </si>
  <si>
    <t>42:12:0102015:1300</t>
  </si>
  <si>
    <t>42:12:0102015:833</t>
  </si>
  <si>
    <t xml:space="preserve">Кемеровская область, г.Таштагол, ул.Советская,28а </t>
  </si>
  <si>
    <t xml:space="preserve">42:34:0112005:488 </t>
  </si>
  <si>
    <t xml:space="preserve">Кемеровская область, г. Таштагол, ул.Советская,№28а </t>
  </si>
  <si>
    <t>42:12:0102015:1165</t>
  </si>
  <si>
    <t>1.4.26.902</t>
  </si>
  <si>
    <t>1.4.26.903</t>
  </si>
  <si>
    <t>1.4.26.905</t>
  </si>
  <si>
    <t>42:12:0102015:837</t>
  </si>
  <si>
    <t>1.1.838.12</t>
  </si>
  <si>
    <t>1.1.840</t>
  </si>
  <si>
    <t>1.1.840.1</t>
  </si>
  <si>
    <t>1.1.840.2</t>
  </si>
  <si>
    <t>1.1.840.3</t>
  </si>
  <si>
    <t>42:12:0106002:4293</t>
  </si>
  <si>
    <t>42:12:0106002:4305</t>
  </si>
  <si>
    <t>1.4.26.906</t>
  </si>
  <si>
    <t>1.4.26.907</t>
  </si>
  <si>
    <t>1.4.26.908</t>
  </si>
  <si>
    <t>1.4.26.909</t>
  </si>
  <si>
    <t>1.4.26.910</t>
  </si>
  <si>
    <t>1.4.26.911</t>
  </si>
  <si>
    <t>42:12:0102015:1243</t>
  </si>
  <si>
    <t>42:12:0102015:1245</t>
  </si>
  <si>
    <t>42:12:0102015:1246</t>
  </si>
  <si>
    <t>42:12:0102015:1247</t>
  </si>
  <si>
    <t>42:12:0102015:986</t>
  </si>
  <si>
    <t>42:12:0102015:1281</t>
  </si>
  <si>
    <t>1.4.26.913</t>
  </si>
  <si>
    <t xml:space="preserve">Кемеровская область, р-н Таштагольский, г. Таштагол, ул. Макаренко, пом. 1 (место № 64) </t>
  </si>
  <si>
    <t>42:12:0102015:1285</t>
  </si>
  <si>
    <t>42:12:0102015:1286</t>
  </si>
  <si>
    <t>42:12:0102015:1317</t>
  </si>
  <si>
    <t>42:12:0102015:1318</t>
  </si>
  <si>
    <t>1.4.26.917</t>
  </si>
  <si>
    <t>1.4.26.918</t>
  </si>
  <si>
    <t>1.4.26.919</t>
  </si>
  <si>
    <t>1.4.26.920</t>
  </si>
  <si>
    <t>1.4.26.922</t>
  </si>
  <si>
    <t>1.4.26.925</t>
  </si>
  <si>
    <t>42:12:0102015:1319</t>
  </si>
  <si>
    <t>42:12:0102015:1320</t>
  </si>
  <si>
    <t>42:12:0102015:1321</t>
  </si>
  <si>
    <t>42:12:0102015:1322</t>
  </si>
  <si>
    <t>42:12:0102015:1323</t>
  </si>
  <si>
    <t>42:12:0102015:1324</t>
  </si>
  <si>
    <t xml:space="preserve">Кемеровская область, Таштагольский район, пгт Мундыбаш, ул.Ленина,22, пом.1 </t>
  </si>
  <si>
    <t xml:space="preserve">Напорный водовод от насосной  по ул. 18 Партсъезда до баков РЧВ-1000 ул. Тельмана </t>
  </si>
  <si>
    <t>1.4.26.926</t>
  </si>
  <si>
    <t>42:12:0102015:1311</t>
  </si>
  <si>
    <t xml:space="preserve">42:12:0111001:229 </t>
  </si>
  <si>
    <t>Отдельно стоящее нежилое здание склада продуктового</t>
  </si>
  <si>
    <t>1-но этажное, ж/блоки,</t>
  </si>
  <si>
    <t>1.1.817.17</t>
  </si>
  <si>
    <t>1-но этажное, шлакоблочные</t>
  </si>
  <si>
    <t xml:space="preserve">42:34:0107002:10 </t>
  </si>
  <si>
    <t xml:space="preserve">Кемеровская область, Таштагольский район, пгт.Каз, ул.Садовая, место №1 </t>
  </si>
  <si>
    <t xml:space="preserve">42:12:0104001:3479 </t>
  </si>
  <si>
    <t xml:space="preserve">Кемеровская область, г.Таштагол, ул.Ленина </t>
  </si>
  <si>
    <t>Кемеровская область, г. Таштагол,  ул.Лесозаводская</t>
  </si>
  <si>
    <t>1.4.26.927</t>
  </si>
  <si>
    <t>1.4.26.928</t>
  </si>
  <si>
    <t>1.4.26.930</t>
  </si>
  <si>
    <t>42:12:0102015:1294</t>
  </si>
  <si>
    <t>42:12:0102015:1296</t>
  </si>
  <si>
    <t>42:12:0102015:1312</t>
  </si>
  <si>
    <t>42:12:0102015:1313</t>
  </si>
  <si>
    <t>42:12:0102015:1309</t>
  </si>
  <si>
    <t>1.5.357</t>
  </si>
  <si>
    <t>*</t>
  </si>
  <si>
    <t>1.4.26.932</t>
  </si>
  <si>
    <t>42:12:0102015:1231</t>
  </si>
  <si>
    <t xml:space="preserve">42:12:0102002:107 </t>
  </si>
  <si>
    <t xml:space="preserve">Кемеровская область, Таштагольский район, п. Усть-Кабырза, ул. Григорьева,№ 47  </t>
  </si>
  <si>
    <t>Отдельно стоящее нежилое здание школы №20</t>
  </si>
  <si>
    <t xml:space="preserve">Здание мастерской школы </t>
  </si>
  <si>
    <t xml:space="preserve">Отдельно стоящее нежилое здание котельной школы </t>
  </si>
  <si>
    <t>1-но этажное, кирпичное, стеклянные</t>
  </si>
  <si>
    <t>Кемеровская область, Таштагольский район, пгт.Шерегеш, ул.Советская,4Б</t>
  </si>
  <si>
    <t xml:space="preserve">Кемеровская область, Таштагольский район, пгт.Шерегеш, улица Гагарина,26а </t>
  </si>
  <si>
    <t>одноэтажное, кирпичное с подвалом</t>
  </si>
  <si>
    <t>1 этажное</t>
  </si>
  <si>
    <t xml:space="preserve">42:12:0114002:453 </t>
  </si>
  <si>
    <t>Кемеровская область, Таштагольский район, пгт. Шерегеш, ул. Советская,д.4</t>
  </si>
  <si>
    <t>2-х этажное с подвалом, кирпичное</t>
  </si>
  <si>
    <t xml:space="preserve">Отдельно стоящее нежилое здание склада детского сада  </t>
  </si>
  <si>
    <t>Отдельно стоящее нежилое здание школьной мастерской</t>
  </si>
  <si>
    <t>5-ти этажное, кирпичное (подвал поликлиники)-фитнес -клуб</t>
  </si>
  <si>
    <t xml:space="preserve">Отдельно стоящее нежилое здание школы </t>
  </si>
  <si>
    <t>42:12:0115001:642</t>
  </si>
  <si>
    <t>42:12:0115001:643</t>
  </si>
  <si>
    <t>42:12:0115001:641</t>
  </si>
  <si>
    <t>42:12:0105002:3344</t>
  </si>
  <si>
    <t>42:34:0113035:54</t>
  </si>
  <si>
    <t>42:34:0000000:316</t>
  </si>
  <si>
    <t>Сети водоснабжения от водохранилища до НФС "Тельбес"</t>
  </si>
  <si>
    <t xml:space="preserve">42:34:0106001:8 </t>
  </si>
  <si>
    <t>1.4.89</t>
  </si>
  <si>
    <t xml:space="preserve">Кемеровская область, Таштагольский район, пгт. Спасск, ул. Октябрьская,д.3 </t>
  </si>
  <si>
    <t xml:space="preserve">Кемеровская область, г. Таштагол, ул. 8 Марта,д.2-А </t>
  </si>
  <si>
    <t>42:12:0000000:316 , кадастровый номер земельного участка 42:12:01 05 004:00 20,</t>
  </si>
  <si>
    <t>42:12:0102015:1340</t>
  </si>
  <si>
    <t>1.4.26.934</t>
  </si>
  <si>
    <t>1.4.26.937</t>
  </si>
  <si>
    <t>1.4.26.938</t>
  </si>
  <si>
    <t>1.4.26.939</t>
  </si>
  <si>
    <t>1.4.26.940</t>
  </si>
  <si>
    <t>1.4.26.941</t>
  </si>
  <si>
    <t>1.4.26.942</t>
  </si>
  <si>
    <t>42:12:0102015:1239</t>
  </si>
  <si>
    <t>42:12:0102015:1240</t>
  </si>
  <si>
    <t>42:12:0102015:1242</t>
  </si>
  <si>
    <t>42:12:0102015:1250</t>
  </si>
  <si>
    <t>1.4.26.924</t>
  </si>
  <si>
    <t>42:34:0102050:183</t>
  </si>
  <si>
    <t>кап. рем. в 2005 г.</t>
  </si>
  <si>
    <t>Водопровод питьевой воды от муниципального колодца ул.Геологическая до ул.Топографическая и ул.7-ое Ноября</t>
  </si>
  <si>
    <t>В аренде ООО "ТаштаголСтройСервис"</t>
  </si>
  <si>
    <t>Пристроенное нежилое здание  (детский сад № 6)</t>
  </si>
  <si>
    <t>1.5.410.5</t>
  </si>
  <si>
    <t>1-но этажное, брусчатое</t>
  </si>
  <si>
    <t>Кемеровская область, Таштагольский район,пос.Ключевой, ул.Энтузиастов,21</t>
  </si>
  <si>
    <t>Отдельно стоящее нежилое здание склада школы (№36)</t>
  </si>
  <si>
    <t>Кемеровская область, Таштагольский район, пос.Ключевой, ул.Энтузиастов,21</t>
  </si>
  <si>
    <t>Кемеровская область, Таштагольский район, пгт.Шерегеш, ул.Советская,8А</t>
  </si>
  <si>
    <t xml:space="preserve">Отдельно стоящее нежилое здание (детский сад) </t>
  </si>
  <si>
    <t>42:34:0112007:95</t>
  </si>
  <si>
    <t>42:34:0112007:96</t>
  </si>
  <si>
    <t>Школа /№8 спортивный зал/</t>
  </si>
  <si>
    <t>42:34:0106001:1454</t>
  </si>
  <si>
    <t>42:34:0114011:101</t>
  </si>
  <si>
    <t>односторонее, на  18 метал. опорах-подвеска оптико-волоконной связи</t>
  </si>
  <si>
    <t>Кемеровская область, г.Таштагол, ул.8 Марта,2А</t>
  </si>
  <si>
    <t>42:12:0108002:799</t>
  </si>
  <si>
    <t>42:12:0108002:800</t>
  </si>
  <si>
    <t>42:12:0105002:3347</t>
  </si>
  <si>
    <t>42:34:0106002:1766</t>
  </si>
  <si>
    <t>42:34:0106002:1767</t>
  </si>
  <si>
    <t>42:12:0114002:2034</t>
  </si>
  <si>
    <t>42:12:0114002:2035</t>
  </si>
  <si>
    <t>42:12:0102002:1975</t>
  </si>
  <si>
    <t xml:space="preserve">Отдельно стоящее нежилое здание гаража </t>
  </si>
  <si>
    <t>42:34:0102050:184</t>
  </si>
  <si>
    <t>1.1.839.4</t>
  </si>
  <si>
    <t>1.1.839.5</t>
  </si>
  <si>
    <t>1.1.839.15</t>
  </si>
  <si>
    <t>1.1.839.16</t>
  </si>
  <si>
    <t>1.1.841</t>
  </si>
  <si>
    <t>1.1.842</t>
  </si>
  <si>
    <t>1.1.840.8</t>
  </si>
  <si>
    <t>42:34:0114015:47</t>
  </si>
  <si>
    <t>3-х этажное, мелкие бетонные блоки</t>
  </si>
  <si>
    <t>42:34:0114015:48</t>
  </si>
  <si>
    <t>42:34:0114015:75</t>
  </si>
  <si>
    <t>42:34:0114015:49</t>
  </si>
  <si>
    <t>42:34:0114015:54</t>
  </si>
  <si>
    <t>42:34:0114015:58</t>
  </si>
  <si>
    <t>42:34:0114015:60</t>
  </si>
  <si>
    <t>1.1.840.10</t>
  </si>
  <si>
    <t>1.1.840.11</t>
  </si>
  <si>
    <t>1.1.840.12</t>
  </si>
  <si>
    <t>1.1.840.14</t>
  </si>
  <si>
    <t>1.1.840.16</t>
  </si>
  <si>
    <t>1.1.841.2</t>
  </si>
  <si>
    <t>1.1.841.3</t>
  </si>
  <si>
    <t>1.1.842.1</t>
  </si>
  <si>
    <t>1.1.842.2</t>
  </si>
  <si>
    <t>1.1.842.3</t>
  </si>
  <si>
    <t>42:12:0106002:4333</t>
  </si>
  <si>
    <t>42:12:0106002:4334</t>
  </si>
  <si>
    <t>42:12:0106002:4355</t>
  </si>
  <si>
    <t>42:12:0106002:4335</t>
  </si>
  <si>
    <t>42:12:0106002:4336</t>
  </si>
  <si>
    <t>42:12:0106002:4349</t>
  </si>
  <si>
    <t>1.4.26.946</t>
  </si>
  <si>
    <t>1.4.26.947</t>
  </si>
  <si>
    <t>1.4.26.951</t>
  </si>
  <si>
    <t>1.4.26.952</t>
  </si>
  <si>
    <t>1.4.26.954</t>
  </si>
  <si>
    <t>1.4.26.957</t>
  </si>
  <si>
    <t>42:12:0102015:1034</t>
  </si>
  <si>
    <t>42:12:0102015:1035</t>
  </si>
  <si>
    <t>42:12:0102015:1331</t>
  </si>
  <si>
    <t>42:12:0102015:1332</t>
  </si>
  <si>
    <t>42:12:0102015:1337</t>
  </si>
  <si>
    <t>42:12:0102015:1020</t>
  </si>
  <si>
    <t xml:space="preserve">42:12:0102015:1228 </t>
  </si>
  <si>
    <t xml:space="preserve">42:12:0102015:1232 </t>
  </si>
  <si>
    <t xml:space="preserve">42:12:0102015:1233 </t>
  </si>
  <si>
    <t xml:space="preserve">42:12:0102015:1119 </t>
  </si>
  <si>
    <t>1.4.26.959</t>
  </si>
  <si>
    <t>1.4.26.960</t>
  </si>
  <si>
    <t>1.4.26.963</t>
  </si>
  <si>
    <t>1.4.26.964</t>
  </si>
  <si>
    <t>1.4.26.967</t>
  </si>
  <si>
    <t>Кемеровская область, Таштагольский район,пос.Усть-Кабырза, ул.Арбачакова,1</t>
  </si>
  <si>
    <t>Отдельно стоящее нежилое здание (дом туриста)</t>
  </si>
  <si>
    <t>1.2.269</t>
  </si>
  <si>
    <t>Кемеровская область, Таштагольский район, пос.Усть-Кабырза, ул.Арбачакова,1</t>
  </si>
  <si>
    <t>Отдельно стоящее нежилое здание  (Юрта №2 "Губернаторская чайная")</t>
  </si>
  <si>
    <t>1.1.817.18</t>
  </si>
  <si>
    <t>1.1.817.19</t>
  </si>
  <si>
    <t>21/209</t>
  </si>
  <si>
    <t>25/217</t>
  </si>
  <si>
    <t>70/409</t>
  </si>
  <si>
    <t>89/402</t>
  </si>
  <si>
    <t>73/413</t>
  </si>
  <si>
    <t>79/418</t>
  </si>
  <si>
    <t>84/410</t>
  </si>
  <si>
    <t>69/405</t>
  </si>
  <si>
    <t>68/403</t>
  </si>
  <si>
    <t>62/306</t>
  </si>
  <si>
    <t>57/316</t>
  </si>
  <si>
    <t>46/311</t>
  </si>
  <si>
    <t>47/313</t>
  </si>
  <si>
    <t>49/315</t>
  </si>
  <si>
    <t>45/309</t>
  </si>
  <si>
    <t>40/202</t>
  </si>
  <si>
    <t>36/210</t>
  </si>
  <si>
    <t>32/218</t>
  </si>
  <si>
    <t>Кемеровская область, Таштагольский район,пос. Амзас</t>
  </si>
  <si>
    <t>Кемеровская область, г. Таштагол, ул.Крылова,18</t>
  </si>
  <si>
    <t>42:12:0000000:693</t>
  </si>
  <si>
    <t>1-но этажное , бревен</t>
  </si>
  <si>
    <t>42:12:0102003:1292</t>
  </si>
  <si>
    <t>1.4.90</t>
  </si>
  <si>
    <t>1.4.26.968</t>
  </si>
  <si>
    <t>Отдельно стоящее нежилое здание спортзала</t>
  </si>
  <si>
    <t xml:space="preserve">1 этажное, кирпичное </t>
  </si>
  <si>
    <t>Кемеровская область, г. Таштагол, ул. Суворова,19</t>
  </si>
  <si>
    <t>42:34:0102029:38</t>
  </si>
  <si>
    <t>42:00:0000000:3618</t>
  </si>
  <si>
    <t>протяженность 1300 м</t>
  </si>
  <si>
    <t>1.4.26.969</t>
  </si>
  <si>
    <t>42:12:0102015:1361</t>
  </si>
  <si>
    <t>1.1.843</t>
  </si>
  <si>
    <t>1.1.843.1</t>
  </si>
  <si>
    <t>1.1.843.2</t>
  </si>
  <si>
    <t>1.1.843.3</t>
  </si>
  <si>
    <t>10а</t>
  </si>
  <si>
    <t>42:34:0114008:162</t>
  </si>
  <si>
    <t>42:34:0114008:165</t>
  </si>
  <si>
    <t>42:34:0114008:166</t>
  </si>
  <si>
    <t xml:space="preserve">Земельный участок, разрешенное использование: промзона АТЦ-ЦМС  </t>
  </si>
  <si>
    <t>Кемеровская область, Таштагольский район, пгт. Шерегеш, ул. Кирова,1а</t>
  </si>
  <si>
    <t>Водопровод по ул. Кирова,д 1а</t>
  </si>
  <si>
    <t>1.5.542</t>
  </si>
  <si>
    <t>1.5.543</t>
  </si>
  <si>
    <t>протяж. 95 м</t>
  </si>
  <si>
    <t xml:space="preserve">Кемеровская область, Таштагольский район </t>
  </si>
  <si>
    <t>Кемеровская область, г.Таштагол,ул.Увальная</t>
  </si>
  <si>
    <t xml:space="preserve">Кемеровская область, г.Таштагол, ул.Увальная,ул.Солнечная </t>
  </si>
  <si>
    <t>Кемеровская область, г.Таштагол, ул.Матросова,№ 52</t>
  </si>
  <si>
    <t>Кемеровская область, г. Таштагол,  ул. Матросова,№24- вводы в дом  (канализация)</t>
  </si>
  <si>
    <t>Кемеровская область,  г.Таштагол, ул.Мичурина,№ 74</t>
  </si>
  <si>
    <t xml:space="preserve">Кемеровская область,  г.Таштагол, р-он ул.Калинина </t>
  </si>
  <si>
    <t>Кемеровская область,  г.Таштагол,  ул.Ленина,№ 8</t>
  </si>
  <si>
    <t>Кемеровская область,  пгт.Мундыбаш,ул.Григорьева (профилакторий)</t>
  </si>
  <si>
    <t xml:space="preserve">Кемеровская область,  г.Таштагол,ул. Матросова,  ул. Ленина,ул. Юбилейная, ул. Мира, ул. 18 Партсъзда, ул. 20 Партсъезда, ул. Суворова 
</t>
  </si>
  <si>
    <t>Кемеровская область,  г. Таштагол, ул. 20 Партсъезда от закладочного комплекса до ж/д переезда (канализация)</t>
  </si>
  <si>
    <t xml:space="preserve"> Кемеровская область,  г.Таштагол,ул. Макаренко, 12</t>
  </si>
  <si>
    <t>Кемеровская область,   г.Таштагол,ул. Макаренко, 14, ул. Ноградская, 15, ул. Поспелова, 18</t>
  </si>
  <si>
    <t>Кемеровская область,   г.Таштагол, ул. 8-е Марта</t>
  </si>
  <si>
    <t xml:space="preserve">Кемеровская область,  г. Таштагол, ул.Поспелова,20 </t>
  </si>
  <si>
    <t xml:space="preserve">Кемеровская область,   г.Таштагол,ул.Строительная </t>
  </si>
  <si>
    <t>Кемеровская область,  г. Таштагол,от ул. Коммунальная до ул. Ломоносова,32</t>
  </si>
  <si>
    <t>Кемеровская область,  г. Таштагол,от ул. Строительной до ул. Ломоносова</t>
  </si>
  <si>
    <t>Кемеровская область,  г. Таштагол, ул. Лазо,11</t>
  </si>
  <si>
    <t>Кемеровская область,  г. Таштагол, ул. Ордженикидзе</t>
  </si>
  <si>
    <t>Кемеровская область,   г.Таштагол,ул. Ленина, 48, ул.Ленина, 52, ул.Ленина, 26, ул. Ленина, 28</t>
  </si>
  <si>
    <t xml:space="preserve"> Кемеровская область,  г.Таштагол</t>
  </si>
  <si>
    <t xml:space="preserve">Кемеровская область,  г.Таштагол-ст.Кондома </t>
  </si>
  <si>
    <t>Кемеровская область,  Таштагольский район, пгт.Мундыбаш</t>
  </si>
  <si>
    <t>Кемеровская область,г.Таштагол</t>
  </si>
  <si>
    <t xml:space="preserve">Кемеровская область,г.Таштагол, от НФС «Балгашта» до ул. Советская, 5 </t>
  </si>
  <si>
    <t>Кемеровская область,г.Таштагол,  от ул.Белинского, 23 до ул.Баумана, 4</t>
  </si>
  <si>
    <t>Кемеровская область,г. Таштагол, ул. Советская от  бойлерной до ж/д переезда</t>
  </si>
  <si>
    <t>Кемеровская область,г. Таштагол, ул. Советская от д. №28 до д. №39</t>
  </si>
  <si>
    <t>Кемеровская область,г. Таштагол, ул. Советская от  д.№39 до насосной станции</t>
  </si>
  <si>
    <t>Кемеровская область, г.Таштагол, ул.Центральная</t>
  </si>
  <si>
    <t xml:space="preserve">Кемеровская область, г.Таштагол,ул.Матросова </t>
  </si>
  <si>
    <t xml:space="preserve"> Кемеровская область, г. Таштагол</t>
  </si>
  <si>
    <t xml:space="preserve"> Кемеровская область, Таштагольский район,пгт.Шерегеш от теплового узла по ул.Дзержинского,3</t>
  </si>
  <si>
    <t>Кемеровская область, Таштагольский район, пгт.Спасск</t>
  </si>
  <si>
    <t>Теплотрасса поселка</t>
  </si>
  <si>
    <t>42:12:0114002:2041</t>
  </si>
  <si>
    <t>42:12:0114002:2042</t>
  </si>
  <si>
    <t>1.4.91</t>
  </si>
  <si>
    <t>42:12:0112001:451</t>
  </si>
  <si>
    <t>42:12:0112001:452</t>
  </si>
  <si>
    <t>1.2.245</t>
  </si>
  <si>
    <t>Отдельно стоящее нежилое здание (гараж)</t>
  </si>
  <si>
    <t>В безвоз. польз.  МКУ "Центр социального обслуживания граждан пожилого возраста и инвалидов Таштагольского городского поселения"</t>
  </si>
  <si>
    <t>42:12:0105002:3349</t>
  </si>
  <si>
    <t xml:space="preserve">В оперативном управлении МБОУ ДО «Станция детского и юношеского туризма и экскурсий» </t>
  </si>
  <si>
    <t>В оперативном управлении МБДОУ детский сад  №8 «Рябинка»</t>
  </si>
  <si>
    <t>В оперативном управлении МБДОУ детский сад   №11 "Золотая рыбка"</t>
  </si>
  <si>
    <t>2-х этажное, бревенчатое</t>
  </si>
  <si>
    <t>1-но этажное , брус (302,9)</t>
  </si>
  <si>
    <t>42:34:0106001:1456</t>
  </si>
  <si>
    <t>В оперативном управлении МКДОУ детский сад №18 "Сказка"</t>
  </si>
  <si>
    <t>1.2.457</t>
  </si>
  <si>
    <t>42:12:0102015:952</t>
  </si>
  <si>
    <t>42:12:0102015:1265</t>
  </si>
  <si>
    <t>42:12:0102015:1266</t>
  </si>
  <si>
    <t>42:12:0102015:1267</t>
  </si>
  <si>
    <t>1.4.26.975</t>
  </si>
  <si>
    <t>42:12:0102015:1335</t>
  </si>
  <si>
    <t>42:12:0102015:1358</t>
  </si>
  <si>
    <t>42:12:0102015:1004</t>
  </si>
  <si>
    <t>1.4.26.978</t>
  </si>
  <si>
    <t>1.4.26.979</t>
  </si>
  <si>
    <t>1.4.26.980</t>
  </si>
  <si>
    <t>В оперативном управлении МБДОУ «Детский сад №8 «Рябинка»</t>
  </si>
  <si>
    <t>2-х этажное кирпичное (V=2059 куб.м)</t>
  </si>
  <si>
    <t>В оперативном управлении МБДОУ детский сад  №11 "Золотая рыбка"</t>
  </si>
  <si>
    <t xml:space="preserve"> В оперативном управлении МБДОУ детский сад  №12 "Золотой ключик"</t>
  </si>
  <si>
    <t>В оперативном управлении МБДОУ детский сад  №24 "Солнышко"</t>
  </si>
  <si>
    <t>В оперативном управлении  МБДОУ  детский сад №17 "Чебурашка"</t>
  </si>
  <si>
    <t xml:space="preserve">В оперативном управлении  МБДОУ  детский сад №23 "Родничок" </t>
  </si>
  <si>
    <t>Отдельно стоящее нежилое здание детского сада /№ 19/</t>
  </si>
  <si>
    <t>В оперативном управлении МБДОУ детский сад  №10 «Антошка»</t>
  </si>
  <si>
    <t>В опреративном управлении  МКДОУ детский сад №4 «Родничок»</t>
  </si>
  <si>
    <t>1.1.539.4</t>
  </si>
  <si>
    <t>42:12:0105002:2005</t>
  </si>
  <si>
    <t>1.1.294.2</t>
  </si>
  <si>
    <t>42:12:0102006:846</t>
  </si>
  <si>
    <t>1.2.460</t>
  </si>
  <si>
    <t>1.2.461</t>
  </si>
  <si>
    <t>1.4.92</t>
  </si>
  <si>
    <t>1.4.93</t>
  </si>
  <si>
    <t>1.4.94</t>
  </si>
  <si>
    <t>1.4.95</t>
  </si>
  <si>
    <t>1.4.96</t>
  </si>
  <si>
    <t>1.4.97</t>
  </si>
  <si>
    <t>1.4.98</t>
  </si>
  <si>
    <t>42:12:0104002:86</t>
  </si>
  <si>
    <t>Кемеровская область, Таштагольский район, пгт Темиртау</t>
  </si>
  <si>
    <t>Земельный участок,  разрешенное использование: промплощадка (ДОФ, РСУ, УПК, мехучасток, ж/д пути)</t>
  </si>
  <si>
    <t>Земельный участок, разрешенное использование: промзона АТЦ-ЦМС</t>
  </si>
  <si>
    <t>42:12:0105004:18</t>
  </si>
  <si>
    <t>Земельный участок, разрешенное использование: промежуточный склад участка «Северный Аргыштаг»</t>
  </si>
  <si>
    <t>42:12:0105004:11</t>
  </si>
  <si>
    <t>Земельный участок, разрешенное использование: доломитный карьер и старые отвалы доломитного карьера</t>
  </si>
  <si>
    <t>42:12:0000000:90</t>
  </si>
  <si>
    <t>Земельный участок, разрешенное использование : базисный склад ВВ</t>
  </si>
  <si>
    <t>42:12:0105009:4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</si>
  <si>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</si>
  <si>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Земельный участок,  разрешенное использование: пожарное депо</t>
  </si>
  <si>
    <t>42:34:0107002:2</t>
  </si>
  <si>
    <t>Пожарное депо на 6 автомашин</t>
  </si>
  <si>
    <t>42:34:0107002:5</t>
  </si>
  <si>
    <t>1.2.460.1</t>
  </si>
  <si>
    <t>Земельный участок, разрешенное использование: линии связи</t>
  </si>
  <si>
    <t>42:12:0000000:15</t>
  </si>
  <si>
    <t>1.5.544</t>
  </si>
  <si>
    <t>1.5.546</t>
  </si>
  <si>
    <t>1.5.547</t>
  </si>
  <si>
    <t>Телефонизация наружная к Школьная 2 (сооружение)</t>
  </si>
  <si>
    <t>42:12:0000000:426</t>
  </si>
  <si>
    <t>протяж. 920,0 пог.м</t>
  </si>
  <si>
    <t>кабель ТПП 100х2х0,4; ТПП 2(50х2х2х0,4); ТПП 10х2,0х0,4</t>
  </si>
  <si>
    <t xml:space="preserve">Россия, Кемеровская область, Таштагольский район, пгт Темиртау
</t>
  </si>
  <si>
    <t>Земельный участок, разрешенное использование: зона обрушения участка «Малый Темир – Тау»</t>
  </si>
  <si>
    <t xml:space="preserve">Россия. Кемеровская область, Таштагольский район, пгт Темиртау
</t>
  </si>
  <si>
    <t>42:12:0105002:80</t>
  </si>
  <si>
    <t>2-х этажное кирпичное (1 и 2 этажи)</t>
  </si>
  <si>
    <t>Отдельно стоящее здание насосной станции 1</t>
  </si>
  <si>
    <t>1.4.26.981</t>
  </si>
  <si>
    <t>42:12:0102015:1362</t>
  </si>
  <si>
    <t>42:34:0106001:1455</t>
  </si>
  <si>
    <t>1.4.26.983</t>
  </si>
  <si>
    <t>42:12:0102015:1353</t>
  </si>
  <si>
    <t>Кемеровская область, г.Таштагол, ул.Ноградская,7/1</t>
  </si>
  <si>
    <t>Кемеровская область, Таштагольский район, пгт.Мундыбаш, ул.Октябрьская,54</t>
  </si>
  <si>
    <t>42:34:0102012:172</t>
  </si>
  <si>
    <t>42:12:0000000:700</t>
  </si>
  <si>
    <t>1.4.26.985</t>
  </si>
  <si>
    <t>42:12:0102015:1011</t>
  </si>
  <si>
    <t>Кемеровская область, Таштагольский район, пгт.Мундыбаш,  ул.Октябрьская,место №15</t>
  </si>
  <si>
    <t>42:12:0101001:497</t>
  </si>
  <si>
    <t>1.4.26.987</t>
  </si>
  <si>
    <t>1.4.26.988</t>
  </si>
  <si>
    <t>42:12:0102015:1369</t>
  </si>
  <si>
    <t>42:12:0102015:1368</t>
  </si>
  <si>
    <t>42:34:0106001:1457</t>
  </si>
  <si>
    <t xml:space="preserve">1-но этажное с подвалом, кирпичное </t>
  </si>
  <si>
    <t xml:space="preserve">Россия, Кемеровская область, г.Таштагол, ул. Ленина,23
</t>
  </si>
  <si>
    <t>1.2.40.4.10</t>
  </si>
  <si>
    <t>1.4.104</t>
  </si>
  <si>
    <t>1.4.105</t>
  </si>
  <si>
    <t>1.4.26.989</t>
  </si>
  <si>
    <t>42:12:0102015:1303</t>
  </si>
  <si>
    <t>1.5.550</t>
  </si>
  <si>
    <t>1.5.551</t>
  </si>
  <si>
    <t>1.5.552</t>
  </si>
  <si>
    <t>1.5.554</t>
  </si>
  <si>
    <t>1.5.555</t>
  </si>
  <si>
    <t>1.5.556</t>
  </si>
  <si>
    <t>1.5.557</t>
  </si>
  <si>
    <t>42:12:0104001:923</t>
  </si>
  <si>
    <t>42:12:0106003:1166</t>
  </si>
  <si>
    <t xml:space="preserve">42:34:0114017:142 </t>
  </si>
  <si>
    <t xml:space="preserve">Отдельно стоящее нежилое здание капитального гаража </t>
  </si>
  <si>
    <t>2-х этажное, кирпичное  (V=11218 куб.м)</t>
  </si>
  <si>
    <t xml:space="preserve">Кемеровская область, Таштагольский район,пос.Калары, ул. Станционная,50 </t>
  </si>
  <si>
    <t>1.2.454.1</t>
  </si>
  <si>
    <t>1.2.454.2</t>
  </si>
  <si>
    <t xml:space="preserve">В безвоз. пользовании МБУ ДО «Специализированная детско-юношеская спортивная школа олимпийского резерва по горнолыжному спорту» </t>
  </si>
  <si>
    <t xml:space="preserve">В безвоз. пользовании МБУ ДО «Специализированная детско-юношеская спортивная школа олимпийского резерва по сноуборду» </t>
  </si>
  <si>
    <t>В арендном пользовании Конобеевой Л.В.</t>
  </si>
  <si>
    <t>1.2.40.4.11</t>
  </si>
  <si>
    <t>В безвоз. пользовании гос. казен. учреждения Кемеровской области «Агентство по защите населения и территории Кемеровской области»</t>
  </si>
  <si>
    <t>В оперативном управлении МБДОУ детский сад  №12 "Золотой ключик"</t>
  </si>
  <si>
    <t>1.4.26.990</t>
  </si>
  <si>
    <t>1.4.26.991</t>
  </si>
  <si>
    <t>1.4.26.994</t>
  </si>
  <si>
    <t>1.4.26.995</t>
  </si>
  <si>
    <t xml:space="preserve">42:12:0102015:1031 </t>
  </si>
  <si>
    <t xml:space="preserve">42:12:0102015:1359 </t>
  </si>
  <si>
    <t xml:space="preserve">42:12:0102015:1357 </t>
  </si>
  <si>
    <t xml:space="preserve">42:12:0102015:1014 </t>
  </si>
  <si>
    <t>42:12:0102015:1328</t>
  </si>
  <si>
    <t xml:space="preserve">42:12:0102015:1329 </t>
  </si>
  <si>
    <t>1.4.26.998</t>
  </si>
  <si>
    <t>1.4.26.999</t>
  </si>
  <si>
    <t>1.4.26.1000</t>
  </si>
  <si>
    <t>1.4.26.1001</t>
  </si>
  <si>
    <t>1.4.26.1002</t>
  </si>
  <si>
    <t>1.4.26.1005</t>
  </si>
  <si>
    <t>1.4.26.1008</t>
  </si>
  <si>
    <t>1.4.26.1010</t>
  </si>
  <si>
    <t xml:space="preserve">42:12:0102015:1215 </t>
  </si>
  <si>
    <t>42:12:0102015:1350</t>
  </si>
  <si>
    <t xml:space="preserve">42:12:0102015:1351 </t>
  </si>
  <si>
    <t xml:space="preserve">42:12:0102015:496 </t>
  </si>
  <si>
    <t xml:space="preserve">42:12:0102015:474 </t>
  </si>
  <si>
    <t xml:space="preserve">42:12:0102015:1307 </t>
  </si>
  <si>
    <t xml:space="preserve">42:12:0102015:1338 </t>
  </si>
  <si>
    <t xml:space="preserve">42:12:0102015:920 </t>
  </si>
  <si>
    <t>1.4.26.1012</t>
  </si>
  <si>
    <t>1.4.26.1013</t>
  </si>
  <si>
    <t>1.4.26.1014</t>
  </si>
  <si>
    <t>1.4.26.1015</t>
  </si>
  <si>
    <t>1.4.26.1016</t>
  </si>
  <si>
    <t>42:12:0102015:1172</t>
  </si>
  <si>
    <t>42:12:0102015:1173</t>
  </si>
  <si>
    <t>42:12:0102015:1174</t>
  </si>
  <si>
    <t>В арендном пользовании ООО "УК ЖКХ"</t>
  </si>
  <si>
    <t>инв.ном. Ц0057510</t>
  </si>
  <si>
    <t>В оперативном управлении МБУ «Губернский центр горнолыжного спорта и сноуборда»</t>
  </si>
  <si>
    <t>1.1.838.21</t>
  </si>
  <si>
    <t>42:12:0106002:4302</t>
  </si>
  <si>
    <t>42:12:0110001:1560</t>
  </si>
  <si>
    <t>42:12:0110001:1559</t>
  </si>
  <si>
    <t>42:12:0112004:268</t>
  </si>
  <si>
    <t>42:12:0114002:2045</t>
  </si>
  <si>
    <t>42:12:0103001:329</t>
  </si>
  <si>
    <t>42:12:0103002:767</t>
  </si>
  <si>
    <t>42:12:0102002:1979</t>
  </si>
  <si>
    <t>42:34:0106003:521</t>
  </si>
  <si>
    <t>1.2.462</t>
  </si>
  <si>
    <t>42:34:0106001:1459</t>
  </si>
  <si>
    <t>S=797,6 кв м</t>
  </si>
  <si>
    <t>S=416,7 кв.м</t>
  </si>
  <si>
    <t xml:space="preserve">42:12:0101001:238 </t>
  </si>
  <si>
    <t xml:space="preserve">42:34:0106003:522 </t>
  </si>
  <si>
    <t xml:space="preserve">42:34:0106003:523 </t>
  </si>
  <si>
    <t>42:12:0102006:1504</t>
  </si>
  <si>
    <t>Концессионное соглашение с  ООО "ЮКЭК"</t>
  </si>
  <si>
    <t xml:space="preserve"> Распр. Админстр. Таштагол. муниц. района от 14.12.2016 г. №1742-р; концессионное соглашение №1 от 15.12.2016 г. (2017-2031 гг.)</t>
  </si>
  <si>
    <t>42:34:0106002:1768</t>
  </si>
  <si>
    <t>42:34:0101042:431</t>
  </si>
  <si>
    <t>1.4.26.1019</t>
  </si>
  <si>
    <t>1.4.26.1020</t>
  </si>
  <si>
    <t>1.4.26.1021</t>
  </si>
  <si>
    <t>1.4.26.1022</t>
  </si>
  <si>
    <t>1.4.26.1024</t>
  </si>
  <si>
    <t>1.4.26.1025</t>
  </si>
  <si>
    <t>1.4.26.1026</t>
  </si>
  <si>
    <t>42:12:0102015:1383</t>
  </si>
  <si>
    <t>42:12:0102015:1384</t>
  </si>
  <si>
    <t>42:12:0102015:1385</t>
  </si>
  <si>
    <t>42:12:0102015:1376</t>
  </si>
  <si>
    <t>42:12:0102015:1378</t>
  </si>
  <si>
    <t>42:12:0102015:1380</t>
  </si>
  <si>
    <t>42:12:0102015:1379</t>
  </si>
  <si>
    <t>Россия, Кемеровская область,  Таштагольский район, п. Шерегеш, ул. Славянская,54</t>
  </si>
  <si>
    <t>42:12:0104001:3848</t>
  </si>
  <si>
    <t>42:12:0104001:3849</t>
  </si>
  <si>
    <t>42:34:0106003:525</t>
  </si>
  <si>
    <t>1.2.40.7</t>
  </si>
  <si>
    <t>1.2.40.6</t>
  </si>
  <si>
    <t>1.4.27.1</t>
  </si>
  <si>
    <t>1.4.27.2</t>
  </si>
  <si>
    <t>1.4.27.3</t>
  </si>
  <si>
    <t>1.4.27.5</t>
  </si>
  <si>
    <t>1.4.27.6</t>
  </si>
  <si>
    <t>42:12:0105002:3355</t>
  </si>
  <si>
    <t>42:12:0105002:3356</t>
  </si>
  <si>
    <t>42:12:0104001:3822</t>
  </si>
  <si>
    <t>1-но этажное, деревянные, каркасно-обшивные</t>
  </si>
  <si>
    <t>42:12:0104001:3832</t>
  </si>
  <si>
    <t>1.4.26.1028</t>
  </si>
  <si>
    <t>1.4.26.1030</t>
  </si>
  <si>
    <t>1.4.26.1031</t>
  </si>
  <si>
    <t>1.4.26.1033</t>
  </si>
  <si>
    <t>1.4.26.1034</t>
  </si>
  <si>
    <t>1.4.26.1035</t>
  </si>
  <si>
    <t>1.4.26.1036</t>
  </si>
  <si>
    <t>1.4.26.1039</t>
  </si>
  <si>
    <t>1.4.26.1040</t>
  </si>
  <si>
    <t>1.4.26.1041</t>
  </si>
  <si>
    <t>1.4.26.1045</t>
  </si>
  <si>
    <t>1.4.26.1046</t>
  </si>
  <si>
    <t>1.4.26.1047</t>
  </si>
  <si>
    <t>42:12:0102015:782</t>
  </si>
  <si>
    <t>42:12:0102015:772</t>
  </si>
  <si>
    <t>42:12:0102015:773</t>
  </si>
  <si>
    <t>42:12:0102015:1367</t>
  </si>
  <si>
    <t>42:12:0102015:1049</t>
  </si>
  <si>
    <t>42:12:0102015:852</t>
  </si>
  <si>
    <t>42:12:0102015:1163</t>
  </si>
  <si>
    <t>42:12:0102015:1149</t>
  </si>
  <si>
    <t>42:12:0102015:1360</t>
  </si>
  <si>
    <t>42:12:0102015:1132</t>
  </si>
  <si>
    <t>42:12:0102015:1290</t>
  </si>
  <si>
    <t>42:12:0102015:1291</t>
  </si>
  <si>
    <t>42:12:0102015:1292</t>
  </si>
  <si>
    <t>42:12:0102015:1293</t>
  </si>
  <si>
    <t>1.1.320.1</t>
  </si>
  <si>
    <t xml:space="preserve">42:12:0102009:310 </t>
  </si>
  <si>
    <t xml:space="preserve">42:12:0102015:1365 </t>
  </si>
  <si>
    <t>42:12:0102015:1366</t>
  </si>
  <si>
    <t>42:12:0102015:827</t>
  </si>
  <si>
    <t>42:12:0102015:828</t>
  </si>
  <si>
    <t>1.4.26.1048</t>
  </si>
  <si>
    <t>42:34:0000000:718</t>
  </si>
  <si>
    <t>Сооружение : автомобильная дорога Таштагол-телевышка</t>
  </si>
  <si>
    <t>Кемеровская область, г. Таштагол,  ул. Скворцова, 42/1</t>
  </si>
  <si>
    <t>Кемеровская область, г. Таштагол, г. Туманная, ул. Скворцова,42</t>
  </si>
  <si>
    <t>42:34:0102066:37</t>
  </si>
  <si>
    <t>Земельный участок, разрешенное использование: под размещение Административно-спортивного здания в составе Губернского центра сноуборда и горных лыж на горе Туманная в г. Таштаголе Кемеровской области</t>
  </si>
  <si>
    <t>42:12:0102012:2</t>
  </si>
  <si>
    <t>42:12:0102012:1</t>
  </si>
  <si>
    <t>В безвозмезд. польз. МКУ "Управление социальной защиты населения администрации  Таштагольского района"</t>
  </si>
  <si>
    <t>В безвозмезд. польз. МКУ "Управление социальной защиты населения Администрации  Таштагольского района"</t>
  </si>
  <si>
    <t>В безвозмезд. польз. МКУ "Управленияе социальной защиты населения администрации  Таштагольского района"</t>
  </si>
  <si>
    <t>Кемеровская область, г.Таштагол, ул.Мира,35/1</t>
  </si>
  <si>
    <t xml:space="preserve">Кемеровская область, Таштагольский район, пгт.Спасск, ул.Дворцовая,20 </t>
  </si>
  <si>
    <t>42:12:0114005:264</t>
  </si>
  <si>
    <t>Кемеровская область, Таштагольский район, пгт.Спасск, ул.Дворцовая,22</t>
  </si>
  <si>
    <t>Кемеровская область, Таштагольский район, пгт.Спасск, ул.Дворцовая,24</t>
  </si>
  <si>
    <t>42:12:0114005:265</t>
  </si>
  <si>
    <t>42:12:0114005:262</t>
  </si>
  <si>
    <t>42:12:0114005:263</t>
  </si>
  <si>
    <t>Кемеровская область, Таштагольский район, пгт.Спасск, ул.Дворцовая,28</t>
  </si>
  <si>
    <t>Кемеровская область, Таштагольский район, пгт.Спасск, ул.Дворцовая,30</t>
  </si>
  <si>
    <t>42:12:0114005:266</t>
  </si>
  <si>
    <t xml:space="preserve">В арендном пользовании ГБУ  Кемеровской области " Таштагольская станция по борьбе с болезнями животных" 
</t>
  </si>
  <si>
    <t>1.2.157.21</t>
  </si>
  <si>
    <t>В аренде регионального операционного офиса "Кузбасский" Банк ВТБ 24 (ПАО)</t>
  </si>
  <si>
    <t xml:space="preserve">2-х этажное кирпичное здание,1-но этажный пристрой </t>
  </si>
  <si>
    <t>В аренде ООО "Корсар"</t>
  </si>
  <si>
    <t xml:space="preserve">В аренде ООО "Таштагольская управляющая компания" </t>
  </si>
  <si>
    <t>Таштагольский район, п.Темиртау ул. Центральная, д,35</t>
  </si>
  <si>
    <t>1.1.52.39</t>
  </si>
  <si>
    <t>5-ти этажный, кирпичный (подвал)</t>
  </si>
  <si>
    <t>3-х этажное, кирпичное  (с цокольным этажом)</t>
  </si>
  <si>
    <t>3-х этажное, кирпичное  (с цокольным этажом)-цокол. этаж</t>
  </si>
  <si>
    <t>3-х этажное, кирпичное  (с цокольным этажом)-цокол. этаж,торговое</t>
  </si>
  <si>
    <t xml:space="preserve">3-х этажное, кирпичное  (с цокольным этажом) -1 этаж </t>
  </si>
  <si>
    <t>3-х этажное, кирпичное  (с цокольным этажом)- цокол. этаж</t>
  </si>
  <si>
    <t>3-х этажное, кирпичное  (с цокольным этажом)-2 этаж, офис</t>
  </si>
  <si>
    <t>3-х этажное, кирпичное  (с цокольным этажом) -3 этаж</t>
  </si>
  <si>
    <t>3-х этажное, кирпичное  (с цокольным этажом) -2 этаж</t>
  </si>
  <si>
    <t>3-х этажное, кирпичное  (с цокольным этажом)- 2 этаж</t>
  </si>
  <si>
    <t>3-х этажное, кирпичное  (с цокольным этажом) -2 этаж, стоматология</t>
  </si>
  <si>
    <t>1.4.26.1062</t>
  </si>
  <si>
    <t>42:12:0102015:1389</t>
  </si>
  <si>
    <t>1.4.26.1063</t>
  </si>
  <si>
    <t>42:12:0102015:1388</t>
  </si>
  <si>
    <t>1.4.26.1068</t>
  </si>
  <si>
    <t>42:12:0102015:1403</t>
  </si>
  <si>
    <t>1.4.26.1071</t>
  </si>
  <si>
    <t>42:12:0102015:1401</t>
  </si>
  <si>
    <t>В оперативном управлении  МБУ  «Губернский центр горнолыжного спорта и сноуборда»</t>
  </si>
  <si>
    <t>В оперативном управлении МБУ ДО "Детско-юношеская спортивная школа бокса Ю.С.Айларова"</t>
  </si>
  <si>
    <t>42:12:0101001:238</t>
  </si>
  <si>
    <t>В оперативном управлении МБУ ДО  "Специализированная детско-юношеская спортивная школа Олимпийского резерва по сноуборду"</t>
  </si>
  <si>
    <t>1.4.106</t>
  </si>
  <si>
    <t>1.4.107</t>
  </si>
  <si>
    <t xml:space="preserve">42:34:0101042:432 </t>
  </si>
  <si>
    <t>42:12:0102015:1393</t>
  </si>
  <si>
    <t>1.4.26.1072</t>
  </si>
  <si>
    <t>Земельный участок, разрешенное использование: сооружение линейное электротехническое:ЛЭП-6кВ (двухцепная),от проектируемого ЦРП-6кВ "Весенняя" до ТП- "4-ключ", в пгт. Шерегеш</t>
  </si>
  <si>
    <t>42:12:0102006:1511</t>
  </si>
  <si>
    <t>1.4.26.1074</t>
  </si>
  <si>
    <t>1.4.26.1075</t>
  </si>
  <si>
    <t>1.4.26.1078</t>
  </si>
  <si>
    <t>1.4.26.1083</t>
  </si>
  <si>
    <t>1.4.26.1084</t>
  </si>
  <si>
    <t>1.4.26.1085</t>
  </si>
  <si>
    <t>1.4.26.1086</t>
  </si>
  <si>
    <t>1.4.26.1087</t>
  </si>
  <si>
    <t>1.4.26.1088</t>
  </si>
  <si>
    <t>1.4.26.1089</t>
  </si>
  <si>
    <t>1.4.26.1090</t>
  </si>
  <si>
    <t>1.4.26.1091</t>
  </si>
  <si>
    <t>42:12:0102015:1405</t>
  </si>
  <si>
    <t>42:12:0102015:1406</t>
  </si>
  <si>
    <t>42:12:0102015:1409</t>
  </si>
  <si>
    <t>42:12:0102015:1414</t>
  </si>
  <si>
    <t>42:12:0102015:1415</t>
  </si>
  <si>
    <t>42:12:0102015:1416</t>
  </si>
  <si>
    <t>42:12:0102015:1417</t>
  </si>
  <si>
    <t>1.1.617.2</t>
  </si>
  <si>
    <t>В арендном пользовании ООО «Клаксон»</t>
  </si>
  <si>
    <t>В аренде  Калядиной М.Д.</t>
  </si>
  <si>
    <t>Договор аренды от 07.11.2016 г. №133  (05.11.2017 г.)</t>
  </si>
  <si>
    <t>42:12:0114002:2055</t>
  </si>
  <si>
    <t xml:space="preserve">В безвоз. пользов.  МБУЗ "Таштагольская Центральная районная больница"  </t>
  </si>
  <si>
    <t>1.2.193.1</t>
  </si>
  <si>
    <t xml:space="preserve">Муниципальное бюджетное учреждение Спортивный комплекс «Дельфин» </t>
  </si>
  <si>
    <t>Кемеровская область, Таштагольский район, рп.Каз, ул. Победы,8-А</t>
  </si>
  <si>
    <t xml:space="preserve">Муниципальное бюджетное учреждение «Губернский центр горнолыжного спорта и сноуборда» </t>
  </si>
  <si>
    <t>1.4.108</t>
  </si>
  <si>
    <t xml:space="preserve">42:34:0101041:193 </t>
  </si>
  <si>
    <t>Кемеровская область, г.Таштагол, ул.Ленина,21а</t>
  </si>
  <si>
    <t>Кемеровская область,г. Таштагол, ул.Поспелова,16</t>
  </si>
  <si>
    <t>Кемеровская область, г.Таштагол, ул.Ноградская</t>
  </si>
  <si>
    <t>Кемеровская область,г. Таштагол, по  ул. Ленина</t>
  </si>
  <si>
    <t xml:space="preserve">Кемеровская область, г.Таштагол, от диспетчерской АТП до ул.Ленина,дом 84 </t>
  </si>
  <si>
    <t xml:space="preserve">Кемеровская область,г.Таштагол, от поликлиники до узла связи, пешеходный мост у горбольницы, Площадь Победы
</t>
  </si>
  <si>
    <t xml:space="preserve">Кемеровская область, г. Таштагол, ул. Ленина, 17,19, пешеходный мост у Площади Победы ,Площадь Победы
</t>
  </si>
  <si>
    <t>Кемеровская область, г. Таштагол, ул. Ленина,дом 19, до АТП КТП-28</t>
  </si>
  <si>
    <t>Кемеровская область, г. Таштагол, от  ул. Ленина,1 до ул. Калинина,14</t>
  </si>
  <si>
    <t>Кемеровская область, г. Таштагол, по ул.Поспелова</t>
  </si>
  <si>
    <t>Кемеровская область, г. Таштагол,  по ул.Поспелова,21</t>
  </si>
  <si>
    <t xml:space="preserve">Кемеровская область, г. Таштагол, сквер Баляева, остановка «Поспелова»,ул. Поспелова,21,27,29 (вокруг школы №9, кроме хоккейной коробки) 
</t>
  </si>
  <si>
    <t>Кемеровская область, г.Таштагол, Усть-Шалым, Парк Тунекова ТП-22</t>
  </si>
  <si>
    <t>Кемеровская область, г. Таштагол (Шалым)</t>
  </si>
  <si>
    <t xml:space="preserve">В оперативном управлении МБДОУ детский сад  №2 «Солнышко»     </t>
  </si>
  <si>
    <t>В оперативном управлении МБУ  «Губернский центр горнолыжного спорта и сноуборда»</t>
  </si>
  <si>
    <t>1.1.539.5</t>
  </si>
  <si>
    <t>42:12:0105002:3026</t>
  </si>
  <si>
    <t>В безвоз. польз. муниц. бюджет. учреждения дополнит. образования «Станция детского и юношеского туризма и экскурсий»</t>
  </si>
  <si>
    <t>1.1.841.24</t>
  </si>
  <si>
    <t>42:34:0114008:163</t>
  </si>
  <si>
    <t>1.1.839.18</t>
  </si>
  <si>
    <t>42:12:0106002:4347</t>
  </si>
  <si>
    <t>1.4.111</t>
  </si>
  <si>
    <t>42:12:0106002:4385</t>
  </si>
  <si>
    <t xml:space="preserve">Кемеровская область, г.Таштагол, ул.Геологическая </t>
  </si>
  <si>
    <t xml:space="preserve">Кемеровская область, г.Таштагол, ул.Партизанская </t>
  </si>
  <si>
    <t xml:space="preserve">Кемеровская область,  г.Таштагол, ул.Ноградская </t>
  </si>
  <si>
    <t xml:space="preserve">В оперативном управлении  МБДОУ детский сад №14 «Аленушка» </t>
  </si>
  <si>
    <t>2017</t>
  </si>
  <si>
    <t xml:space="preserve">В безвоз. польз.   МБУЗ "Таштагольская Центральная районная больница"  </t>
  </si>
  <si>
    <t>Буксировочная канатная дорога БКД-49</t>
  </si>
  <si>
    <t>протяж. 504 м</t>
  </si>
  <si>
    <t>Кемеровская область, г.Таштагол, гора Холодная</t>
  </si>
  <si>
    <t>Тип БКД-39/1</t>
  </si>
  <si>
    <t>1.4.112</t>
  </si>
  <si>
    <t>Земельный участок, разрешенное использование: под бойлерную</t>
  </si>
  <si>
    <t>42:12:0102002:33</t>
  </si>
  <si>
    <t>Земельный участок, разрешенное использование: под котельную новой промышленной площадки</t>
  </si>
  <si>
    <t>42:12:0102001:87</t>
  </si>
  <si>
    <t>Земельный участок, разрешенное использование: под котельную старого поселка</t>
  </si>
  <si>
    <t>42:12:0102007:18</t>
  </si>
  <si>
    <t>42:12:0102001:70</t>
  </si>
  <si>
    <t>1.4.113</t>
  </si>
  <si>
    <t>1.4.114</t>
  </si>
  <si>
    <t>1.4.115</t>
  </si>
  <si>
    <t>1.4.116</t>
  </si>
  <si>
    <t>МБУ  «Губернский центр горнолыжного спорта и сноуборда»</t>
  </si>
  <si>
    <t>1.2.180.2</t>
  </si>
  <si>
    <t>Объект недвижимости</t>
  </si>
  <si>
    <t xml:space="preserve"> 2-х этажное, кирпичное (розничная торговля)</t>
  </si>
  <si>
    <t>ИП Казанцев А.О.</t>
  </si>
  <si>
    <t>1.3.34.1</t>
  </si>
  <si>
    <t xml:space="preserve">3 этаж </t>
  </si>
  <si>
    <t>1.1.844</t>
  </si>
  <si>
    <t xml:space="preserve">42:34:0102012:31 </t>
  </si>
  <si>
    <t xml:space="preserve">одноэтажное, из прочих материалов </t>
  </si>
  <si>
    <t>специализ. жилищный фонд</t>
  </si>
  <si>
    <t>В оперативном управлении Админ. Каз. город. поселения,ул. Победы,6</t>
  </si>
  <si>
    <t xml:space="preserve">В безвозмезд. пользов. МБОУ ДО «Детско-юношеская спортивная школа бокса Ю.С.Айларова» </t>
  </si>
  <si>
    <t>1.2.40.5.10</t>
  </si>
  <si>
    <t>1.2.40.5.11</t>
  </si>
  <si>
    <t xml:space="preserve">42:34:0106003:526 </t>
  </si>
  <si>
    <t>42:34:0106003:523  (S=162,2 кв.м)</t>
  </si>
  <si>
    <t>42:12:0102002:1986</t>
  </si>
  <si>
    <t>Земельный участок, разрешенное использование: для использования в целях под теплотрассу</t>
  </si>
  <si>
    <t>42:12:0000000:135</t>
  </si>
  <si>
    <t>1.4.117</t>
  </si>
  <si>
    <t>Земельный участок, разрешенное использование: под спортивные сооружения</t>
  </si>
  <si>
    <t>42:34:0107002:3</t>
  </si>
  <si>
    <t>42:34:0106002:46</t>
  </si>
  <si>
    <t xml:space="preserve">Кемеровская область, Таштагольский район, пгт.Спасск, ул.Увальная,50/1 </t>
  </si>
  <si>
    <t xml:space="preserve">42:12:0114002:2058 </t>
  </si>
  <si>
    <t>В безвоз. польз. Управления ЗАГС Кемеровской области</t>
  </si>
  <si>
    <t>1.3.163.1</t>
  </si>
  <si>
    <t>1.3.163.2</t>
  </si>
  <si>
    <t>1.3.176.1</t>
  </si>
  <si>
    <t>1.3.193.1</t>
  </si>
  <si>
    <t>1.3.193.2</t>
  </si>
  <si>
    <t>1.3.193.3</t>
  </si>
  <si>
    <t>1.3.193.4</t>
  </si>
  <si>
    <t>1.3.196.1</t>
  </si>
  <si>
    <t>1.3.204.1</t>
  </si>
  <si>
    <t>1.3.204.2</t>
  </si>
  <si>
    <t>1.3.208.1</t>
  </si>
  <si>
    <t>1.3.208.2</t>
  </si>
  <si>
    <t>1.3.214</t>
  </si>
  <si>
    <t xml:space="preserve">42:12:0105002:1990 </t>
  </si>
  <si>
    <t>1.4.26.1097</t>
  </si>
  <si>
    <t>Земельный участок  для использования : размещение линии электропередач</t>
  </si>
  <si>
    <t>Россия, Кемеровская область,  Таштагольский район, пгт. Шерегеш</t>
  </si>
  <si>
    <t>Россия, Кемеровская область,  Таштагольский район, пгт. Шерегеш, ул. Строителей,71</t>
  </si>
  <si>
    <t>Россия, Кемеровская область,  Таштагольский район, пгт. Шерегеш, ул. Строителей,65</t>
  </si>
  <si>
    <t>Россия, Кемеровская область,  Таштагольский район, пгт. Шерегеш, ул. Шахтеров,161</t>
  </si>
  <si>
    <t>Россия, Кемеровская область,  Таштагольский район, пгт. Шерегеш, ул. Шахтеров,163</t>
  </si>
  <si>
    <t>Россия, Кемеровская область,  Таштагольский район, пгт. Шерегеш, ул. Шахтеров,167</t>
  </si>
  <si>
    <t>Россия, Кемеровская область,  Таштагольский район, пгт. Шерегеш, ул. Шахтеров,168</t>
  </si>
  <si>
    <t>Россия, Кемеровская область,  Таштагольский район, пгт. Шерегеш, ул. Шахтеров,169</t>
  </si>
  <si>
    <t>Россия, Кемеровская область,  Таштагольский район, пгт.Шерегеш, ул. Шахтеров,170</t>
  </si>
  <si>
    <t>Россия, Кемеровская область,  Таштагольский район, пгт. Шерегеш, ул. Шахтеров,171</t>
  </si>
  <si>
    <t>Россия, Кемеровская область,  Таштагольский район, пгт. Шерегеш, ул. Шахтеров,172</t>
  </si>
  <si>
    <t>Россия, Кемеровская область,  Таштагольский район, пгт. Шерегеш, ул. Шахтеров,174</t>
  </si>
  <si>
    <t>Россия, Кемеровская область,  Таштагольский район, пгт. Шерегеш, ул. Шахтеров,175</t>
  </si>
  <si>
    <t>Россия, Кемеровская область,  Таштагольский район, пгт. Шерегеш, ул. Шахтеров,176</t>
  </si>
  <si>
    <t>Россия, Кемеровская область,  Таштагольский район, пгт. Шерегеш, ул. Шахтеров,177</t>
  </si>
  <si>
    <t>Россия, Кемеровская область,  Таштагольский район, пгт. Шерегеш, ул. Шахтеров,178</t>
  </si>
  <si>
    <t>Россия, Кемеровская область,  Таштагольский район, пгт.Шерегеш, ул. Шахтеров,179</t>
  </si>
  <si>
    <t>Россия, Кемеровская область,  Таштагольский район, пгт. Шерегеш, ул. Шахтеров,195</t>
  </si>
  <si>
    <t>Россия, Кемеровская область,  Таштагольский район, пгт. Шерегеш, ул. Шахтеров,197</t>
  </si>
  <si>
    <t>Россия, Кемеровская область,  Таштагольский район, пгт. Шерегеш, ул. Шахтеров,199</t>
  </si>
  <si>
    <t>Россия, Кемеровская область,  Таштагольский район, пгт. Шерегеш, ул. Шахтеров,200</t>
  </si>
  <si>
    <t>Россия, Кемеровская область,  Таштагольский район, пгт. Шерегеш, ул. Строителей,94</t>
  </si>
  <si>
    <t>Россия, Кемеровская область,  Таштагольский район, пгт. Шерегеш, ул. Строителей,95</t>
  </si>
  <si>
    <t>Россия, Кемеровская область,  Таштагольский район, пгт. Шерегеш, ул. Строителей,97</t>
  </si>
  <si>
    <t>Россия, Кемеровская область,  Таштагольский район, пгт.Шерегеш, ул. Строителей,101</t>
  </si>
  <si>
    <t>Россия, Кемеровская область,  Таштагольский район, пгт. Шерегеш, ул. Строителей,102</t>
  </si>
  <si>
    <t>Россия, Кемеровская область,  Таштагольский район, пгт. Шерегеш, ул. Строителей,127</t>
  </si>
  <si>
    <t>Россия, Кемеровская область,  Таштагольский район, пгт. Шерегеш, ул. Строителей,129</t>
  </si>
  <si>
    <t>Россия, Кемеровская область,  Таштагольский район, пгт. Шерегеш, ул. Строителей,137</t>
  </si>
  <si>
    <t>Россия, Кемеровская область,  Таштагольский район, пгт. Шерегеш, ул. Строителей,141</t>
  </si>
  <si>
    <t>Россия, Кемеровская область,  Таштагольский район, пгт. Шерегеш, ул. Строителей,149</t>
  </si>
  <si>
    <t>Россия, Кемеровская область,  Таштагольский район, пгт. Шерегеш, ул. Строителей,5</t>
  </si>
  <si>
    <t>Россия, Кемеровская область,  Таштагольский район, пгт. Шерегеш, ул. Строителей,11</t>
  </si>
  <si>
    <t>Россия, Кемеровская область,  Таштагольский район, пгт. Шерегеш, ул. Строителей,13</t>
  </si>
  <si>
    <t>Россия, Кемеровская область,  Таштагольский район, пгт. Шерегеш, ул. Строителей,15</t>
  </si>
  <si>
    <t>Россия, Кемеровская область,  Таштагольский район, пгт. Шерегеш, ул. Строителей,119</t>
  </si>
  <si>
    <t>Россия, Кемеровская область,  Таштагольский район, пгт. Шерегеш, ул. Свободная,48</t>
  </si>
  <si>
    <t>Россия, Кемеровская область,  Таштагольский район, пгт. Шерегеш, ул. Свободная,50</t>
  </si>
  <si>
    <t>Россия, Кемеровская область,  Таштагольский район, пгт. Шерегеш, ул. Свободная,52</t>
  </si>
  <si>
    <t>Россия, Кемеровская область,  Таштагольский район, пгт. Шерегеш, ул. Свободная,54</t>
  </si>
  <si>
    <t>Россия, Кемеровская область,  Таштагольский район, пгт. Шерегеш, ул. Свободная,56</t>
  </si>
  <si>
    <t>Россия, Кемеровская область,  Таштагольский район, пгт. Шерегеш, ул. Свободная,64</t>
  </si>
  <si>
    <t>Россия, Кемеровская область,  Таштагольский район, пгт. Шерегеш, ул. Свободная,66</t>
  </si>
  <si>
    <t>Россия, Кемеровская область,  Таштагольский район, пгт. Шерегеш, ул. Строителей,88</t>
  </si>
  <si>
    <t>Россия, Кемеровская область,  Таштагольский район, пгт.Шерегеш, ул. Строителей,125</t>
  </si>
  <si>
    <t>Россия, Кемеровская область,  Таштагольский район, пгт. Шерегеш, ул. Строителей,40</t>
  </si>
  <si>
    <t>Россия, Кемеровская область,  Таштагольский район, пгт. Шерегеш, ул. Строителей,45</t>
  </si>
  <si>
    <t>Россия, Кемеровская область,  Таштагольский район, пгт. Шерегеш, ул. Строителей,47</t>
  </si>
  <si>
    <t>Россия, Кемеровская область,  Таштагольский район, пгт. Шерегеш, ул. Шахтеров,1</t>
  </si>
  <si>
    <t>Россия, Кемеровская область,  Таштагольский район, пгт. Шерегеш, ул. Шахтеров,2</t>
  </si>
  <si>
    <t>Россия, Кемеровская область,  Таштагольский район, пгт. Шерегеш, ул. Шахтеров,4</t>
  </si>
  <si>
    <t>Россия, Кемеровская область,  Таштагольский район, пгт. Шерегеш, ул. Шахтеров,6</t>
  </si>
  <si>
    <t>Россия, Кемеровская область,  Таштагольский район, пгт. Шерегеш, ул. Шахтеров,7</t>
  </si>
  <si>
    <t>Россия, Кемеровская область,  Таштагольский район, пгт. Шерегеш, ул. Шахтеров,9</t>
  </si>
  <si>
    <t>Россия, Кемеровская область,  Таштагольский район, пгт. Шерегеш, ул. Шахтеров,10</t>
  </si>
  <si>
    <t>Россия, Кемеровская область,  Таштагольский район, пгт. Шерегеш, ул. Шахтеров,13</t>
  </si>
  <si>
    <t>Россия, Кемеровская область,  Таштагольский район, пгт. Шерегеш, ул. Шахтеров,15</t>
  </si>
  <si>
    <t>Россия, Кемеровская область,  Таштагольский район, пгт. Шерегеш, ул. Шахтеров,16</t>
  </si>
  <si>
    <t>Россия, Кемеровская область,  Таштагольский район, пгт. Шерегеш, ул. Шахтеров,17</t>
  </si>
  <si>
    <t>Россия, Кемеровская область,  Таштагольский район, пгт. Шерегеш, ул. Шахтеров,18</t>
  </si>
  <si>
    <t>Россия, Кемеровская область,  Таштагольский район, пгт. Шерегеш, ул. Шахтеров,19</t>
  </si>
  <si>
    <t>Россия, Кемеровская область,  Таштагольский район, пгт. Шерегеш, ул. Шахтеров,117</t>
  </si>
  <si>
    <t>Россия, Кемеровская область,  Таштагольский район, пгт. Шерегеш, ул. Строителей,35</t>
  </si>
  <si>
    <t>Россия, Кемеровская область,  Таштагольский район, пгт. Шерегеш, ул. Свободная,80</t>
  </si>
  <si>
    <t>Россия, Кемеровская область,  Таштагольский район, пгт. Шерегеш, ул. Свободная,82</t>
  </si>
  <si>
    <t>Россия, Кемеровская область,  Таштагольский район, пгт. Шерегеш, ул. Свободная,84</t>
  </si>
  <si>
    <t>Россия, Кемеровская область,  Таштагольский район, пгт. Шерегеш, ул.Строителей,16</t>
  </si>
  <si>
    <t>Россия, Кемеровская область,  Таштагольский район, пгт. Шерегеш, ул. Шахтеров,131</t>
  </si>
  <si>
    <t>Россия, Кемеровская область,  Таштагольский район, пгт. Шерегеш, ул. Шахтеров,146</t>
  </si>
  <si>
    <t>Россия, Кемеровская область,  Таштагольский район, пгт. Шерегеш, ул. Свободная,88</t>
  </si>
  <si>
    <t>Россия, Кемеровская область,  Таштагольский район, пгт. Шерегеш, ул. Свободная,90</t>
  </si>
  <si>
    <t>Россия, Кемеровская область,  Таштагольский район, пгт. Шерегеш, ул. Свободная,92</t>
  </si>
  <si>
    <t>Россия, Кемеровская область,  Таштагольский район, пгт. Шерегеш, ул.Строителей,17</t>
  </si>
  <si>
    <t>Россия, Кемеровская область,  Таштагольский район, пгт. Шерегеш, ул.Строителей,56</t>
  </si>
  <si>
    <t>Россия, Кемеровская область,  Таштагольский район, пгт. Шерегеш, ул.Строителей,79</t>
  </si>
  <si>
    <t>Россия, Кемеровская область,  Таштагольский район, пгт. Шерегеш, ул.Строителей,123</t>
  </si>
  <si>
    <t>Россия, Кемеровская область,  Таштагольский район, пгт. Шерегеш, ул. Шахтеров,29</t>
  </si>
  <si>
    <t>Россия, Кемеровская область,  Таштагольский район, пгт. Шерегеш, ул. Шахтеров,77</t>
  </si>
  <si>
    <t>Россия, Кемеровская область,  Таштагольский район, пгт. Шерегеш, ул.Строителей,64</t>
  </si>
  <si>
    <t>Россия, Кемеровская область,  Таштагольский район, пгт. Шерегеш, ул.Строителей,86</t>
  </si>
  <si>
    <t>Россия, Кемеровская область,  Таштагольский район, пгт. Шерегеш, ул.Строителей,111</t>
  </si>
  <si>
    <t>Россия, Кемеровская область,  Таштагольский район, пгт. Шерегеш, ул. Свободная,74</t>
  </si>
  <si>
    <t>Россия, Кемеровская область,  Таштагольский район, пгт. Шерегеш, ул. Свободная,76</t>
  </si>
  <si>
    <t>Россия, Кемеровская область,  Таштагольский район, пгт. Шерегеш, ул. Свободная,78</t>
  </si>
  <si>
    <t>Россия, Кемеровская область,  Таштагольский район, пгт. Шерегеш, ул. Шахтеров,22</t>
  </si>
  <si>
    <t>Россия, Кемеровская область,  Таштагольский район, пгт. Шерегеш, ул. Шахтеров,24</t>
  </si>
  <si>
    <t>Россия, Кемеровская область,  Таштагольский район, пгт. Шерегеш, ул. Шахтеров,25</t>
  </si>
  <si>
    <t>Россия, Кемеровская область,  Таштагольский район, пгт. Шерегеш, ул. Шахтеров,27</t>
  </si>
  <si>
    <t>Россия, Кемеровская область,  Таштагольский район, пгт. Шерегеш, ул. Шахтеров,28</t>
  </si>
  <si>
    <t>Россия, Кемеровская область,  Таштагольский район, пгт. Шерегеш, ул. Шахтеров,30</t>
  </si>
  <si>
    <t>Россия, Кемеровская область,  Таштагольский район, пгт. Шерегеш, ул. Шахтеров,34</t>
  </si>
  <si>
    <t>Россия, Кемеровская область,  Таштагольский район, пгт. Шерегеш, ул. Шахтеров,36</t>
  </si>
  <si>
    <t>Россия, Кемеровская область,  Таштагольский район, пгт. Шерегеш, ул. Шахтеров,38</t>
  </si>
  <si>
    <t>Россия, Кемеровская область,  Таштагольский район, пгт. Шерегеш, ул. Шахтеров,50</t>
  </si>
  <si>
    <t>Россия, Кемеровская область,  Таштагольский район, пгт. Шерегеш, ул. Шахтеров,60</t>
  </si>
  <si>
    <t>Россия, Кемеровская область,  Таштагольский район, пгт. Шерегеш, ул. Шахтеров,83</t>
  </si>
  <si>
    <t>Россия, Кемеровская область,  Таштагольский район, пгт. Шерегеш, ул.Строителей,38</t>
  </si>
  <si>
    <t>Россия, Кемеровская область,  Таштагольский район, пгт. Шерегеш, ул.Строителей,55</t>
  </si>
  <si>
    <t>Россия, Кемеровская область,  Таштагольский район, пгт. Шерегеш, ул.Строителей,61</t>
  </si>
  <si>
    <t>Россия, Кемеровская область,  Таштагольский район, пгт. Шерегеш, ул.Строителей,89</t>
  </si>
  <si>
    <t>Россия, Кемеровская область,  Таштагольский район, пгт. Шерегеш, ул.Строителей,6</t>
  </si>
  <si>
    <t>Россия, Кемеровская область,  Таштагольский район, пгт. Шерегеш, ул.Строителей,58</t>
  </si>
  <si>
    <t>Россия, Кемеровская область,  Таштагольский район, пгт. Шерегеш, ул.Строителей,78</t>
  </si>
  <si>
    <t>Россия, Кемеровская область,  Таштагольский район, пгт. Шерегеш, ул.Строителей,98</t>
  </si>
  <si>
    <t>Россия, Кемеровская область,  Таштагольский район, пгт. Шерегеш, ул.Строителей,109</t>
  </si>
  <si>
    <t>Россия, Кемеровская область,  Таштагольский район, пгт. Шерегеш, ул.Строителей,117</t>
  </si>
  <si>
    <t>Россия, Кемеровская область,  Таштагольский район, пгт. Шерегеш, ул.Строителей,145</t>
  </si>
  <si>
    <t>Россия, Кемеровская область,  Таштагольский район, пгт. Шерегеш, ул. Шахтеров,73</t>
  </si>
  <si>
    <t>Россия, Кемеровская область,  Таштагольский район, пгт. Шерегеш, ул.Строителей,23</t>
  </si>
  <si>
    <t>Россия, Кемеровская область,  Таштагольский район, пгт. Шерегеш, ул. Шахтеров,99</t>
  </si>
  <si>
    <t>Россия, Кемеровская область,  Таштагольский район, пгт. Шерегеш, ул. Шахтеров,151</t>
  </si>
  <si>
    <t>Россия, Кемеровская область,  Таштагольский район, пгт. Шерегеш, ул. Шахтеров,35</t>
  </si>
  <si>
    <t>Россия, Кемеровская область,  Таштагольский район, пгт. Шерегеш, ул. Шахтеров,37</t>
  </si>
  <si>
    <t>Россия, Кемеровская область,  Таштагольский район, пгт. Шерегеш, ул. Шахтеров,46</t>
  </si>
  <si>
    <t>Россия, Кемеровская область,  Таштагольский район, пгт. Шерегеш, ул. Шахтеров,48</t>
  </si>
  <si>
    <t>Россия, Кемеровская область,  Таштагольский район, пгт. Шерегеш, ул. Шахтеров,67</t>
  </si>
  <si>
    <t>Россия, Кемеровская область,  Таштагольский район, пгт. Шерегеш, ул. Шахтеров,68</t>
  </si>
  <si>
    <t>Россия, Кемеровская область,  Таштагольский район, пгт. Шерегеш, ул. Шахтеров,85</t>
  </si>
  <si>
    <t>Россия, Кемеровская область,  Таштагольский район, пгт. Шерегеш, ул. Шахтеров,125</t>
  </si>
  <si>
    <t>Россия, Кемеровская область,  Таштагольский район, пгт. Шерегеш, ул. Шахтеров,126</t>
  </si>
  <si>
    <t>Россия, Кемеровская область,  Таштагольский район, пгт. Шерегеш, ул. Шахтеров,128</t>
  </si>
  <si>
    <t>Россия, Кемеровская область,  Таштагольский район, пгт. Шерегеш, ул. Шахтеров,141</t>
  </si>
  <si>
    <t>Россия, Кемеровская область,  Таштагольский район, пгт. Шерегеш, ул. Шахтеров,144</t>
  </si>
  <si>
    <t>Россия, Кемеровская область,  Таштагольский район, пгт. Шерегеш, ул. Шахтеров,152</t>
  </si>
  <si>
    <t>Россия, Кемеровская область,  Таштагольский район, пгт. Шерегеш, ул. Шахтеров,160</t>
  </si>
  <si>
    <t>Россия, Кемеровская область,  Таштагольский район, пгт. Шерегеш, ул.Строителей,91</t>
  </si>
  <si>
    <t>Россия, Кемеровская область,  Таштагольский район, пгт. Шерегеш, ул. Шахтеров,116</t>
  </si>
  <si>
    <t>Россия, Кемеровская область,  Таштагольский район, пгт. Шерегеш, ул. Шахтеров,118</t>
  </si>
  <si>
    <t>Россия, Кемеровская область,  Таштагольский район, пгт. Шерегеш, ул. Шахтеров,120</t>
  </si>
  <si>
    <t>Россия, Кемеровская область,  Таштагольский район, пгт. Шерегеш, ул. Шахтеров,138</t>
  </si>
  <si>
    <t>Россия, Кемеровская область,  Таштагольский район, пгт. Шерегеш, ул. Славянская,62</t>
  </si>
  <si>
    <t>Россия, Кемеровская область,  Таштагольский район, пгт. Шерегеш, ул. Славянская,67</t>
  </si>
  <si>
    <t>Россия, Кемеровская область,  Таштагольский район, пгт. Шерегеш, ул. Славянская,69</t>
  </si>
  <si>
    <t>Россия, Кемеровская область,  Таштагольский район, пгт. Шерегеш, ул. Славянская,71</t>
  </si>
  <si>
    <t>Россия, Кемеровская область,  Таштагольский район, пгт. Шерегеш, ул. Славянская,76</t>
  </si>
  <si>
    <t>Россия, Кемеровская область,  Таштагольский район, пгт. Шерегеш, ул. Славянская,80</t>
  </si>
  <si>
    <t>Россия, Кемеровская область,  Таштагольский район, пгт. Шерегеш, ул. Ледовая,9</t>
  </si>
  <si>
    <t>Россия, Кемеровская область,  Таштагольский район, пгт. Шерегеш, ул. Ледовая,11</t>
  </si>
  <si>
    <t>Россия, Кемеровская область,  Таштагольский район, пгт. Шерегеш, ул. Ледовая,17</t>
  </si>
  <si>
    <t>Россия, Кемеровская область,  Таштагольский район, пгт. Шерегеш, ул. Ледовая,21</t>
  </si>
  <si>
    <t>Россия, Кемеровская область,  Таштагольский район, пгт. Шерегеш, ул. Ледовая,22</t>
  </si>
  <si>
    <t>Россия, Кемеровская область,  Таштагольский район, пгт. Шерегеш, ул. Ледовая,23</t>
  </si>
  <si>
    <t>Россия, Кемеровская область,  Таштагольский район, пгт. Шерегеш, ул. Ледовая,26</t>
  </si>
  <si>
    <t>Россия, Кемеровская область,  Таштагольский район, пгт. Шерегеш, ул. Ледовая,35</t>
  </si>
  <si>
    <t>Россия, Кемеровская область,  Таштагольский район, пгт. Шерегеш, ул. Ледовая,37</t>
  </si>
  <si>
    <t>Россия, Кемеровская область,  Таштагольский район, пгт. Шерегеш, ул. Ледовая,39</t>
  </si>
  <si>
    <t>Россия, Кемеровская область,  Таштагольский район, пгт. Шерегеш, ул. Рябиновая,9</t>
  </si>
  <si>
    <t>Россия, Кемеровская область,  Таштагольский район, пгт. Шерегеш, ул. Рябиновая,10</t>
  </si>
  <si>
    <t>Россия, Кемеровская область,  Таштагольский район, пгт. Шерегеш, ул. Рябиновая,11</t>
  </si>
  <si>
    <t>Россия, Кемеровская область,  Таштагольский район, пгт. Шерегеш, ул. Рябиновая,13</t>
  </si>
  <si>
    <t>Россия, Кемеровская область,  Таштагольский район, пгт. Шерегеш, ул. Рябиновая,18</t>
  </si>
  <si>
    <t>Россия, Кемеровская область,  Таштагольский район, пгт. Шерегеш, ул. Рябиновая,20</t>
  </si>
  <si>
    <t>Россия, Кемеровская область,  Таштагольский район, пгт. Шерегеш, ул. Ледовая,42</t>
  </si>
  <si>
    <t>Россия, Кемеровская область,  Таштагольский район, пгт. Шерегеш, ул. Ледовая,44</t>
  </si>
  <si>
    <t>Россия, Кемеровская область,  Таштагольский район, пгт. Шерегеш, ул. Ледовая,47</t>
  </si>
  <si>
    <t>Россия, Кемеровская область,  Таштагольский район, пгт. Шерегеш, ул. Ледовая,48</t>
  </si>
  <si>
    <t>Россия, Кемеровская область,  Таштагольский район, пгт. Шерегеш, ул. Ледовая,63</t>
  </si>
  <si>
    <t>Россия, Кемеровская область,  Таштагольский район, пгт. Шерегеш, ул. Ледовая,65</t>
  </si>
  <si>
    <t>Россия, Кемеровская область,  Таштагольский район, пгт. Шерегеш, ул. Ледовая,66</t>
  </si>
  <si>
    <t>Россия, Кемеровская область,  Таштагольский район, пгт. Шерегеш, ул. Ледовая,67</t>
  </si>
  <si>
    <t>Россия, Кемеровская область,  Таштагольский район, пгт. Шерегеш, ул. Ледовая,68</t>
  </si>
  <si>
    <t>Россия, Кемеровская область,  Таштагольский район, пгт. Шерегеш, ул. Ледовая,69</t>
  </si>
  <si>
    <t>Россия, Кемеровская область,  Таштагольский район, пгт. Шерегеш, ул. Ледовая,70</t>
  </si>
  <si>
    <t>Россия, Кемеровская область,  Таштагольский район, пгт. Шерегеш, ул. Ледовая,71</t>
  </si>
  <si>
    <t>Россия, Кемеровская область,  Таштагольский район, пгт. Шерегеш, ул. Цветочная,41</t>
  </si>
  <si>
    <t>Россия, Кемеровская область,  Таштагольский район, пгт. Шерегеш, ул. Славянская,105</t>
  </si>
  <si>
    <t>Россия, Кемеровская область,  Таштагольский район, пгт. Шерегеш, ул. Славянская,106</t>
  </si>
  <si>
    <t>Россия, Кемеровская область,  Таштагольский район, пгт. Шерегеш, ул. Славянская,108</t>
  </si>
  <si>
    <t>Россия, Кемеровская область,  Таштагольский район, пгт. Шерегеш, ул. Славянская,110</t>
  </si>
  <si>
    <t>Россия, Кемеровская область,  Таштагольский район, пгт.  Шерегеш, ул. Славянская,112</t>
  </si>
  <si>
    <t>Россия, Кемеровская область,  Таштагольский район, пгт. Шерегеш, ул. Славянская,113</t>
  </si>
  <si>
    <t>Россия, Кемеровская область,  Таштагольский район, пгт. Шерегеш, ул. Славянская,115</t>
  </si>
  <si>
    <t>Россия, Кемеровская область,  Таштагольский район, пгт. Шерегеш, ул. Славянская,116</t>
  </si>
  <si>
    <t>Россия, Кемеровская область,  Таштагольский район, пгт. Шерегеш, ул. Славянская,118</t>
  </si>
  <si>
    <t>Россия, Кемеровская область,  Таштагольский район, пгт.Шерегеш, ул. Славянская,119</t>
  </si>
  <si>
    <t>Россия, Кемеровская область,  Таштагольский район, пгт. Шерегеш, ул. Славянская,120</t>
  </si>
  <si>
    <t>Россия, Кемеровская область,  Таштагольский район, пгт. Шерегеш, ул. Ледовая,81</t>
  </si>
  <si>
    <t>Россия, Кемеровская область,  Таштагольский район, пгт. Шерегеш, ул. Ледовая,82</t>
  </si>
  <si>
    <t>Россия, Кемеровская область,  Таштагольский район, пгт. Шерегеш, ул. Ледовая,83</t>
  </si>
  <si>
    <t>Россия, Кемеровская область,  Таштагольский район, пгт. Шерегеш, ул. Ледовая,85</t>
  </si>
  <si>
    <t>Россия, Кемеровская область,  Таштагольский район, пгт. Шерегеш, ул. Ледовая,86</t>
  </si>
  <si>
    <t>Россия, Кемеровская область,  Таштагольский район, пгт. Шерегеш, ул. Ледовая,87</t>
  </si>
  <si>
    <t>Россия, Кемеровская область,  Таштагольский район, пгт. Шерегеш, ул. Ледовая,89</t>
  </si>
  <si>
    <t>Россия, Кемеровская область,  Таштагольский район, пгт. Шерегеш, ул. Березовая,2/2</t>
  </si>
  <si>
    <t>Россия, Кемеровская область,  Таштагольский район, пгт. Шерегеш, ул. Березовая,2/3</t>
  </si>
  <si>
    <t>Россия, Кемеровская область,  Таштагольский район, пгт. Шерегеш, ул. Березовая,8</t>
  </si>
  <si>
    <t>Россия, Кемеровская область,  Таштагольский район, пгт. Шерегеш, ул. Березовая,21</t>
  </si>
  <si>
    <t>Россия, Кемеровская область,  Таштагольский район, пгт. Шерегеш, ул. Березовая,23</t>
  </si>
  <si>
    <t>Россия, Кемеровская область,  Таштагольский район, пгт. Шерегеш, ул. Березовая,19</t>
  </si>
  <si>
    <t>Россия, Кемеровская область,  Таштагольский район, пгт. Шерегеш, ул. Березовая,25</t>
  </si>
  <si>
    <t>Россия, Кемеровская область,  Таштагольский район, пгт. Шерегеш, ул. Березовая,27</t>
  </si>
  <si>
    <t>Россия, Кемеровская область,  Таштагольский район, пгт. Шерегеш, ул. Березовая,29</t>
  </si>
  <si>
    <t>Россия, Кемеровская область,  Таштагольский район, пгт. Шерегеш, ул. Березовая,31</t>
  </si>
  <si>
    <t>Россия, Кемеровская область,  Таштагольский район, пгт. Шерегеш, ул. Березовая,33</t>
  </si>
  <si>
    <t>Россия, Кемеровская область,  Таштагольский район, пгт. Шерегеш, ул. Березовая,35</t>
  </si>
  <si>
    <t>Россия, Кемеровская область,  Таштагольский район, пгт. Шерегеш, ул. Березовая,37</t>
  </si>
  <si>
    <t>Россия, Кемеровская область,  Таштагольский район, пгт. Шерегеш, ул. Березовая,39</t>
  </si>
  <si>
    <t>Россия, Кемеровская область,  Таштагольский район, пгт. Шерегеш, ул. Шахтеров,149</t>
  </si>
  <si>
    <t>Россия, Кемеровская область,  Таштагольский район, пгт. Шерегеш, ул. Шахтеров,150</t>
  </si>
  <si>
    <t>Россия, Кемеровская область,  Таштагольский район, пгт. Шерегеш, ул. Лунная,9</t>
  </si>
  <si>
    <t>Россия, Кемеровская область,  Таштагольский район, пгт. Шерегеш, ул. Лунная,10</t>
  </si>
  <si>
    <t>Россия, Кемеровская область,  Таштагольский район, пгт. Шерегеш, ул. Лунная,12</t>
  </si>
  <si>
    <t>Россия, Кемеровская область,  Таштагольский район, пгт. Шерегеш, ул. Лунная,14</t>
  </si>
  <si>
    <t>Россия, Кемеровская область,  Таштагольский район, пгт. Шерегеш, ул. Лунная,16</t>
  </si>
  <si>
    <t>Россия, Кемеровская область,  Таштагольский район, пгт. Шерегеш, ул. Лунная,17</t>
  </si>
  <si>
    <t>Россия, Кемеровская область,  Таштагольский район, пгт. Шерегеш, ул. Лунная,19</t>
  </si>
  <si>
    <t>Россия, Кемеровская область,  Таштагольский район, пгт. Шерегеш, ул. Лунная,21</t>
  </si>
  <si>
    <t>Россия, Кемеровская область,  Таштагольский район, пгт. Шерегеш, ул. Лунная,25</t>
  </si>
  <si>
    <t>Россия, Кемеровская область,  Таштагольский район, пгт. Шерегеш, ул. Лунная,26</t>
  </si>
  <si>
    <t>Россия, Кемеровская область,  Таштагольский район, пгт. Шерегеш, ул. Грозовая,7</t>
  </si>
  <si>
    <t>Россия, Кемеровская область,  Таштагольский район, пгт. Шерегеш, ул. Рябиновая,16</t>
  </si>
  <si>
    <t>Россия, Кемеровская область,  Таштагольский район, пгт. Шерегеш, ул. Рябиновая,36</t>
  </si>
  <si>
    <t>Россия, Кемеровская область,  Таштагольский район, пгт. Шерегеш, ул. Славянская,29</t>
  </si>
  <si>
    <t>Россия, Кемеровская область,  Таштагольский район, пгт. Шерегеш, ул. Славянская,31</t>
  </si>
  <si>
    <t>Россия, Кемеровская область,  Таштагольский район, пгт. Шерегеш, ул. Славянская,39</t>
  </si>
  <si>
    <t>Россия, Кемеровская область,  Таштагольский район, пгт. Шерегеш, ул. Шахтеров,39</t>
  </si>
  <si>
    <t>Россия, Кемеровская область,  Таштагольский район, пгт. Шерегеш, ул. Шахтеров,75</t>
  </si>
  <si>
    <t>Россия, Кемеровская область,  Таштагольский район, пгт. Шерегеш, ул. Шахтеров,86</t>
  </si>
  <si>
    <t>Россия, Кемеровская область,  Таштагольский район, пгт. Шерегеш, ул. Шахтеров,111</t>
  </si>
  <si>
    <t>Россия, Кемеровская область,  Таштагольский район, пгт. Шерегеш, ул. Шахтеров,133</t>
  </si>
  <si>
    <t>Россия, Кемеровская область,  Таштагольский район, пгт. Шерегеш, ул. Шахтеров,154</t>
  </si>
  <si>
    <t>Россия, Кемеровская область,  Таштагольский район, пгт. Шерегеш, ул. Ореховая,57</t>
  </si>
  <si>
    <t>Россия, Кемеровская область,  Таштагольский район, пгт. Шерегеш, ул. Ореховая,60</t>
  </si>
  <si>
    <t>Россия, Кемеровская область,  Таштагольский район, пгт. Шерегеш, ул. Ореховая,61</t>
  </si>
  <si>
    <t>Россия, Кемеровская область,  Таштагольский район, пгт. Шерегеш, ул. Ореховая,62</t>
  </si>
  <si>
    <t>Россия, Кемеровская область,  Таштагольский район, пгт. Шерегеш, ул. Ореховая,63</t>
  </si>
  <si>
    <t>Россия, Кемеровская область,  Таштагольский район, пгт. Шерегеш, ул. Ореховая,64</t>
  </si>
  <si>
    <t>Россия, Кемеровская область,  Таштагольский район, пгт. Шерегеш, ул. Ореховая,65</t>
  </si>
  <si>
    <t>Россия, Кемеровская область,  Таштагольский район, пгт. Шерегеш, ул. Ореховая,66</t>
  </si>
  <si>
    <t>Россия, Кемеровская область,  Таштагольский район, пгт. Шерегеш, ул. Ореховая,67</t>
  </si>
  <si>
    <t>Россия, Кемеровская область,  Таштагольский район, пгт. Шерегеш, ул. Ореховая,68</t>
  </si>
  <si>
    <t>Россия, Кемеровская область,  Таштагольский район, пгт. Шерегеш, ул. Шахтеров,70</t>
  </si>
  <si>
    <t>Россия, Кемеровская область,  Таштагольский район, пгт. Шерегеш, ул. Шахтеров,72</t>
  </si>
  <si>
    <t>Россия, Кемеровская область,  Таштагольский район, пгт. Шерегеш, ул. Славянская,42</t>
  </si>
  <si>
    <t>Россия, Кемеровская область,  Таштагольский район, пгт. Шерегеш, ул. Рябиновая,38</t>
  </si>
  <si>
    <t>Россия, Кемеровская область,  Таштагольский район, пгт. Шерегеш, ул. Березовая,1/1</t>
  </si>
  <si>
    <t>Россия, Кемеровская область,  Таштагольский район, пгт. Шерегеш, ул. Березовая,1/3</t>
  </si>
  <si>
    <t>Россия, Кемеровская область,  Таштагольский район, пгт. Шерегеш, ул. Березовая,1/4</t>
  </si>
  <si>
    <t>Россия, Кемеровская область,  Таштагольский район, пгт. Шерегеш, ул. Цветочная,2</t>
  </si>
  <si>
    <t>Россия, Кемеровская область,  Таштагольский район, пгт. Шерегеш, ул. Цветочная,2/2</t>
  </si>
  <si>
    <t>Россия, Кемеровская область,  Таштагольский район, пгт. Шерегеш, ул. Цветочная,2/4</t>
  </si>
  <si>
    <t>Россия, Кемеровская область,  Таштагольский район, пгт. Шерегеш, ул. Цветочная,11</t>
  </si>
  <si>
    <t>Россия, Кемеровская область,  Таштагольский район, пгт. Шерегеш, ул. Цветочная,13</t>
  </si>
  <si>
    <t>Россия, Кемеровская область,  Таштагольский район, пгт. Шерегеш, ул. Цветочная,15</t>
  </si>
  <si>
    <t>Россия, Кемеровская область,  Таштагольский район, пгт. Шерегеш, ул. Цветочная,17</t>
  </si>
  <si>
    <t>Россия, Кемеровская область,  Таштагольский район, пгт. Шерегеш, ул. Цветочная,19</t>
  </si>
  <si>
    <t>Россия, Кемеровская область,  Таштагольский район, пгт. Шерегеш, ул. Славянская,92</t>
  </si>
  <si>
    <t>Россия, Кемеровская область,  Таштагольский район, пгт. Шерегеш, ул. Славянская,94</t>
  </si>
  <si>
    <t>Россия, Кемеровская область,  Таштагольский район, пгт. Шерегеш, ул. Звездная,2/2</t>
  </si>
  <si>
    <t>Россия, Кемеровская область,  Таштагольский район, пгт. Шерегеш, ул. Звездная,2/3</t>
  </si>
  <si>
    <t>Россия, Кемеровская область,  Таштагольский район, пгт. Шерегеш, ул. Звездная,2/4</t>
  </si>
  <si>
    <t>Россия, Кемеровская область,  Таштагольский район, пгт. Шерегеш, ул. Лунная,1</t>
  </si>
  <si>
    <t>Россия, Кемеровская область,  Таштагольский район, пгт. Шерегеш, ул. Лунная,1/1</t>
  </si>
  <si>
    <t>Россия, Кемеровская область,  Таштагольский район, пгт. Шерегеш, ул. Лунная,23</t>
  </si>
  <si>
    <t>Россия, Кемеровская область,  Таштагольский район, пгт. Шерегеш, ул. Хвойная,34</t>
  </si>
  <si>
    <t>Россия, Кемеровская область,  Таштагольский район, пгт. Шерегеш, ул. Хвойная,35</t>
  </si>
  <si>
    <t>Россия, Кемеровская область,  Таштагольский район, пгт. Шерегеш, ул. Хвойная,37</t>
  </si>
  <si>
    <t>Россия, Кемеровская область,  Таштагольский район, пгт. Шерегеш, ул. Хвойная,42</t>
  </si>
  <si>
    <t>Россия, Кемеровская область,  Таштагольский район, пгт. Шерегеш, ул. Арктическая,12</t>
  </si>
  <si>
    <t>Россия, Кемеровская область,  Таштагольский район, пгт. Шерегеш, ул. Арктическая,14</t>
  </si>
  <si>
    <t>Россия, Кемеровская область,  Таштагольский район, пгт. Шерегеш, ул. Арктическая,16</t>
  </si>
  <si>
    <t>Россия, Кемеровская область,  Таштагольский район, пгт. Шерегеш, ул. Арктическая,22</t>
  </si>
  <si>
    <t>Россия, Кемеровская область,  Таштагольский район, пгт. Шерегеш, ул. Арктическая,24</t>
  </si>
  <si>
    <t>Россия, Кемеровская область,  Таштагольский район, пгт. Шерегеш, ул. Арктическая,26</t>
  </si>
  <si>
    <t>Россия, Кемеровская область,  Таштагольский район, пгт. Шерегеш, ул. Арктическая,28</t>
  </si>
  <si>
    <t>Россия, Кемеровская область,  Таштагольский район, пгт. Шерегеш, ул. Ягодная,22</t>
  </si>
  <si>
    <t>Россия, Кемеровская область,  Таштагольский район, пгт. Шерегеш, ул. Ягодная,26</t>
  </si>
  <si>
    <t>Россия, Кемеровская область,  Таштагольский район, пгт. Шерегеш, ул. Ягодная,28</t>
  </si>
  <si>
    <t>Россия, Кемеровская область,  Таштагольский район, пгт. Шерегеш, ул. Славянская,22</t>
  </si>
  <si>
    <t>Россия, Кемеровская область,  Таштагольский район, пгт. Шерегеш, ул. Шахтеров,107</t>
  </si>
  <si>
    <t>Россия, Кемеровская область,  Таштагольский район, пгт. Шерегеш, ул. Ореховая,24</t>
  </si>
  <si>
    <t>Россия, Кемеровская область,  Таштагольский район, пгт. Шерегеш, ул. Ореховая,72</t>
  </si>
  <si>
    <t>Россия, Кемеровская область,  Таштагольский район, пгт. Шерегеш, ул. Ореховая,106</t>
  </si>
  <si>
    <t>Россия, Кемеровская область,  Таштагольский район, пгт. Шерегеш, ул. Ореховая,108</t>
  </si>
  <si>
    <t>Россия, Кемеровская область,  Таштагольский район, пгт. Шерегеш, ул. Рябиновая,21</t>
  </si>
  <si>
    <t>Россия, Кемеровская область,  Таштагольский район, пгт. Шерегеш, ул. Рябиновая,83</t>
  </si>
  <si>
    <t>Россия, Кемеровская область,  Таштагольский район, пгт. Шерегеш, ул. Рябиновая,87</t>
  </si>
  <si>
    <t>Россия, Кемеровская область,  Таштагольский район, пгт. Шерегеш, ул. Рябиновая,95</t>
  </si>
  <si>
    <t>Россия, Кемеровская область,  Таштагольский район, пгт.Шерегеш, ул. Свободная,74а</t>
  </si>
  <si>
    <t>Россия, Кемеровская область,  Таштагольский район, пгт. Шерегеш, ул. Славянская,3</t>
  </si>
  <si>
    <t>Россия, Кемеровская область,  Таштагольский район, пгт. Шерегеш, ул. Славянская,5</t>
  </si>
  <si>
    <t>Россия, Кемеровская область,  Таштагольский район, пгт. Шерегеш, ул. Славянская,7</t>
  </si>
  <si>
    <t>Россия, Кемеровская область,  Таштагольский район, пгт. Шерегеш, ул. Славянская,9</t>
  </si>
  <si>
    <t>Россия, Кемеровская область,  Таштагольский район, пгт. Шерегеш, ул. Славянская,10</t>
  </si>
  <si>
    <t>Россия, Кемеровская область,  Таштагольский район, пгт. Шерегеш, ул. Славянская,11</t>
  </si>
  <si>
    <t>Россия, Кемеровская область,  Таштагольский район, пгт. Шерегеш, ул. Славянская,12</t>
  </si>
  <si>
    <t>Россия, Кемеровская область,  Таштагольский район, пгт. Шерегеш, ул. Славянская,15</t>
  </si>
  <si>
    <t>Россия, Кемеровская область,  Таштагольский район, пгт. Шерегеш, ул. Славянская,16</t>
  </si>
  <si>
    <t>Россия, Кемеровская область,  Таштагольский район, пгт. Шерегеш, ул. Славянская,19</t>
  </si>
  <si>
    <t>Россия, Кемеровская область,  Таштагольский район, пгт. Шерегеш, ул. Славянская,20</t>
  </si>
  <si>
    <t>Россия, Кемеровская область,  Таштагольский район, пгт. Шерегеш, ул. Славянская,24</t>
  </si>
  <si>
    <t>Россия, Кемеровская область,  Таштагольский район, пгт. Шерегеш, ул. Славянская,33</t>
  </si>
  <si>
    <t>Россия, Кемеровская область,  Таштагольский район, пгт. Шерегеш, ул. Славянская,49</t>
  </si>
  <si>
    <t>Россия, Кемеровская область,  Таштагольский район, пгт. Шерегеш, ул. Славянская,50</t>
  </si>
  <si>
    <t>Россия, Кемеровская область,  Таштагольский район, пгт. Шерегеш, ул. Славянская,59</t>
  </si>
  <si>
    <t>Россия, Кемеровская область,  Таштагольский район, пгт. Шерегеш, ул. Славянская,73</t>
  </si>
  <si>
    <t>Россия, Кемеровская область,  Таштагольский район, пгт. Шерегеш, ул. Славянская,82</t>
  </si>
  <si>
    <t>Россия, Кемеровская область,  Таштагольский район, пгт. Шерегеш, ул. Славянская,83</t>
  </si>
  <si>
    <t>Россия, Кемеровская область,  Таштагольский район, пгт. Шерегеш, ул. Славянская,84</t>
  </si>
  <si>
    <t>Россия, Кемеровская область,  Таштагольский район, пгт. Шерегеш, ул. Славянская,85</t>
  </si>
  <si>
    <t>Россия, Кемеровская область,  Таштагольский район, пгт. Шерегеш, ул. Грозовая,22</t>
  </si>
  <si>
    <t>Россия, Кемеровская область,  Таштагольский район, пгт. Шерегеш, ул. Ледовая,32</t>
  </si>
  <si>
    <t>Россия, Кемеровская область,  Таштагольский район, пгт. Шерегеш, ул. Ледовая,49</t>
  </si>
  <si>
    <t>Россия, Кемеровская область,  Таштагольский район, пгт. Шерегеш, ул. Ледовая,50</t>
  </si>
  <si>
    <t>Россия, Кемеровская область,  Таштагольский район, пгт. Шерегеш, ул. Ледовая,58</t>
  </si>
  <si>
    <t>Россия, Кемеровская область,  Таштагольский район, пгт. Шерегеш, ул. Ореховая,16</t>
  </si>
  <si>
    <t>Россия, Кемеровская область,  Таштагольский район, пгт. Шерегеш, ул. Ореховая,19</t>
  </si>
  <si>
    <t>Россия, Кемеровская область,  Таштагольский район, пгт. Шерегеш, ул. Ореховая,21</t>
  </si>
  <si>
    <t>Россия, Кемеровская область,  Таштагольский район, пгт. Шерегеш, ул. Ореховая,22</t>
  </si>
  <si>
    <t>Россия, Кемеровская область,  Таштагольский район, пгт. Шерегеш, ул. Рябиновая,31</t>
  </si>
  <si>
    <t>Россия, Кемеровская область,  Таштагольский район, пгт. Шерегеш, ул. Славянская,70</t>
  </si>
  <si>
    <t>Россия, Кемеровская область,  Таштагольский район, пгт. Шерегеш, ул. Арктическая,5</t>
  </si>
  <si>
    <t>Россия, Кемеровская область,  Таштагольский район, пгт. Шерегеш, ул. Арктическая,7</t>
  </si>
  <si>
    <t>Россия, Кемеровская область,  Таштагольский район, пгт. Шерегеш, ул. Ягодная,1/2</t>
  </si>
  <si>
    <t>Россия, Кемеровская область,  Таштагольский район, пгт. Шерегеш, ул. Ягодная,1/3</t>
  </si>
  <si>
    <t>Россия, Кемеровская область,  Таштагольский район, пгт. Шерегеш, ул. Ягодная,2/8</t>
  </si>
  <si>
    <t>Россия, Кемеровская область,  Таштагольский район, пгт. Шерегеш, ул. Ягодная,2/9</t>
  </si>
  <si>
    <t>Россия, Кемеровская область,  Таштагольский район, пгт. Шерегеш, ул. Славянская,101</t>
  </si>
  <si>
    <t>Россия, Кемеровская область,  Таштагольский район, пгт. Шерегеш, ул. Славянская,90</t>
  </si>
  <si>
    <t>Россия, Кемеровская область,  Таштагольский район, пгт. Шерегеш, ул. Хвойная,40</t>
  </si>
  <si>
    <t>Россия, Кемеровская область,  Таштагольский район, пгт. Шерегеш, ул. Рябиновая,198</t>
  </si>
  <si>
    <t>Россия, Кемеровская область,  Таштагольский район, пгт. Шерегеш, ул. Ледовая,5</t>
  </si>
  <si>
    <t>Россия, Кемеровская область,  Таштагольский район, пгт. Шерегеш, ул. Ореховая,80</t>
  </si>
  <si>
    <t>Россия, Кемеровская область,  Таштагольский район, пгт. Шерегеш, ул. Ореховая,79</t>
  </si>
  <si>
    <t>Россия, Кемеровская область,  Таштагольский район, пгт. Шерегеш, ул. Ореховая,78</t>
  </si>
  <si>
    <t>Россия, Кемеровская область,  Таштагольский район, пгт. Шерегеш, ул. Ореховая,77</t>
  </si>
  <si>
    <t>Россия, Кемеровская область,  Таштагольский район, пгт. Шерегеш, ул. Ореховая,46</t>
  </si>
  <si>
    <t>Россия, Кемеровская область,  Таштагольский район, пгт. Шерегеш, ул. Ореховая,17</t>
  </si>
  <si>
    <t>Россия, Кемеровская область,  Таштагольский район, пгт. Шерегеш, ул. Ореховая,3</t>
  </si>
  <si>
    <t>Россия, Кемеровская область,  Таштагольский район, пгт. Шерегеш, ул. Рябиновая,90</t>
  </si>
  <si>
    <t>Россия, Кемеровская область,  Таштагольский район, пгт. Шерегеш, ул. Свободная,78а</t>
  </si>
  <si>
    <t>Россия, Кемеровская область,  Таштагольский район, пгт. Шерегеш, ул. Шахтеров,157</t>
  </si>
  <si>
    <t>Россия, Кемеровская область,  Таштагольский район, пгт. Шерегеш, ул. Шахтеров,155</t>
  </si>
  <si>
    <t>Россия, Кемеровская область,  Таштагольский район, пгт. Шерегеш, ул. Славянская,81</t>
  </si>
  <si>
    <t>Россия, Кемеровская область,  Таштагольский район, пгт. Шерегеш, ул. Славянская,78</t>
  </si>
  <si>
    <t>Россия, Кемеровская область,  Таштагольский район, пгт. Шерегеш, ул. Славянская,77</t>
  </si>
  <si>
    <t>Россия, Кемеровская область,  Таштагольский район, пгт. Шерегеш, ул. Славянская,32</t>
  </si>
  <si>
    <t>Россия, Кемеровская область,  Таштагольский район, пгт. Шерегеш, ул. Славянская,30</t>
  </si>
  <si>
    <t>Россия, Кемеровская область,  Таштагольский район, пгт. Шерегеш, ул. Цветочная,4</t>
  </si>
  <si>
    <t>Россия, Кемеровская область,  Таштагольский район, пгт. Шерегеш, ул. Арктическая,1</t>
  </si>
  <si>
    <t>Россия, Кемеровская область,  Таштагольский район, пгт. Шерегеш, ул. Рябиновая,96</t>
  </si>
  <si>
    <t>Россия, Кемеровская область,  Таштагольский район, пгт. Шерегеш, ул. Рябиновая,94</t>
  </si>
  <si>
    <t>Россия, Кемеровская область,  Таштагольский район, пгт. Шерегеш, ул. Рябиновая,88</t>
  </si>
  <si>
    <t>Россия, Кемеровская область,  Таштагольский район, пгт. Шерегеш, ул. Рябиновая,27</t>
  </si>
  <si>
    <t>Россия, Кемеровская область,  Таштагольский район, пгт. Шерегеш, ул. Рябиновая,26</t>
  </si>
  <si>
    <t>Россия, Кемеровская область,  Таштагольский район, пгт. Шерегеш, ул. Рябиновая,6</t>
  </si>
  <si>
    <t>Россия, Кемеровская область,  Таштагольский район, пгт. Шерегеш, ул. Славянская,107</t>
  </si>
  <si>
    <t>Россия, Кемеровская область,  Таштагольский район, пгт. Шерегеш, ул. Славянская,52</t>
  </si>
  <si>
    <t>Россия, Кемеровская область,  Таштагольский район, пгт. Шерегеш, ул. Славянская,36</t>
  </si>
  <si>
    <t>Россия, Кемеровская область,  Таштагольский район, пгт. Шерегеш, ул. Ледовая,129</t>
  </si>
  <si>
    <t>Россия, Кемеровская область,  Таштагольский район, пгт. Шерегеш, ул. Ледовая,125</t>
  </si>
  <si>
    <t>Россия, Кемеровская область,  Таштагольский район, пгт. Шерегеш, ул. Ледовая,97</t>
  </si>
  <si>
    <t>Россия, Кемеровская область,  Таштагольский район, пгт. Шерегеш, ул. Шахтеров,139</t>
  </si>
  <si>
    <t>Россия, Кемеровская область,  Таштагольский район, пгт. Шерегеш, ул. Шахтеров,122</t>
  </si>
  <si>
    <t>Россия, Кемеровская область,  Таштагольский район, пгт. Шерегеш, ул. Шахтеров,110</t>
  </si>
  <si>
    <t>Россия, Кемеровская область,  Таштагольский район, пгт. Шерегеш, ул. Шахтеров,108</t>
  </si>
  <si>
    <t>Россия, Кемеровская область,  Таштагольский район, пгт. Шерегеш, ул. Шахтеров,105</t>
  </si>
  <si>
    <t>Россия, Кемеровская область,  Таштагольский район, пгт. Шерегеш, ул. Шахтеров,55</t>
  </si>
  <si>
    <t>Россия, Кемеровская область,  Таштагольский район, пгт. Шерегеш, ул. Строителей,132</t>
  </si>
  <si>
    <t>Россия, Кемеровская область,  Таштагольский район, пгт. Шерегеш, ул. Строителей,87</t>
  </si>
  <si>
    <t>Россия, Кемеровская область,  Таштагольский район, пгт. Шерегеш, ул. Строителей,24</t>
  </si>
  <si>
    <t>Россия, Кемеровская область,  Таштагольский район, пгт. Шерегеш, ул. Ледовая,149</t>
  </si>
  <si>
    <t>Россия, Кемеровская область,  Таштагольский район, пгт. Шерегеш, ул. Ледовая,112</t>
  </si>
  <si>
    <t>Россия, Кемеровская область,  Таштагольский район, пгт. Шерегеш, ул. Ледовая,106</t>
  </si>
  <si>
    <t>Россия, Кемеровская область,  Таштагольский район, пгт. Шерегеш, ул. Ледовая,104</t>
  </si>
  <si>
    <t>Россия, Кемеровская область,  Таштагольский район, пгт. Шерегеш, ул. Ледовая,72</t>
  </si>
  <si>
    <t>Россия, Кемеровская область,  Таштагольский район, пгт. Шерегеш, ул. Ледовая,24</t>
  </si>
  <si>
    <t>Россия, Кемеровская область,  Таштагольский район, пгт. Шерегеш, ул. Рябиновая,55</t>
  </si>
  <si>
    <t>Россия, Кемеровская область,  Таштагольский район, пгт. Шерегеш, ул. Рябиновая,53</t>
  </si>
  <si>
    <t>Россия, Кемеровская область,  Таштагольский район, пгт. Шерегеш, ул. Рябиновая,51</t>
  </si>
  <si>
    <t>Россия, Кемеровская область,  Таштагольский район, пгт. Шерегеш, ул. Строителей,62</t>
  </si>
  <si>
    <t>Россия, Кемеровская область,  Таштагольский район, пгт. Шерегеш, ул. Строителей,60</t>
  </si>
  <si>
    <t>Россия, Кемеровская область,  Таштагольский район, пгт. Шерегеш, ул. Тихая,12</t>
  </si>
  <si>
    <t>Россия, Кемеровская область,  Таштагольский район, пгт. Шерегеш, ул. Шахтеров,69</t>
  </si>
  <si>
    <t>Россия, Кемеровская область,  Таштагольский район, пгт. Шерегеш, ул. Рябиновая,40</t>
  </si>
  <si>
    <t>Россия, Кемеровская область,  Таштагольский район, пгт. Шерегеш, ул. Арктическая,44</t>
  </si>
  <si>
    <t>Россия, Кемеровская область,  Таштагольский район, пгт. Шерегеш, ул. Арктическая,42</t>
  </si>
  <si>
    <t>Россия, Кемеровская область,  Таштагольский район, пгт. Шерегеш, ул. Арктическая,40</t>
  </si>
  <si>
    <t>Россия, Кемеровская область,  Таштагольский район, пгт. Шерегеш, ул. Ореховая,74</t>
  </si>
  <si>
    <t>Россия, Кемеровская область,  Таштагольский район, пгт. Шерегеш, ул. Славянская,75</t>
  </si>
  <si>
    <t>Россия, Кемеровская область,  Таштагольский район, пгт. Шерегеш, ул. Рябиновая,2</t>
  </si>
  <si>
    <t>Россия, Кемеровская область,  Таштагольский район, пгт. Шерегеш, ул. Ледовая,216</t>
  </si>
  <si>
    <t>Россия, Кемеровская область,  Таштагольский район, пгт. Шерегеш, ул. Ледовая,215</t>
  </si>
  <si>
    <t>Россия, Кемеровская область,  Таштагольский район, пгт. Шерегеш, ул. Ледовая,130</t>
  </si>
  <si>
    <t>Россия, Кемеровская область,  Таштагольский район, пгт. Шерегеш, ул. Ледовая,122</t>
  </si>
  <si>
    <t>Россия, Кемеровская область,  Таштагольский район, пгт. Шерегеш, ул. Ледовая,118</t>
  </si>
  <si>
    <t>Россия, Кемеровская область,  Таштагольский район, пгт. Шерегеш, ул. Ледовая,116</t>
  </si>
  <si>
    <t>Россия, Кемеровская область,  Таштагольский район, пгт. Шерегеш, ул. Ледовая,113</t>
  </si>
  <si>
    <t>Россия, Кемеровская область,  Таштагольский район, пгт. Шерегеш, ул. Ледовая,95</t>
  </si>
  <si>
    <t>Россия, Кемеровская область,  Таштагольский район, пгт. Шерегеш, ул. Ледовая,76</t>
  </si>
  <si>
    <t>Россия, Кемеровская область,  Таштагольский район, пгт. Шерегеш, ул. Ледовая,75</t>
  </si>
  <si>
    <t>Россия, Кемеровская область,  Таштагольский район, пгт. Шерегеш, ул. Ледовая,53</t>
  </si>
  <si>
    <t>Россия, Кемеровская область,  Таштагольский район, пгт. Шерегеш, ул. Ледовая,46</t>
  </si>
  <si>
    <t>Россия, Кемеровская область,  Таштагольский район, пгт. Шерегеш, ул. Строителей,81</t>
  </si>
  <si>
    <t>Россия, Кемеровская область,  Таштагольский район, пгт. Шерегеш, ул. Ледовая,218</t>
  </si>
  <si>
    <t>Россия, Кемеровская область,  Таштагольский район, пгт. Шерегеш, ул. Ледовая,207</t>
  </si>
  <si>
    <t>Россия, Кемеровская область,  Таштагольский район, пгт. Шерегеш, ул. Ледовая,151</t>
  </si>
  <si>
    <t>Россия, Кемеровская область,  Таштагольский район, пгт. Шерегеш, ул. Ледовая,148</t>
  </si>
  <si>
    <t>Россия, Кемеровская область,  Таштагольский район, пгт. Шерегеш, ул. Ледовая,147</t>
  </si>
  <si>
    <t>Россия, Кемеровская область,  Таштагольский район, пгт. Шерегеш, ул. Ледовая,56</t>
  </si>
  <si>
    <t>Россия, Кемеровская область,  Таштагольский район, пгт. Шерегеш, ул. Шахтеров,115</t>
  </si>
  <si>
    <t>Россия, Кемеровская область,  Таштагольский район, пгт. Шерегеш, ул. Шахтеров,61</t>
  </si>
  <si>
    <t>Россия, Кемеровская область,  Таштагольский район, пгт. Шерегеш, ул. Тихая,6</t>
  </si>
  <si>
    <t>Россия, Кемеровская область,  Таштагольский район, пгт. Шерегеш, ул. Ореховая,111</t>
  </si>
  <si>
    <t>Россия, Кемеровская область,  Таштагольский район, пгт. Шерегеш, ул. Ореховая,109</t>
  </si>
  <si>
    <t>Россия, Кемеровская область,  Таштагольский район, пгт. Шерегеш, ул. Ореховая,107</t>
  </si>
  <si>
    <t>Россия, Кемеровская область,  Таштагольский район, пгт. Шерегеш, ул. Ореховая,99</t>
  </si>
  <si>
    <t>Россия, Кемеровская область,  Таштагольский район, пгт. Шерегеш, ул. Ореховая,97</t>
  </si>
  <si>
    <t>Россия, Кемеровская область,  Таштагольский район, пгт. Шерегеш, ул. Ледовая,158</t>
  </si>
  <si>
    <t>Россия, Кемеровская область,  Таштагольский район, пгт. Шерегеш, ул. Ледовая,156</t>
  </si>
  <si>
    <t>Россия, Кемеровская область,  Таштагольский район, пгт. Шерегеш, ул. Ледовая,155</t>
  </si>
  <si>
    <t>Россия, Кемеровская область,  Таштагольский район, пгт. Шерегеш, ул. Ледовая,152</t>
  </si>
  <si>
    <t>Россия, Кемеровская область,  Таштагольский район, пгт. Шерегеш, ул. Ореховая,112</t>
  </si>
  <si>
    <t>Россия, Кемеровская область,  Таштагольский район, пгт. Шерегеш, ул. Ореховая,23</t>
  </si>
  <si>
    <t>Россия, Кемеровская область,  Таштагольский район, пгт. Шерегеш, ул. Рябиновая,196</t>
  </si>
  <si>
    <t>Россия, Кемеровская область,  Таштагольский район, пгт. Шерегеш, ул. Рябиновая,194</t>
  </si>
  <si>
    <t>Россия, Кемеровская область,  Таштагольский район, пгт. Шерегеш, ул. Рябиновая,192</t>
  </si>
  <si>
    <t>Россия, Кемеровская область,  Таштагольский район, пгт. Шерегеш, ул. Рябиновая,190</t>
  </si>
  <si>
    <t>Россия, Кемеровская область,  Таштагольский район, пгт. Шерегеш, ул. Рябиновая,188</t>
  </si>
  <si>
    <t>Россия, Кемеровская область,  Таштагольский район, пгт. Шерегеш, ул. Рябиновая,186</t>
  </si>
  <si>
    <t>Россия, Кемеровская область,  Таштагольский район, пгт. Шерегеш, ул. Рябиновая,184</t>
  </si>
  <si>
    <t>Россия, Кемеровская область,  Таштагольский район, пгт. Шерегеш, ул. Рябиновая,183</t>
  </si>
  <si>
    <t>Россия, Кемеровская область,  Таштагольский район, пгт. Шерегеш, ул. Рябиновая,182</t>
  </si>
  <si>
    <t>Россия, Кемеровская область,  Таштагольский район, пгт. Шерегеш, ул. Рябиновая,181</t>
  </si>
  <si>
    <t>Россия, Кемеровская область,  Таштагольский район, пгт. Шерегеш, ул. Славянская,93</t>
  </si>
  <si>
    <t>Россия, Кемеровская область,  Таштагольский район, пгт. Шерегеш, ул. Славянская,87</t>
  </si>
  <si>
    <t>Россия, Кемеровская область,  Таштагольский район, пгт. Шерегеш, ул. Славянская,6</t>
  </si>
  <si>
    <t>Россия, Кемеровская область,  Таштагольский район, пгт. Шерегеш, ул. Шахтеров,137</t>
  </si>
  <si>
    <t>Россия, Кемеровская область,  Таштагольский район, пгт. Шерегеш, ул. Тихая,8</t>
  </si>
  <si>
    <t>Россия, Кемеровская область,  Таштагольский район, пгт. Шерегеш, ул. Цветочная,26</t>
  </si>
  <si>
    <t>Россия, Кемеровская область,  Таштагольский район, пгт. Шерегеш, ул. Цветочная,24</t>
  </si>
  <si>
    <t>Россия, Кемеровская область,  Таштагольский район, пгт. Шерегеш, ул. Цветочная,23</t>
  </si>
  <si>
    <t>Россия, Кемеровская область,  Таштагольский район, пгт. Шерегеш, ул. Цветочная,21</t>
  </si>
  <si>
    <t>Россия, Кемеровская область,  Таштагольский район, пгт. Шерегеш, ул. Рябиновая,142</t>
  </si>
  <si>
    <t>Россия, Кемеровская область,  Таштагольский район, пгт. Шерегеш, ул. Рябиновая,12</t>
  </si>
  <si>
    <t>Россия, Кемеровская область,  Таштагольский район, пгт. Шерегеш, ул. Ледовая,203</t>
  </si>
  <si>
    <t>Россия, Кемеровская область,  Таштагольский район, пгт. Шерегеш, ул. Ледовая,202</t>
  </si>
  <si>
    <t>Россия, Кемеровская область,  Таштагольский район, пгт. Шерегеш, ул. Ледовая,201</t>
  </si>
  <si>
    <t>Россия, Кемеровская область,  Таштагольский район, пгт. Шерегеш, ул. Ледовая,160</t>
  </si>
  <si>
    <t>Россия, Кемеровская область,  Таштагольский район, пгт. Шерегеш, ул. Ледовая,143</t>
  </si>
  <si>
    <t>Россия, Кемеровская область,  Таштагольский район, пгт. Шерегеш, ул. Ледовая,142</t>
  </si>
  <si>
    <t>Россия, Кемеровская область,  Таштагольский район, пгт. Шерегеш, ул. Ледовая,141</t>
  </si>
  <si>
    <t>Россия, Кемеровская область,  Таштагольский район, пгт. Шерегеш, ул. Ледовая,117</t>
  </si>
  <si>
    <t>Россия, Кемеровская область,  Таштагольский район, пгт. Шерегеш, ул. Ледовая,105</t>
  </si>
  <si>
    <t>Россия, Кемеровская область,  Таштагольский район, пгт. Шерегеш, ул. Ледовая,103</t>
  </si>
  <si>
    <t>Россия, Кемеровская область,  Таштагольский район, пгт. Шерегеш, ул. Ледовая,101</t>
  </si>
  <si>
    <t>Россия, Кемеровская область,  Таштагольский район, пгт. Шерегеш, ул. Ледовая,79</t>
  </si>
  <si>
    <t>Россия, Кемеровская область,  Таштагольский район, пгт. Шерегеш, ул. Ледовая,64</t>
  </si>
  <si>
    <t xml:space="preserve">Россия, Кемеровская область,  Таштагольский район, пгт. Шерегеш, ул. Ледовая,62 </t>
  </si>
  <si>
    <t>Россия, Кемеровская область,  Таштагольский район, пгт. Шерегеш, ул. Ореховая,114</t>
  </si>
  <si>
    <t>Россия, Кемеровская область,  Таштагольский район, пгт. Шерегеш, ул. Ореховая,84</t>
  </si>
  <si>
    <t>Россия, Кемеровская область,  Таштагольский район, пгт. Шерегеш, ул. Ореховая,83</t>
  </si>
  <si>
    <t>Россия, Кемеровская область,  Таштагольский район, пгт. Шерегеш, ул. Ягодная,15</t>
  </si>
  <si>
    <t>Россия, Кемеровская область,  Таштагольский район, пгт. Шерегеш, ул. Ягодная,17</t>
  </si>
  <si>
    <t>Россия, Кемеровская область,  Таштагольский район, пгт. Шерегеш, ул. Ягодная,19</t>
  </si>
  <si>
    <t>Россия, Кемеровская область,  Таштагольский район, пгт. Шерегеш, ул. Ягодная,21</t>
  </si>
  <si>
    <t>Россия, Кемеровская область,  Таштагольский район, пгт. Шерегеш, ул. Грозовая,2/2</t>
  </si>
  <si>
    <t>Россия, Кемеровская область,  Таштагольский район, пгт. Шерегеш, ул. Грозовая,2/3</t>
  </si>
  <si>
    <t>Россия, Кемеровская область,  Таштагольский район, пгт. Шерегеш, ул. Грозовая,2/4</t>
  </si>
  <si>
    <t>Россия, Кемеровская область,  Таштагольский район, пгт. Шерегеш, ул. Грозовая,4</t>
  </si>
  <si>
    <t>Россия, Кемеровская область,  Таштагольский район, пгт. Шерегеш, ул. Грозовая,6</t>
  </si>
  <si>
    <t>Россия, Кемеровская область,  Таштагольский район, пгт. Шерегеш, ул. Грозовая,18</t>
  </si>
  <si>
    <t>Россия, Кемеровская область,  Таштагольский район, пгт. Шерегеш, ул. Шахтеров,135</t>
  </si>
  <si>
    <t>Россия, Кемеровская область,  Таштагольский район, пгт. Шерегеш, ул. Шахтеров,136</t>
  </si>
  <si>
    <t>Россия, Кемеровская область,  Таштагольский район, пгт. Шерегеш, ул. Шахтеров,187</t>
  </si>
  <si>
    <t>Россия, Кемеровская область,  Таштагольский район, пгт. Шерегеш, ул. Шахтеров,189</t>
  </si>
  <si>
    <t>Россия, Кемеровская область,  Таштагольский район, пгт. Шерегеш, ул. Ледовая,16</t>
  </si>
  <si>
    <t>Россия, Кемеровская область,  Таштагольский район, пгт. Шерегеш, ул. Ледовая,41</t>
  </si>
  <si>
    <t>Россия, Кемеровская область,  Таштагольский район, пгт. Шерегеш, ул. Ледовая,45</t>
  </si>
  <si>
    <t>Россия, Кемеровская область,  Таштагольский район, пгт. Шерегеш, ул. Ледовая,77</t>
  </si>
  <si>
    <t>Россия, Кемеровская область,  Таштагольский район, пгт. Шерегеш, ул. Ледовая,108</t>
  </si>
  <si>
    <t>Россия, Кемеровская область,  Таштагольский район, пгт. Шерегеш, ул. Ледовая,110</t>
  </si>
  <si>
    <t>Россия, Кемеровская область,  Таштагольский район, пгт. Шерегеш, ул. Лунная,2/1</t>
  </si>
  <si>
    <t>Россия, Кемеровская область,  Таштагольский район, пгт. Шерегеш, ул. Лунная,2/2</t>
  </si>
  <si>
    <t>Россия, Кемеровская область,  Таштагольский район, пгт. Шерегеш, ул. Лунная,2/3</t>
  </si>
  <si>
    <t>Россия, Кемеровская область,  Таштагольский район, пгт. Шерегеш, ул. Хвойная,2</t>
  </si>
  <si>
    <t>Россия, Кемеровская область,  Таштагольский район, пгт. Шерегеш, ул. Хвойная,2/2</t>
  </si>
  <si>
    <t>Россия, Кемеровская область,  Таштагольский район, пгт. Шерегеш, ул. Хвойная,2/3</t>
  </si>
  <si>
    <t>Россия, Кемеровская область,  Таштагольский район, пгт. Шерегеш, ул. Хвойная,2/4</t>
  </si>
  <si>
    <t>Россия, Кемеровская область,  Таштагольский район, пгт. Шерегеш, ул. Хвойная,6</t>
  </si>
  <si>
    <t>Россия, Кемеровская область,  Таштагольский район, пгт. Шерегеш, ул. Хвойная,10</t>
  </si>
  <si>
    <t>Россия, Кемеровская область,  Таштагольский район, пгт. Шерегеш, ул. Хвойная,12</t>
  </si>
  <si>
    <t>Россия, Кемеровская область,  Таштагольский район,пгт.  Шерегеш, ул. Хвойная,32</t>
  </si>
  <si>
    <t>Россия, Кемеровская область,  Таштагольский район, пгт.  Шерегеш, ул. Звездная,1/1</t>
  </si>
  <si>
    <t>Россия, Кемеровская область,  Таштагольский район, пгт.  Шерегеш, ул. Звездная,1/2</t>
  </si>
  <si>
    <t>Россия, Кемеровская область,  Таштагольский район, пгт.  Шерегеш, ул. Звездная,1/3</t>
  </si>
  <si>
    <t>Россия, Кемеровская область,  Таштагольский район, пгт.  Шерегеш, ул. Звездная,1/4</t>
  </si>
  <si>
    <t>Россия, Кемеровская область,  Таштагольский район, пгт.  Шерегеш, ул. Звездная,3</t>
  </si>
  <si>
    <t>Россия, Кемеровская область,  Таштагольский район, пгт.  Шерегеш, ул. Звездная,7</t>
  </si>
  <si>
    <t>Россия, Кемеровская область,  Таштагольский район, пгт.  Шерегеш, ул. Звездная,9</t>
  </si>
  <si>
    <t>Россия, Кемеровская область,  Таштагольский район, пгт. Шерегеш, ул. Звездная,11</t>
  </si>
  <si>
    <t>Россия, Кемеровская область,  Таштагольский район, пгт.  Шерегеш, ул. Звездная,13</t>
  </si>
  <si>
    <t>Россия, Кемеровская область,  Таштагольский район, пгт.  Шерегеш, ул. Звездная,17</t>
  </si>
  <si>
    <t>Россия, Кемеровская область,  Таштагольский район, пгт. Шерегеш, ул. Ореховая,36</t>
  </si>
  <si>
    <t>Россия, Кемеровская область,  Таштагольский район, пгт. Шерегеш, ул. Ореховая,35</t>
  </si>
  <si>
    <t>Россия, Кемеровская область,  Таштагольский район, пгт. Шерегеш, ул. Звездная,23</t>
  </si>
  <si>
    <t>Россия, Кемеровская область,  Таштагольский район, пгт. Шерегеш, ул. Звездная,29</t>
  </si>
  <si>
    <t>Россия, Кемеровская область,  Таштагольский район, пгт. Шерегеш, ул. Рябиновая,48</t>
  </si>
  <si>
    <t>Россия, Кемеровская область,  Таштагольский район, пгт. Шерегеш, ул. Рябиновая,61</t>
  </si>
  <si>
    <t>Россия, Кемеровская область,  Таштагольский район, пгт. Шерегеш, ул. Рябиновая,63</t>
  </si>
  <si>
    <t>Россия, Кемеровская область,  Таштагольский район, пгт. Шерегеш, ул. Рябиновая,64</t>
  </si>
  <si>
    <t>Россия, Кемеровская область,  Таштагольский район, пгт. Шерегеш, ул. Ореховая,32</t>
  </si>
  <si>
    <t>Россия, Кемеровская область,  Таштагольский район, пгт. Шерегеш, ул. Ореховая,33</t>
  </si>
  <si>
    <t>Россия, Кемеровская область,  Таштагольский район, пгт. Шерегеш, ул. Ореховая,34</t>
  </si>
  <si>
    <t>Россия, Кемеровская область,  Таштагольский район, пгт. Шерегеш, ул. Ореховая,38</t>
  </si>
  <si>
    <t>Россия, Кемеровская область,  Таштагольский район, пгт. Шерегеш, ул. Ореховая,43</t>
  </si>
  <si>
    <t>Россия, Кемеровская область,  Таштагольский район, пгт. Шерегеш, ул. Ореховая,86</t>
  </si>
  <si>
    <t>Россия, Кемеровская область,  Таштагольский район, пгт. Шерегеш, ул. Ореховая,87</t>
  </si>
  <si>
    <t>Россия, Кемеровская область,  Таштагольский район, пгт. Шерегеш, ул. Ореховая,104</t>
  </si>
  <si>
    <t>Россия, Кемеровская область,  Таштагольский район, пгт. Шерегеш, ул. Шахтеров,130</t>
  </si>
  <si>
    <t>Россия, Кемеровская область,  Таштагольский район, пгт. Шерегеш, ул. Лунная,29</t>
  </si>
  <si>
    <t>Россия, Кемеровская область,  Таштагольский район, пгт. Шерегеш, ул. Лунная,31</t>
  </si>
  <si>
    <t>Россия, Кемеровская область,  Таштагольский район, пгт. Шерегеш, ул. Лунная,32</t>
  </si>
  <si>
    <t>Россия, Кемеровская область,  Таштагольский район, пгт. Шерегеш, ул. Лунная,37</t>
  </si>
  <si>
    <t>Россия, Кемеровская область,  Таштагольский район, пгт. Шерегеш, ул. Хвойная,31</t>
  </si>
  <si>
    <t>Россия, Кемеровская область,  Таштагольский район, пгт. Шерегеш, ул. Хвойная,38</t>
  </si>
  <si>
    <t>Россия, Кемеровская область,  Таштагольский район, пгт. Шерегеш, ул. Грозовая,24</t>
  </si>
  <si>
    <t>Россия, Кемеровская область,  Таштагольский район, пгт. Шерегеш, ул. Грозовая,27</t>
  </si>
  <si>
    <t>Россия, Кемеровская область,  Таштагольский район, пгт. Шерегеш, ул. Грозовая,29</t>
  </si>
  <si>
    <t>Россия, Кемеровская область,  Таштагольский район, пгт. Шерегеш, ул. Тихая,1/3</t>
  </si>
  <si>
    <t>Россия, Кемеровская область,  Таштагольский район, пгт. Шерегеш, ул. Тихая,3</t>
  </si>
  <si>
    <t>Россия, Кемеровская область,  Таштагольский район, пгт. Шерегеш, ул. Тихая,5</t>
  </si>
  <si>
    <t>Россия, Кемеровская область,  Таштагольский район, пгт. Шерегеш, ул. Тихая,7</t>
  </si>
  <si>
    <t>Россия, Кемеровская область,  Таштагольский район, пгт. Шерегеш, ул. Звездная,30</t>
  </si>
  <si>
    <t>Россия, Кемеровская область,  Таштагольский район, пгт.  Шерегеш, ул. Звездная,36</t>
  </si>
  <si>
    <t>Россия, Кемеровская область,  Таштагольский район, пгт. Шерегеш, ул. Звездная,38</t>
  </si>
  <si>
    <t>Россия, Кемеровская область,  Таштагольский район, пгт. Шерегеш, ул. Звездная,39</t>
  </si>
  <si>
    <t>Россия, Кемеровская область,  Таштагольский район, пгт. Шерегеш, ул. Ягодная,6</t>
  </si>
  <si>
    <t>Россия, Кемеровская область,  Таштагольский район, пгт. Шерегеш, ул. Ягодная,8</t>
  </si>
  <si>
    <t>Россия, Кемеровская область,  Таштагольский район, пгт. Шерегеш, ул. Ягодная,10</t>
  </si>
  <si>
    <t>Россия, Кемеровская область,  Таштагольский район, пгт. Шерегеш, ул. Ягодная,12</t>
  </si>
  <si>
    <t>Россия, Кемеровская область,  Таштагольский район, пгт. Шерегеш, ул. Ягодная,14</t>
  </si>
  <si>
    <t>Россия, Кемеровская область,  Таштагольский район, пгт. Шерегеш, ул. Ягодная,16</t>
  </si>
  <si>
    <t>Россия, Кемеровская область,  Таштагольский район, пгт. Шерегеш, ул. Ягодная,23</t>
  </si>
  <si>
    <t>Россия, Кемеровская область,  Таштагольский район, пгт. Шерегеш, ул. Ягодная,25</t>
  </si>
  <si>
    <t>Россия, Кемеровская область,  Таштагольский район, пгт. Шерегеш, ул. Ягодная,29</t>
  </si>
  <si>
    <t>Россия, Кемеровская область,  Таштагольский район, пгт. Шерегеш, ул. Арктическая,3</t>
  </si>
  <si>
    <t>Россия, Кемеровская область,  Таштагольский район, пгт. Шерегеш, ул. Арктическая,11</t>
  </si>
  <si>
    <t>Россия, Кемеровская область,  Таштагольский район, пгт. Шерегеш, ул. Арктическая,13</t>
  </si>
  <si>
    <t>Россия, Кемеровская область,  Таштагольский район, пгт. Шерегеш, ул. Арктическая,15</t>
  </si>
  <si>
    <t>Россия, Кемеровская область,  Таштагольский район, пгт. Шерегеш, ул. Арктическая,17</t>
  </si>
  <si>
    <t>Россия, Кемеровская область,  Таштагольский район, пгт. Шерегеш, ул. Арктическая,19</t>
  </si>
  <si>
    <t>Россия, Кемеровская область,  Таштагольский район, пгт. Шерегеш, ул. Арктическая,21</t>
  </si>
  <si>
    <t>Россия, Кемеровская область,  Таштагольский район, пгт. Шерегеш, ул. Арктическая,23</t>
  </si>
  <si>
    <t>Россия, Кемеровская область,  Таштагольский район, пгт. Шерегеш, ул. Арктическая,25</t>
  </si>
  <si>
    <t>Россия, Кемеровская область,  Таштагольский район, пгт. Шерегеш, ул. Арктическая,27</t>
  </si>
  <si>
    <t>Россия, Кемеровская область,  Таштагольский район, пгт. Шерегеш, ул. Ледовая,18</t>
  </si>
  <si>
    <t>Россия, Кемеровская область,  Таштагольский район, пгт. Шерегеш, ул. Ледовая,20</t>
  </si>
  <si>
    <t>Россия, Кемеровская область,  Таштагольский район, пгт. Шерегеш, ул. Ледовая,31</t>
  </si>
  <si>
    <t>Россия, Кемеровская область,  Таштагольский район, пгт. Шерегеш, ул. Ледовая,38</t>
  </si>
  <si>
    <t>Россия, Кемеровская область,  Таштагольский район, пгт. Шерегеш, ул. Ледовая,60</t>
  </si>
  <si>
    <t>Россия, Кемеровская область,  Таштагольский район, пгт. Шерегеш, ул. Ледовая,84</t>
  </si>
  <si>
    <t>Россия, Кемеровская область,  Таштагольский район, пгт. Шерегеш, ул. Ледовая,92</t>
  </si>
  <si>
    <t>Россия, Кемеровская область,  Таштагольский район, пгт. Шерегеш, ул. Ледовая,109</t>
  </si>
  <si>
    <t>Россия, Кемеровская область,  Таштагольский район, пгт. Шерегеш, ул. Ледовая,121</t>
  </si>
  <si>
    <t>Россия, Кемеровская область,  Таштагольский район, пгт. Шерегеш, ул. Ледовая,123</t>
  </si>
  <si>
    <t>Россия, Кемеровская область,  Таштагольский район, пгт. Шерегеш, ул. Ледовая,124</t>
  </si>
  <si>
    <t>Россия, Кемеровская область,  Таштагольский район, пгт. Шерегеш, ул. Ледовая,127</t>
  </si>
  <si>
    <t>Россия, Кемеровская область,  Таштагольский район, пгт. Шерегеш, ул. Ледовая,131</t>
  </si>
  <si>
    <t>Россия, Кемеровская область,  Таштагольский район, пгт. Шерегеш, ул. Ледовая,136</t>
  </si>
  <si>
    <t>Россия, Кемеровская область,  Таштагольский район, пгт. Шерегеш, ул. Ледовая,205</t>
  </si>
  <si>
    <t>Россия, Кемеровская область,  Таштагольский район, пгт. Шерегеш, ул. Ледовая,206</t>
  </si>
  <si>
    <t>Россия, Кемеровская область,  Таштагольский район, пгт. Шерегеш, ул. Ледовая,208</t>
  </si>
  <si>
    <t>Россия, Кемеровская область,  Таштагольский район, пгт. Шерегеш, ул. Ледовая,209</t>
  </si>
  <si>
    <t>Россия, Кемеровская область,  Таштагольский район, пгт. Шерегеш, ул. Славянская,40</t>
  </si>
  <si>
    <t>Россия, Кемеровская область,  Таштагольский район, пгт. Шерегеш, ул. Славянская,60</t>
  </si>
  <si>
    <t>Россия, Кемеровская область,  Таштагольский район, пгт. Шерегеш, ул. Славянская,95</t>
  </si>
  <si>
    <t>Россия, Кемеровская область,  Таштагольский район, пгт. Шерегеш, ул. Славянская,97</t>
  </si>
  <si>
    <t>Россия, Кемеровская область,  Таштагольский район, пгт. Шерегеш, ул. Славянская,99</t>
  </si>
  <si>
    <t>Россия, Кемеровская область,  Таштагольский район, пгт. Шерегеш, ул. Славянская,100</t>
  </si>
  <si>
    <t>Россия, Кемеровская область,  Таштагольский район, пгт. Шерегеш, ул. Славянская,236</t>
  </si>
  <si>
    <t>Россия, Кемеровская область,  Таштагольский район, пгт. Шерегеш, ул. Славянская,238</t>
  </si>
  <si>
    <t>Россия, Кемеровская область,  Таштагольский район, пгт. Шерегеш, ул. Славянская,240</t>
  </si>
  <si>
    <t>Россия, Кемеровская область,  Таштагольский район, пгт. Шерегеш, ул. Строителей,106/1</t>
  </si>
  <si>
    <t>Россия, Кемеровская область,  Таштагольский район, пгт. Шерегеш, ул. Строителей,112</t>
  </si>
  <si>
    <t>Россия, Кемеровская область,  Таштагольский район, пгт. Шерегеш, ул. Строителей,134</t>
  </si>
  <si>
    <t>Россия, Кемеровская область,  Таштагольский район, пгт. Шерегеш, ул. Хвойная,1</t>
  </si>
  <si>
    <t>Россия, Кемеровская область,  Таштагольский район, пгт. Шерегеш, ул. Хвойная,1/1</t>
  </si>
  <si>
    <t>Россия, Кемеровская область,  Таштагольский район, пгт. Шерегеш, ул. Хвойная,1/3</t>
  </si>
  <si>
    <t>Россия, Кемеровская область,  Таштагольский район, пгт. Шерегеш, ул. Хвойная,1/4</t>
  </si>
  <si>
    <t>Россия, Кемеровская область,  Таштагольский район, пгт. Шерегеш, ул. Хвойная,9</t>
  </si>
  <si>
    <t>Россия, Кемеровская область,  Таштагольский район, пгт. Шерегеш, ул. Хвойная,13</t>
  </si>
  <si>
    <t>Россия, Кемеровская область,  Таштагольский район, пгт. Шерегеш, ул. Хвойная,17</t>
  </si>
  <si>
    <t>Россия, Кемеровская область,  Таштагольский район, пгт. Шерегеш, ул. Хвойная,19</t>
  </si>
  <si>
    <t>Россия, Кемеровская область,  Таштагольский район, пгт. Шерегеш, ул. Хвойная,21</t>
  </si>
  <si>
    <t>Россия, Кемеровская область,  Таштагольский район, пгт. Шерегеш, ул. Хвойная,23</t>
  </si>
  <si>
    <t>Россия, Кемеровская область,  Таштагольский район, пгт. Шерегеш, ул. Арктическая,2/1</t>
  </si>
  <si>
    <t>Россия, Кемеровская область,  Таштагольский район, пгт. Шерегеш, ул. Арктическая,2/2</t>
  </si>
  <si>
    <t>Россия, Кемеровская область,  Таштагольский район, пгт. Шерегеш, ул. Арктическая,2/3</t>
  </si>
  <si>
    <t>Россия, Кемеровская область,  Таштагольский район, пгт. Шерегеш, ул. Арктическая,2/4</t>
  </si>
  <si>
    <t>Россия, Кемеровская область,  Таштагольский район, пгт. Шерегеш, ул. Лунная,15</t>
  </si>
  <si>
    <t>Россия, Кемеровская область,  Таштагольский район, пгт. Шерегеш, ул. Березовая,3</t>
  </si>
  <si>
    <t>Россия, Кемеровская область,  Таштагольский район, пгт. Шерегеш, ул. Березовая,5</t>
  </si>
  <si>
    <t>Россия, Кемеровская область,  Таштагольский район, пгт. Шерегеш, ул. Славянская,23</t>
  </si>
  <si>
    <t>Россия, Кемеровская область,  Таштагольский район, пгт. Шерегеш, ул. Грозовая,1/1</t>
  </si>
  <si>
    <t>Россия, Кемеровская область,  Таштагольский район, пгт. Шерегеш, ул. Ореховая,82</t>
  </si>
  <si>
    <t>Россия, Кемеровская область,  Таштагольский район, пгт. Шерегеш, ул. Ореховая,85</t>
  </si>
  <si>
    <t>Россия, Кемеровская область,  Таштагольский район,  пгт. Шерегеш, ул. Славянская,34</t>
  </si>
  <si>
    <t>Россия, Кемеровская область,  Таштагольский район,  пгт. Шерегеш, ул. Славянская,102</t>
  </si>
  <si>
    <t>Россия, Кемеровская область,  Таштагольский район,  пгт. Шерегеш, ул. Славянская,109</t>
  </si>
  <si>
    <t>Россия, Кемеровская область,  Таштагольский район,  пгт. Шерегеш, ул. Славянская,131</t>
  </si>
  <si>
    <t>Россия, Кемеровская область,  Таштагольский район,  пгт. Шерегеш, ул. Ледовая,51</t>
  </si>
  <si>
    <t>Россия, Кемеровская область,  Таштагольский район,  пгт. Шерегеш, ул. Рябиновая,14</t>
  </si>
  <si>
    <t>Россия, Кемеровская область,  Таштагольский район,  пгт. Шерегеш, ул. Рябиновая,33</t>
  </si>
  <si>
    <t>Россия, Кемеровская область,  Таштагольский район,  пгт. Шерегеш, ул. Рябиновая,39</t>
  </si>
  <si>
    <t>Россия, Кемеровская область,  Таштагольский район,  пгт. Шерегеш, ул. Рябиновая,82</t>
  </si>
  <si>
    <t>Россия, Кемеровская область,  Таштагольский район,  пгт. Шерегеш, ул. Крайняя,3</t>
  </si>
  <si>
    <t>Россия, Кемеровская область,  Таштагольский район,  пгт. Шерегеш, ул. Ягодная,27</t>
  </si>
  <si>
    <t>Россия, Кемеровская область,  Таштагольский район,  пгт. Шерегеш, ул. Арктическая,30</t>
  </si>
  <si>
    <t>Россия, Кемеровская область,  Таштагольский район,  пгт. Шерегеш, ул. Арктическая,31</t>
  </si>
  <si>
    <t>Россия, Кемеровская область,  Таштагольский район,  пгт. Шерегеш, ул. Арктическая,32</t>
  </si>
  <si>
    <t>Россия, Кемеровская область,  Таштагольский район,  пгт. Шерегеш, ул. Арктическая,34</t>
  </si>
  <si>
    <t>Россия, Кемеровская область,  Таштагольский район,  пгт. Шерегеш, ул. Арктическая,35</t>
  </si>
  <si>
    <t>Россия, Кемеровская область,  Таштагольский район,  пгт. Шерегеш, ул. Арктическая,36</t>
  </si>
  <si>
    <t>Россия, Кемеровская область,  Таштагольский район, пгт. Шерегеш, ул. Арктическая,37</t>
  </si>
  <si>
    <t>Россия, Кемеровская область,  Таштагольский район,  пгт. Шерегеш, ул. Арктическая,39</t>
  </si>
  <si>
    <t>Россия, Кемеровская область,  Таштагольский район,  пгт. Шерегеш, ул. Цветочная,28</t>
  </si>
  <si>
    <t>Россия, Кемеровская область,  Таштагольский район,  пгт. Шерегеш, ул. Цветочная,30</t>
  </si>
  <si>
    <t>Россия, Кемеровская область,  Таштагольский район,  пгт. Шерегеш, ул. Цветочная,34</t>
  </si>
  <si>
    <t>Россия, Кемеровская область,  Таштагольский район,  пгт. Шерегеш, ул. Цветочная,38</t>
  </si>
  <si>
    <t>Россия, Кемеровская область,  Таштагольский район,  пгт. Шерегеш, ул. Славянская,37</t>
  </si>
  <si>
    <t>Россия, Кемеровская область,  Таштагольский район,  пгт. Шерегеш, ул. Березовая,2</t>
  </si>
  <si>
    <t>Россия, Кемеровская область,  Таштагольский район,  пгт. Шерегеш, ул. Ореховая,56</t>
  </si>
  <si>
    <t>Россия, Кемеровская область,  Таштагольский район,  пгт. Шерегеш, ул. Ореховая,69</t>
  </si>
  <si>
    <t>Россия, Кемеровская область,  Таштагольский район,  пгт. Шерегеш, ул. Ореховая,70</t>
  </si>
  <si>
    <t>Россия, Кемеровская область,  Таштагольский район,  пгт. Шерегеш, ул. Ореховая,81</t>
  </si>
  <si>
    <t>42:12:0102015:1421</t>
  </si>
  <si>
    <t>42:12:0102015:1420</t>
  </si>
  <si>
    <t>42:12:0102015:1424</t>
  </si>
  <si>
    <t>42:12:0102015:1423</t>
  </si>
  <si>
    <t xml:space="preserve">Кемеровская область, Таштагольский район, пгт. Шерегеш, ВЛИ-0,4 кВ от опоры № 7 ВЛИ-0,4 кВ КТП № 148 "Кедровая" до опоры, установленной на границе земельного участка жилого дома по ул. Шахтеров, д. 57 в пгт. Шерегеш </t>
  </si>
  <si>
    <t xml:space="preserve">Кемеровская область, Таштагольский район, пгт. Шерегеш, ВЛИ-0,4 кВ от РУ-0,4 кВ КТП № 709 "Строителей-1" до опоры, установленной на границе земельного участка жилого дома по ул. Строителей, д. 141 в пгт. Шерегеш </t>
  </si>
  <si>
    <t xml:space="preserve">42:12:0105002:3125 </t>
  </si>
  <si>
    <t>1.4.26.1101</t>
  </si>
  <si>
    <t>42:12:0102015:1419</t>
  </si>
  <si>
    <t xml:space="preserve">Кемеровская область, Таштагольский район, пгт. Шерегеш, ВЛИ-0,4 кВ от опоры №9 ВЛИ-0,4 кВ КТП №148 «Кедровая» до опоры, установленной на границе земельного участка жилого дома по ул. Шахтеров, д. 16 в пгт. Шерегеш </t>
  </si>
  <si>
    <t>1.4.119</t>
  </si>
  <si>
    <t>1.4.120</t>
  </si>
  <si>
    <t>В оперативном управлении  МБОУ ДО "Детско-юношеская спортивная школа"</t>
  </si>
  <si>
    <t>В оперативном управлении  МКДОУ  детский сад  №4 "Родничок"</t>
  </si>
  <si>
    <t>1.4.26.1102</t>
  </si>
  <si>
    <t>Россия, Кемеровская область,  Таштагольский район, пгт. Шерегеш, ул. Ледовая,14</t>
  </si>
  <si>
    <t>42:12:0102015:1427</t>
  </si>
  <si>
    <t>/2005,8/</t>
  </si>
  <si>
    <t>42:12:0104001:3890</t>
  </si>
  <si>
    <t>42:12:0106002:4396</t>
  </si>
  <si>
    <t>42:12:0106002:4397</t>
  </si>
  <si>
    <t>42:12:0106002:4398</t>
  </si>
  <si>
    <t>42:12:0106002:4395</t>
  </si>
  <si>
    <t>42:34:0114011:102</t>
  </si>
  <si>
    <t xml:space="preserve">42:12:0105004:201 </t>
  </si>
  <si>
    <t>42:34:0102063:264</t>
  </si>
  <si>
    <t xml:space="preserve">42:34:0102063:265 </t>
  </si>
  <si>
    <t>В аренде Управления Судебного департамента в Кемеровской области</t>
  </si>
  <si>
    <t>42:12:0000000:726</t>
  </si>
  <si>
    <t>42:12:0000000:725</t>
  </si>
  <si>
    <t>Отдельно стоящее нежилое здание насосная 3 ключа</t>
  </si>
  <si>
    <t>Отдельно стоящее нежилое здание насосная 4 ключа</t>
  </si>
  <si>
    <t>1.1.549.5</t>
  </si>
  <si>
    <t>42:12:0106002:2390</t>
  </si>
  <si>
    <t>1.1.567.7</t>
  </si>
  <si>
    <t>42:12:0106002:3762</t>
  </si>
  <si>
    <t>1.1.520.5</t>
  </si>
  <si>
    <t>42:12:0105002:2749</t>
  </si>
  <si>
    <t>Земельный участок  для использования : размещение трансформаторной подстанции</t>
  </si>
  <si>
    <t>42:12:0102015:1439</t>
  </si>
  <si>
    <t xml:space="preserve">Кемеровская область, Таштагольский район, пгт. Шерегеш, трансформаторная подстанция КТП № 709 "Строителей-1"   в пгт. Шерегеш </t>
  </si>
  <si>
    <t>1.2.463</t>
  </si>
  <si>
    <t>Нежилое  здание, участковая больница</t>
  </si>
  <si>
    <t>Кемеровская область, Таштагольский район, пгт.Мундыбаш, ул.Кабалевского,4</t>
  </si>
  <si>
    <t xml:space="preserve">42:12:0106002:4405 </t>
  </si>
  <si>
    <t>42:34:0102012:8</t>
  </si>
  <si>
    <t>Земельный участок, использование: под индивидуальное жилье</t>
  </si>
  <si>
    <t>1.4.121</t>
  </si>
  <si>
    <t xml:space="preserve">Кемеровская область, Таштагольский район, пгт. Шерегеш, ВЛИ-0,4 кВ от опоры № 9 ВЛИ-0,4 кВ КТП № 148 "Кедровая" до опоры, установленной на границе земельного участка жилого дома по ул. Шахтеров, д. 16 в пгт. Шерегеш </t>
  </si>
  <si>
    <t>Кемеровская область, Таштагольский район,п.  Калары, ул.Луначарского,2</t>
  </si>
  <si>
    <t>объект незаверш. стр-ва</t>
  </si>
  <si>
    <t>1.5.407.4</t>
  </si>
  <si>
    <t>1.5.407.5</t>
  </si>
  <si>
    <t>1.5.407.6</t>
  </si>
  <si>
    <t>часть спортивного сооружения: Стадиона «Горняк"</t>
  </si>
  <si>
    <t>встроенное нежилое помещение спортивного сооружения: Стадиона «Горняк»</t>
  </si>
  <si>
    <t xml:space="preserve">В безвозмездном пользовании МБОУ ДО «Специализированная детско-юношеская спортивная школа олимпийского резерва по горнолыжному спорту» </t>
  </si>
  <si>
    <t>В безвозмездном пользовании МБОУ ДО «Специализированная детско-юношеская спортивная школа олимпийского резерва по сноуборду»</t>
  </si>
  <si>
    <t>1.5.407.7</t>
  </si>
  <si>
    <t>Россия, Кемеровская область,  Таштагольский район, пгт. Шерегеш, ул. Ореховая,15</t>
  </si>
  <si>
    <t>1.4.26.1105</t>
  </si>
  <si>
    <t>Россия, Кемеровская область,  Таштагольский район, пгт. Шерегеш, ул. Ореховая,54</t>
  </si>
  <si>
    <t>42:12:0102015:1136</t>
  </si>
  <si>
    <t>1.1.635.1</t>
  </si>
  <si>
    <t>1.1.635.2</t>
  </si>
  <si>
    <t>1.1.223.1</t>
  </si>
  <si>
    <t>1.1.223.2</t>
  </si>
  <si>
    <t>1.1.223.3</t>
  </si>
  <si>
    <t>1.1.223.4</t>
  </si>
  <si>
    <t>места общего пользования 13,9 кв.м</t>
  </si>
  <si>
    <t>1.1.221.1</t>
  </si>
  <si>
    <t>1.1.221.2</t>
  </si>
  <si>
    <t>1.1.221.3</t>
  </si>
  <si>
    <t>1.1.222.1</t>
  </si>
  <si>
    <t>1.1.222.2</t>
  </si>
  <si>
    <t>1.1.222.3</t>
  </si>
  <si>
    <t>1.1.222.4</t>
  </si>
  <si>
    <t>1.1.222.5</t>
  </si>
  <si>
    <t>1.1.840.18</t>
  </si>
  <si>
    <t>1.4.122</t>
  </si>
  <si>
    <t>42:34:0114015:57</t>
  </si>
  <si>
    <t>1.1.673.1</t>
  </si>
  <si>
    <t>1.1.673.2</t>
  </si>
  <si>
    <t>1.1.673.3</t>
  </si>
  <si>
    <t>1.1.673.4</t>
  </si>
  <si>
    <t>1.1.674.1</t>
  </si>
  <si>
    <t>1.1.674.2</t>
  </si>
  <si>
    <t>1.1.674.3</t>
  </si>
  <si>
    <t>1.1.674.4</t>
  </si>
  <si>
    <t>1.1.676.1</t>
  </si>
  <si>
    <t>1.1.676.2</t>
  </si>
  <si>
    <t>1.1.676.3</t>
  </si>
  <si>
    <t>1.1.679.1</t>
  </si>
  <si>
    <t>1.1.679.3</t>
  </si>
  <si>
    <t>1.1.679.4</t>
  </si>
  <si>
    <t>1.1.680.1</t>
  </si>
  <si>
    <t>1.1.680.2</t>
  </si>
  <si>
    <t>1.1.680.3</t>
  </si>
  <si>
    <t>1.1.680.4</t>
  </si>
  <si>
    <t>1.1.749.1</t>
  </si>
  <si>
    <t>1.1.749.2</t>
  </si>
  <si>
    <t>1.1.749.3</t>
  </si>
  <si>
    <t>1.1.749.4</t>
  </si>
  <si>
    <t>1-но этаж., бревенчатые</t>
  </si>
  <si>
    <t>1.1.619.1</t>
  </si>
  <si>
    <t>1.1.614.1</t>
  </si>
  <si>
    <t>1.1.614.3</t>
  </si>
  <si>
    <t>1.1.614.4</t>
  </si>
  <si>
    <t>82/414</t>
  </si>
  <si>
    <t>1.4.26.1106</t>
  </si>
  <si>
    <t>Россия, Кемеровская область,  Таштагольский район, пгт. Шерегеш, ул. Лунная,1/2</t>
  </si>
  <si>
    <t>42:12:0102015:1440</t>
  </si>
  <si>
    <t>1.1.845</t>
  </si>
  <si>
    <t>1.4.26.1108</t>
  </si>
  <si>
    <t>Россия, Кемеровская область,  Таштагольский район, пгт. Шерегеш, ул. Рябиновая,85</t>
  </si>
  <si>
    <t>42:12:0102015:1316</t>
  </si>
  <si>
    <t>1.1.229.1</t>
  </si>
  <si>
    <t>1.1.229.2</t>
  </si>
  <si>
    <t>1.1.229.3</t>
  </si>
  <si>
    <t>1.1.229.4</t>
  </si>
  <si>
    <t>1.1.229.5</t>
  </si>
  <si>
    <t>1.1.229.6</t>
  </si>
  <si>
    <t>1.1.229.7</t>
  </si>
  <si>
    <t>1.1.229.8</t>
  </si>
  <si>
    <t>1.1.230.1</t>
  </si>
  <si>
    <t>1.1.230.2</t>
  </si>
  <si>
    <t>1.1.230.3</t>
  </si>
  <si>
    <t>1.1.230.4</t>
  </si>
  <si>
    <t>1.1.230.5</t>
  </si>
  <si>
    <t>1.1.230.6</t>
  </si>
  <si>
    <t>1.1.230.7</t>
  </si>
  <si>
    <t>1.1.230.8</t>
  </si>
  <si>
    <t>1.1.234.1</t>
  </si>
  <si>
    <t>1.1.234.2</t>
  </si>
  <si>
    <t>1.1.231.1</t>
  </si>
  <si>
    <t>1.1.231.2</t>
  </si>
  <si>
    <t>1.1.231.3</t>
  </si>
  <si>
    <t>1.1.231.4</t>
  </si>
  <si>
    <t>1.1.231.5</t>
  </si>
  <si>
    <t>1-но этажное, бревенчатые</t>
  </si>
  <si>
    <t>1.1.232.1</t>
  </si>
  <si>
    <t>1.1.232.2</t>
  </si>
  <si>
    <t>1.1.232.3</t>
  </si>
  <si>
    <t>1.1.232.4</t>
  </si>
  <si>
    <t>1-но этажное, кирпичные</t>
  </si>
  <si>
    <t xml:space="preserve">42:34:0000000:282 </t>
  </si>
  <si>
    <t>Кемеровская область, р-н Таштагольский, Таштагольское городское поселение, г. Таштагол, ул. Геологическая</t>
  </si>
  <si>
    <t>Земельный участок, использование: под размещение сетей теплоснабжения</t>
  </si>
  <si>
    <t>1.4.26.1109</t>
  </si>
  <si>
    <t>1.4.26.1110</t>
  </si>
  <si>
    <t>1.4.26.1112</t>
  </si>
  <si>
    <t xml:space="preserve">Кемеровская область, Таштагольский район, пгт. Шерегеш, ВЛИ-0,4 кВ от РУ-0,4 кВ КТП № 709 "Строителей- 1" до опоры, установленной на границе земельного участка жилого дома по ул. Строителей,д.105 в пгт. Шерегеш </t>
  </si>
  <si>
    <t xml:space="preserve">Кемеровская область, Таштагольский район, пгт. Шерегеш, ВЛИ-0,4 кВ от опоры № 3 ВЛИ-0,4 кВ КТП № 708 "Строителей-1" до опоры, установленной на границе земельного участка жилого дома по ул. Строителей, д.3 в пгт. Шерегеш </t>
  </si>
  <si>
    <t xml:space="preserve">Кемеровская область, Таштагольский район, пгт. Шерегеш, ВЛИ-0,4 кВ от опоры № 5 ВЛИ-0,4 кВ КТП № 148 "Кедровая" до опоры, установленной на границе земельного участка жилого дома по ул. Шахтеров, д.9 в пгт. Шерегеш </t>
  </si>
  <si>
    <t>42:12:0102015:1441</t>
  </si>
  <si>
    <t>Россия, Кемеровская область,  Таштагольский район, пгт. Шерегеш, ул. Ледовая,144</t>
  </si>
  <si>
    <t>42:12:0102015:1444</t>
  </si>
  <si>
    <t>Россия, Кемеровская область,  Таштагольский район, пгт. Шерегеш, ул. Шахтеров,92</t>
  </si>
  <si>
    <t>42:12:0102015:1443</t>
  </si>
  <si>
    <t xml:space="preserve">Кемеровская область, Таштагольский муниципальный район, Мундыбашское городское поселение, пгт. Мундыбаш, ул. Ленина,28 </t>
  </si>
  <si>
    <t xml:space="preserve">Кемеровская область, Таштагольский муниципальный район, Мундыбашское городское поселение, пгт. Мундыбаш, ул. Ленина,27 </t>
  </si>
  <si>
    <t>1.1.846</t>
  </si>
  <si>
    <t>18-а</t>
  </si>
  <si>
    <t>1.1.846.9</t>
  </si>
  <si>
    <t>1.1.846.10</t>
  </si>
  <si>
    <t>1.1.846.12</t>
  </si>
  <si>
    <t>1.1.847</t>
  </si>
  <si>
    <t>1.1.847.1</t>
  </si>
  <si>
    <t>1.1.847.2</t>
  </si>
  <si>
    <t>1.1.847.7</t>
  </si>
  <si>
    <t>42:12:0105002:3392</t>
  </si>
  <si>
    <t xml:space="preserve">42:12:0105002:3395 </t>
  </si>
  <si>
    <t>42:12:0105002:3397</t>
  </si>
  <si>
    <t xml:space="preserve"> 42:12:0105002:3406</t>
  </si>
  <si>
    <t>3-х этажное, кирпичные</t>
  </si>
  <si>
    <t xml:space="preserve">42:12:0105002:3368 </t>
  </si>
  <si>
    <t>1.1.847.11</t>
  </si>
  <si>
    <t>1.1.847.12</t>
  </si>
  <si>
    <t>1.1.847.13</t>
  </si>
  <si>
    <t>1.1.847.17</t>
  </si>
  <si>
    <t>1.1.847.19</t>
  </si>
  <si>
    <t>42:12:0105002:3373</t>
  </si>
  <si>
    <t>42:12:0105002:3374</t>
  </si>
  <si>
    <t xml:space="preserve">42:12:0105002:3377 </t>
  </si>
  <si>
    <t xml:space="preserve">42:12:0105002:3382 </t>
  </si>
  <si>
    <t>42:12:0105002:3387</t>
  </si>
  <si>
    <t xml:space="preserve">42:12:0105002:3391 </t>
  </si>
  <si>
    <t>1.4.26.1113</t>
  </si>
  <si>
    <t>1.4.26.1114</t>
  </si>
  <si>
    <t>Россия, Кемеровская область,  Таштагольский район, пгт. Шерегеш, ул. Ореховая,4</t>
  </si>
  <si>
    <t>42:12:0102015:1445</t>
  </si>
  <si>
    <t>42:12:0102015:1448</t>
  </si>
  <si>
    <t>Россия, Кемеровская область,  Таштагольский район, пгт. Шерегеш, ул. Ореховая,45</t>
  </si>
  <si>
    <t>Россия, Кемеровская область,  Таштагольский район, пгт. Шерегеш, ул. Ореховая,48</t>
  </si>
  <si>
    <t>42:12:0102015:1447</t>
  </si>
  <si>
    <t>42:12:0000000:259</t>
  </si>
  <si>
    <t>Отдельно стоящее нежилое здание склада баллонов /НФС Тельбес/</t>
  </si>
  <si>
    <t>Кемеровская область, г.Таштагол, ул. Садовая,60А/1 (Дальняя Каменушка)</t>
  </si>
  <si>
    <t>Здание /насосная Бахаревка/</t>
  </si>
  <si>
    <t>Отдельно стоящее нежилое здание  доочистки</t>
  </si>
  <si>
    <t>Отдельно стоящее нежилое здание биофильтра</t>
  </si>
  <si>
    <t xml:space="preserve">Здание хлораторной </t>
  </si>
  <si>
    <t>Здание хлораторной станции</t>
  </si>
  <si>
    <t xml:space="preserve">Отдельно стоящее нежилое здание канализационной насосной </t>
  </si>
  <si>
    <t xml:space="preserve">Отдельно стоящее нежилое здание раскомандировки и насосной станции </t>
  </si>
  <si>
    <t>Резервуар фильтровальной воды емкостью 250 куб.м.</t>
  </si>
  <si>
    <t>Подстанция 6/0,4 кВ с оборудованием на очистные сооружения</t>
  </si>
  <si>
    <t>Трансформаторная подстанция ТП-6/04кВ на насосную станцию</t>
  </si>
  <si>
    <t>1.1.751.13</t>
  </si>
  <si>
    <t>1.1.432.2</t>
  </si>
  <si>
    <t>1.1.34.6</t>
  </si>
  <si>
    <t>1.1.67.5</t>
  </si>
  <si>
    <t>1.1.412.5</t>
  </si>
  <si>
    <t>Кемеровская область, Таштагольский район, пгт.Шерегеш, ул.Кирова12а</t>
  </si>
  <si>
    <t>Земельный участок, разрешенное использование: под насосную станцию 4 ключа</t>
  </si>
  <si>
    <t>Земельный участок, разрешенное использование: под  насосную станцию "Большая речка"</t>
  </si>
  <si>
    <t>42:12:0102001:69</t>
  </si>
  <si>
    <t xml:space="preserve">42:12:0102013:174 </t>
  </si>
  <si>
    <t>Земельный участок, использование: под очистные сооружения</t>
  </si>
  <si>
    <t>1.4.123</t>
  </si>
  <si>
    <t>1.4.124</t>
  </si>
  <si>
    <t>1.4.125</t>
  </si>
  <si>
    <t>1.4.126</t>
  </si>
  <si>
    <t>42:34:0105016:13</t>
  </si>
  <si>
    <t>42:12:0104001:2018</t>
  </si>
  <si>
    <t>42:12:0104001:1930</t>
  </si>
  <si>
    <t xml:space="preserve">42:34:0113047:6 </t>
  </si>
  <si>
    <t>Земельный участок, использование: под производственную территорию</t>
  </si>
  <si>
    <t>1.4.26.1116</t>
  </si>
  <si>
    <t>1.4.26.1117</t>
  </si>
  <si>
    <t>1.4.26.1118</t>
  </si>
  <si>
    <t>Россия, Кемеровская область,  Таштагольский район, пгт. Шерегеш, ул. Рябиновая,43</t>
  </si>
  <si>
    <t>42:12:0102015:1205</t>
  </si>
  <si>
    <t>Россия, Кемеровская область,  Таштагольский район, пгт. Шерегеш, ул. Рябиновая,44</t>
  </si>
  <si>
    <t>42:12:0102015:1178</t>
  </si>
  <si>
    <t>1.4.26.1123</t>
  </si>
  <si>
    <t>1.4.26.1124</t>
  </si>
  <si>
    <t>1.4.26.1127</t>
  </si>
  <si>
    <t>Россия, Кемеровская область,  Таштагольский район, пгт. Шерегеш, ул. Березовая,2/1</t>
  </si>
  <si>
    <t>42:12:0102015:1464</t>
  </si>
  <si>
    <t>Россия, Кемеровская область,  Таштагольский район, пгт. Шерегеш, ул. Березовая,9</t>
  </si>
  <si>
    <t>42:12:0102015:1466</t>
  </si>
  <si>
    <t>1.4.26.1128</t>
  </si>
  <si>
    <t>1.3.121.1</t>
  </si>
  <si>
    <t>Россия, Кемеровская область,  Таштагольский район, пгт. Шерегеш, ул. Березовая,15</t>
  </si>
  <si>
    <t>42:12:0102015:1469</t>
  </si>
  <si>
    <t>42:12:0102015:1470</t>
  </si>
  <si>
    <t>Россия, Кемеровская область,  Таштагольский район, пгт. Шерегеш, ул. Березовая,17</t>
  </si>
  <si>
    <t>Земельный участок, использование: для использования в целях под очистные сооружения</t>
  </si>
  <si>
    <t>42:12:0102004:22</t>
  </si>
  <si>
    <t>Земельный участок, использование:Водобаки</t>
  </si>
  <si>
    <t>Земельный участок, использование: гидрозолоудаление</t>
  </si>
  <si>
    <t>1.1.848</t>
  </si>
  <si>
    <t>1.1.848.6</t>
  </si>
  <si>
    <t>1.1.848.7</t>
  </si>
  <si>
    <t xml:space="preserve">42:34:0103010:51 </t>
  </si>
  <si>
    <t>30в</t>
  </si>
  <si>
    <t xml:space="preserve">42:34:0103010:61 </t>
  </si>
  <si>
    <t xml:space="preserve">42:34:0103010:62 </t>
  </si>
  <si>
    <t>1.4.26.1131</t>
  </si>
  <si>
    <t>1.4.26.1133</t>
  </si>
  <si>
    <t>Россия, Кемеровская область,  Таштагольский район, пгт. Шерегеш, ул. Рябиновая,54</t>
  </si>
  <si>
    <t>Россия, Кемеровская область,  Таштагольский район, пгт. Шерегеш, ул. Рябиновая,58</t>
  </si>
  <si>
    <t xml:space="preserve">42:12:0102015:1183 </t>
  </si>
  <si>
    <t xml:space="preserve">42:12:0102015:1185 </t>
  </si>
  <si>
    <t>Кемеровская область, Таштагольский район, пос. Кондома</t>
  </si>
  <si>
    <t>1.4.127</t>
  </si>
  <si>
    <t>1.4.128</t>
  </si>
  <si>
    <t>1.4.129</t>
  </si>
  <si>
    <t>1.4.130</t>
  </si>
  <si>
    <t>1.4.132</t>
  </si>
  <si>
    <t>1.4.133</t>
  </si>
  <si>
    <t>1.4.134</t>
  </si>
  <si>
    <t>Земельный участок, разрешенное использование: под  фильтровальную станцию</t>
  </si>
  <si>
    <t>42:12:0102001:73</t>
  </si>
  <si>
    <t>Земельный участок, разрешенное использование: под  водозаборные сооружения</t>
  </si>
  <si>
    <t>42:12:0106002:89</t>
  </si>
  <si>
    <t>42:12:0106001:2</t>
  </si>
  <si>
    <t>Земельный участок, использование:  под очистные сооружения</t>
  </si>
  <si>
    <t>1.4.26.1135</t>
  </si>
  <si>
    <t>1.4.26.1139</t>
  </si>
  <si>
    <t>1.4.26.1140</t>
  </si>
  <si>
    <t>1.4.26.1141</t>
  </si>
  <si>
    <t>Россия, Кемеровская область,  Таштагольский район, пгт. Шерегеш, ул. Цветочная,31</t>
  </si>
  <si>
    <t>Россия, Кемеровская область,  Таштагольский район, пгт. Шерегеш, ул. Цветочная,39</t>
  </si>
  <si>
    <t xml:space="preserve">42:12:0102015:1345 </t>
  </si>
  <si>
    <t>42:12:0102015:1347</t>
  </si>
  <si>
    <t xml:space="preserve">42:12:0102015:1306 </t>
  </si>
  <si>
    <t>Россия, Кемеровская область,  Таштагольский район, пгт. Шерегеш, ул.Хвойная,11</t>
  </si>
  <si>
    <t>42:12:0105002:3418</t>
  </si>
  <si>
    <t xml:space="preserve"> 42:12:0106002:4412  </t>
  </si>
  <si>
    <t xml:space="preserve">42:12:0102002:1996 </t>
  </si>
  <si>
    <t xml:space="preserve">42:12:0102003:1300 </t>
  </si>
  <si>
    <t xml:space="preserve">42:34:0101040:215 </t>
  </si>
  <si>
    <t xml:space="preserve">42:34:0101043:424 </t>
  </si>
  <si>
    <t xml:space="preserve">42:34:0101044:396 </t>
  </si>
  <si>
    <t>1.1.565.5</t>
  </si>
  <si>
    <t>квартира-спец. жилищ. фонд</t>
  </si>
  <si>
    <t>1.1.187.6</t>
  </si>
  <si>
    <t xml:space="preserve"> 42:12:0105002:3416 </t>
  </si>
  <si>
    <t>1.3.215</t>
  </si>
  <si>
    <t>Кемеровская область, Таштагольское городское поселение, г. Таштагол, ул. Нестерова,26а, пом.49</t>
  </si>
  <si>
    <t>Встроенное нежилое помещение для размещения детского сада на 35 мест в 5-ти этажном многоквартирном жилом доме</t>
  </si>
  <si>
    <t xml:space="preserve">42:34:0103007:152 </t>
  </si>
  <si>
    <t>Кемеровская область, Таштагольский район, пгт. Мундыбаш, ул. Ленина,27</t>
  </si>
  <si>
    <t>Кемеровская область, Таштагольский район, пгт. Мундыбаш, ул. Ленина,28</t>
  </si>
  <si>
    <t>Земельный участок 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</si>
  <si>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>42:12:0106002:65</t>
  </si>
  <si>
    <t>42:12:0106002:66</t>
  </si>
  <si>
    <t xml:space="preserve">Кемеровская область, г. Таштагол, ул. Лазо,4 </t>
  </si>
  <si>
    <t>Кемеровская область, Таштагольский район, г. Таштагол, ул. Островского,9</t>
  </si>
  <si>
    <t>Кемеровская область, Таштагольский район, пгт. Мундыбаш, ул. Кабалевского,4</t>
  </si>
  <si>
    <t xml:space="preserve">Кемеровская область, г. Таштагол, ул.Ленина,21А
</t>
  </si>
  <si>
    <t>1.4.26.1142</t>
  </si>
  <si>
    <t>1.4.26.1143</t>
  </si>
  <si>
    <t>1.4.26.1144</t>
  </si>
  <si>
    <t>1.4.26.1145</t>
  </si>
  <si>
    <t>1.4.26.1146</t>
  </si>
  <si>
    <t>1.4.26.1147</t>
  </si>
  <si>
    <t>1.4.26.1148</t>
  </si>
  <si>
    <t>1.4.26.1149</t>
  </si>
  <si>
    <t>1.4.26.1151</t>
  </si>
  <si>
    <t>1.4.26.1152</t>
  </si>
  <si>
    <t>Россия, Кемеровская область,  Таштагольский район, пгт. Шерегеш, ул. Тихая,1/1</t>
  </si>
  <si>
    <t>42:12:0102015:1480</t>
  </si>
  <si>
    <t>Россия, Кемеровская область,  Таштагольский район, пгт. Шерегеш, ул. Тихая,1/2</t>
  </si>
  <si>
    <t>42:12:0102015:1481</t>
  </si>
  <si>
    <t>Россия, Кемеровская область,  Таштагольский район, пгт. Шерегеш, ул. Тихая,2</t>
  </si>
  <si>
    <t>42:12:0102015:1482</t>
  </si>
  <si>
    <t>Россия, Кемеровская область,  Таштагольский район, пгт. Шерегеш, ул. Тихая,4</t>
  </si>
  <si>
    <t>42:12:0102015:1483</t>
  </si>
  <si>
    <t>42:12:0102015:1487</t>
  </si>
  <si>
    <t>42:12:0102015:1484</t>
  </si>
  <si>
    <t>Россия, Кемеровская область,  Таштагольский район, пгт. Шерегеш, ул. Тихая,11</t>
  </si>
  <si>
    <t>Россия, Кемеровская область,  Таштагольский район, пгт. Шерегеш, ул. Тихая,13</t>
  </si>
  <si>
    <t>42:12:0102015:1485</t>
  </si>
  <si>
    <t>Россия, Кемеровская область,  Таштагольский район, пгт. Шерегеш, ул. Тихая,15</t>
  </si>
  <si>
    <t>42:12:0102015:1486</t>
  </si>
  <si>
    <t>Россия, Кемеровская область,  Таштагольский район, пгт. Шерегеш, ул. Тихая,17</t>
  </si>
  <si>
    <t>1.2.464</t>
  </si>
  <si>
    <t>1.2.465</t>
  </si>
  <si>
    <t>1.2.466</t>
  </si>
  <si>
    <t>42:12:0106002:4415</t>
  </si>
  <si>
    <t xml:space="preserve">одноэтажное с подвалом, кирпичное  </t>
  </si>
  <si>
    <t xml:space="preserve">Отдельно стоящее нежилое здание склада-погреба </t>
  </si>
  <si>
    <t>Отдельно стоящее нежилое здание овощехранилища</t>
  </si>
  <si>
    <t>42:12:0106002:4413</t>
  </si>
  <si>
    <t>42:12:0106002:4414</t>
  </si>
  <si>
    <t>одноэтажное с подвалом, дощатые</t>
  </si>
  <si>
    <t>42:12:0102006:1527</t>
  </si>
  <si>
    <t>1.4.26.1153</t>
  </si>
  <si>
    <t>1.4.26.1154</t>
  </si>
  <si>
    <t>1.4.26.1155</t>
  </si>
  <si>
    <t>1.4.26.1156</t>
  </si>
  <si>
    <t>1.4.26.1157</t>
  </si>
  <si>
    <t>1.4.26.1158</t>
  </si>
  <si>
    <t>Россия, Кемеровская область,  Таштагольский район, пгт. Шерегеш, ул.Крайняя,5</t>
  </si>
  <si>
    <t xml:space="preserve"> 42:12:0102015:1495  </t>
  </si>
  <si>
    <t>Земельный участок  для использования : для иных видов жилой застройки</t>
  </si>
  <si>
    <t xml:space="preserve">42:12:0102015:1497 </t>
  </si>
  <si>
    <t>Россия, Кемеровская область,  Таштагольский район, пгт. Шерегеш, ул. Березовая,12</t>
  </si>
  <si>
    <t>Россия, Кемеровская область,  Таштагольский район, пгт. Шерегеш, ул. Березовая,14</t>
  </si>
  <si>
    <t xml:space="preserve">42:12:0102015:1498 </t>
  </si>
  <si>
    <t>Россия, Кемеровская область,  Таштагольский район, пгт. Шерегеш, ул. Березовая,16</t>
  </si>
  <si>
    <t xml:space="preserve">42:12:0102015:1499 </t>
  </si>
  <si>
    <t>Россия, Кемеровская область,  Таштагольский район, пгт. Шерегеш, ул. Березовая,26</t>
  </si>
  <si>
    <t xml:space="preserve">42:12:0102015:1500 </t>
  </si>
  <si>
    <t>Россия, Кемеровская область,  Таштагольский район, пгт. Шерегеш, ул. Березовая,18</t>
  </si>
  <si>
    <t xml:space="preserve"> 42:12:0102015:1501  </t>
  </si>
  <si>
    <t>Россия, Кемеровская область,  Таштагольский район, пгт. Шерегеш, ул. Березовая,20</t>
  </si>
  <si>
    <t xml:space="preserve">42:12:0102015:1502 </t>
  </si>
  <si>
    <t>Россия, Кемеровская область,  Таштагольский район, пгт. Шерегеш, ул. Березовая,22</t>
  </si>
  <si>
    <t>Россия, Кемеровская область,  Таштагольский район, пгт. Шерегеш, ул. Березовая,24</t>
  </si>
  <si>
    <t xml:space="preserve">42:12:0102015:1503 </t>
  </si>
  <si>
    <t xml:space="preserve">42:12:0102015:1504 </t>
  </si>
  <si>
    <t>Отдельно стоящее нежилое здание  насосной и водохранилище р.Тельбес</t>
  </si>
  <si>
    <t>общая протяж. 11645 м</t>
  </si>
  <si>
    <t>Водопроводные сети от центральной котельной до скважины</t>
  </si>
  <si>
    <t>Сети наружного водопровода к жилому дому ул. Школьная, 2</t>
  </si>
  <si>
    <t>Блок резервуаров очистных сооружений</t>
  </si>
  <si>
    <t xml:space="preserve">Насосная станция </t>
  </si>
  <si>
    <t>Резервуар N2 емкость 500м3 (бак воды)</t>
  </si>
  <si>
    <t>Земельный участок, разрешенное использование: под насосную станция 3 ключа</t>
  </si>
  <si>
    <t>В безвоз.пользовании Администрции Каларского сельского поселения, договор безвозм. польз.</t>
  </si>
  <si>
    <t>Кемеровская область, г.Таштагол, ул.Поспелова,20,пом.2</t>
  </si>
  <si>
    <t>1.2.303.1</t>
  </si>
  <si>
    <t>1-но этажное, ж/бет плиты</t>
  </si>
  <si>
    <t>Земельный участок, разрешенное использование: под размещение объектов капитального строительства спортивных залов, бассейнов, площадок для занятий спортом и физкультурой</t>
  </si>
  <si>
    <t>Здание /насосной станции/</t>
  </si>
  <si>
    <t xml:space="preserve">Кемеровская область,Таштагольский район,  г. Таштагол, ул.Ноградская,7
</t>
  </si>
  <si>
    <t>1.4.26.1159</t>
  </si>
  <si>
    <t>1.4.26.1160</t>
  </si>
  <si>
    <t>Россия, Кемеровская область,  Таштагольский район, пгт. Шерегеш, ул. Цветочная,6</t>
  </si>
  <si>
    <t>Россия, Кемеровская область,  Таштагольский район, пгт. Шерегеш, ул. Цветочная,8</t>
  </si>
  <si>
    <t>42:12:0102015:1474</t>
  </si>
  <si>
    <t>42:12:0102015:1475</t>
  </si>
  <si>
    <t>1.1.849</t>
  </si>
  <si>
    <t>1.1.849.1</t>
  </si>
  <si>
    <t>52а</t>
  </si>
  <si>
    <t>1.1.849.9</t>
  </si>
  <si>
    <t>1.1.849.13</t>
  </si>
  <si>
    <t>1.1.849.15</t>
  </si>
  <si>
    <t>пятиэтажное здание, монолитные</t>
  </si>
  <si>
    <t>1.1.849.26</t>
  </si>
  <si>
    <t>42:34:0101042:449</t>
  </si>
  <si>
    <t>42:34:0101042:453</t>
  </si>
  <si>
    <t>42:34:0101042:440</t>
  </si>
  <si>
    <t>42:34:0101042:466</t>
  </si>
  <si>
    <t>Кемеровская область, г.Таштагол, ул.Поспелова,20,помещение 201</t>
  </si>
  <si>
    <t>1-но этажное , брусчатое</t>
  </si>
  <si>
    <t xml:space="preserve">42:34:0101042:455 </t>
  </si>
  <si>
    <t>1.2.467</t>
  </si>
  <si>
    <t>1.2.469</t>
  </si>
  <si>
    <t>1.2.470</t>
  </si>
  <si>
    <t xml:space="preserve">одноэтажное , кирпичное  </t>
  </si>
  <si>
    <t>1.1.850</t>
  </si>
  <si>
    <t>38а</t>
  </si>
  <si>
    <t>1.1.850.3</t>
  </si>
  <si>
    <t>1.1.850.5</t>
  </si>
  <si>
    <t>1.1.850.7</t>
  </si>
  <si>
    <t>1.1.850.10</t>
  </si>
  <si>
    <t>1.1.850.14</t>
  </si>
  <si>
    <t>1.1.850.16</t>
  </si>
  <si>
    <t>1.1.850.18</t>
  </si>
  <si>
    <t>1.1.850.21</t>
  </si>
  <si>
    <t>1.1.850.22</t>
  </si>
  <si>
    <t>1.1.850.23</t>
  </si>
  <si>
    <t>1.1.850.25</t>
  </si>
  <si>
    <t>1.1.850.26</t>
  </si>
  <si>
    <t>1.1.850.30</t>
  </si>
  <si>
    <t>1.1.850.31</t>
  </si>
  <si>
    <t>1.1.850.32</t>
  </si>
  <si>
    <t>1.1.850.40</t>
  </si>
  <si>
    <t>1.1.850.46</t>
  </si>
  <si>
    <t>1.1.851.</t>
  </si>
  <si>
    <t>1.1.851.1</t>
  </si>
  <si>
    <t>1.1.851.7</t>
  </si>
  <si>
    <t>1.1.851.8</t>
  </si>
  <si>
    <t>1.1.851.9</t>
  </si>
  <si>
    <t>1.1.852.</t>
  </si>
  <si>
    <t>1.1.852.2</t>
  </si>
  <si>
    <t>1.1.852.5</t>
  </si>
  <si>
    <t>1.1.852.9</t>
  </si>
  <si>
    <t>1.1.852.15</t>
  </si>
  <si>
    <t>20а/1</t>
  </si>
  <si>
    <t>1.1.52.40</t>
  </si>
  <si>
    <t xml:space="preserve">42:12:0107001:1 </t>
  </si>
  <si>
    <t>Земельный участок, разрешенное использование: под дом культуры</t>
  </si>
  <si>
    <t>1.3.90.1</t>
  </si>
  <si>
    <t>Распр. админ. Таштагол. муниц. района от 04.09.2017г. №681-р</t>
  </si>
  <si>
    <t>1.1.847.20</t>
  </si>
  <si>
    <t>42:12:0105002:3388</t>
  </si>
  <si>
    <t>1.1.846.18</t>
  </si>
  <si>
    <t>42:12:0105002:3408</t>
  </si>
  <si>
    <t>42:12:0102004:989</t>
  </si>
  <si>
    <t>42:12:0102004:1017</t>
  </si>
  <si>
    <t>42:12:0102004:1020</t>
  </si>
  <si>
    <t>42:12:0102004:1021</t>
  </si>
  <si>
    <t>Кемеровская область, Таштагольский район,  г. Таштагол, ул. Поспелова,19</t>
  </si>
  <si>
    <t>42:34:0106002:62</t>
  </si>
  <si>
    <t>Кемеровская область, Таштагольский район, пгт. Мундыбаш, ул. Ленина,5</t>
  </si>
  <si>
    <t>1.4.135</t>
  </si>
  <si>
    <t>1.4.136</t>
  </si>
  <si>
    <t>1.4.137</t>
  </si>
  <si>
    <t>42:12:0103002:782</t>
  </si>
  <si>
    <t xml:space="preserve">42:34:0101041:195 </t>
  </si>
  <si>
    <t>42:12:0111001:234</t>
  </si>
  <si>
    <t xml:space="preserve">  42:12:0106002:4428</t>
  </si>
  <si>
    <t xml:space="preserve">  42:12:0106002:4430</t>
  </si>
  <si>
    <t xml:space="preserve">  42:12:0106002:4433</t>
  </si>
  <si>
    <t xml:space="preserve">  42:12:0106002:4437</t>
  </si>
  <si>
    <t xml:space="preserve">  42:12:0106002:4441</t>
  </si>
  <si>
    <t xml:space="preserve">  42:12:0106002:4445</t>
  </si>
  <si>
    <t xml:space="preserve">  42:12:0106002:4446</t>
  </si>
  <si>
    <t xml:space="preserve">  42:12:0106002:4447</t>
  </si>
  <si>
    <t xml:space="preserve">  42:12:0106002:4449</t>
  </si>
  <si>
    <t>42:12:0106002:4425</t>
  </si>
  <si>
    <t xml:space="preserve">  42:12:0106002:4450</t>
  </si>
  <si>
    <t xml:space="preserve">  42:12:0106002:4455</t>
  </si>
  <si>
    <t xml:space="preserve">  42:12:0106002:4456</t>
  </si>
  <si>
    <t xml:space="preserve">  42:12:0106002:4457</t>
  </si>
  <si>
    <t xml:space="preserve">  42:12:0106002:4465</t>
  </si>
  <si>
    <t xml:space="preserve">5-ти этажное, монолитное </t>
  </si>
  <si>
    <t>42:34:0000000:337</t>
  </si>
  <si>
    <t>42:34:0101044:401</t>
  </si>
  <si>
    <t>1.2.367.3</t>
  </si>
  <si>
    <t>42:34:0101044:400</t>
  </si>
  <si>
    <t>42:34:0106003:530</t>
  </si>
  <si>
    <t>В аренде Территориального  органа Федеральной службы государственной статистики по Кемеровской области</t>
  </si>
  <si>
    <t>В арендном пользовании МУ "Городская стоматологическая поликлиника" -ИП Крикунова Е.А.</t>
  </si>
  <si>
    <t>В аренде  Эрих М.В.</t>
  </si>
  <si>
    <t>площ.336 кв.м.., длина 120м., ширина 2,8м.</t>
  </si>
  <si>
    <t>В арендном пользовании Варганова А.В.</t>
  </si>
  <si>
    <t xml:space="preserve">Кемеровская обл., Таштагольский район, 
пгт. Спасск 
</t>
  </si>
  <si>
    <t>односторонее, на  205 метал. опорах, свет РКУ-подвеска оптико-волоконной связи</t>
  </si>
  <si>
    <t>В арендном пользовании ИП Изотова А.Н.</t>
  </si>
  <si>
    <t>42:12:0107001:345</t>
  </si>
  <si>
    <t>42:12:0107001:346</t>
  </si>
  <si>
    <t xml:space="preserve">Кемеровская область, район Таштагольский, п. Кондома, ул. Центральная,12 </t>
  </si>
  <si>
    <t>Кемеровская область, Таштагольский район, г.Таштагол,  ул.Коммунистическая,21а</t>
  </si>
  <si>
    <t>42:34:0114011:5</t>
  </si>
  <si>
    <t xml:space="preserve">Встроенное нежилое помещение почты </t>
  </si>
  <si>
    <t>Распр. КУМИ №142 от 21.09.2007 г.</t>
  </si>
  <si>
    <t>Кемеровская область, Таштагольский район, пос.Мрассу, ул.Набережная,41</t>
  </si>
  <si>
    <t>В безвозмездном пользовании ООО "Российский союз ветеранов Афганистана"</t>
  </si>
  <si>
    <t>42:34:0114009:175</t>
  </si>
  <si>
    <t xml:space="preserve">Помещение № 1 из встроенного нежилого помещения с кадастровым № 42:12:0101001:237 </t>
  </si>
  <si>
    <t>1.2.382.1</t>
  </si>
  <si>
    <t>42:12:0110001:1582</t>
  </si>
  <si>
    <t xml:space="preserve">Пристроенное к гаражу нежилое помещение котельной </t>
  </si>
  <si>
    <t>42:12:0110001:1583</t>
  </si>
  <si>
    <t>42:12:0110001:1584</t>
  </si>
  <si>
    <t>Встроенное нежилое помещение администрации        (ранее - Административное здание Управления)</t>
  </si>
  <si>
    <t>42:12:0110001:1585</t>
  </si>
  <si>
    <t>В безвозмездном пользовании МКУ "Управление образования Адм-ции Таштагол. муниц. р-на"</t>
  </si>
  <si>
    <t>Отдельно стоящее нежилое здание склада для котельной</t>
  </si>
  <si>
    <t>Кемеровская область, Таштагольский район,пос.Базанча, ул.Комарова,77а</t>
  </si>
  <si>
    <t>Отдельно стоящее нежилое здание котельной (ранее:Пеллетно-угольная котельная детского сада № 9 п. Базанча)</t>
  </si>
  <si>
    <t>Отдельно стоящее нежилое здание котельной (ранее:Пеллетно-угольная котельная школы №30 п. Калары)</t>
  </si>
  <si>
    <t>1-но этажное, сендвич-панели</t>
  </si>
  <si>
    <t>1.4.139</t>
  </si>
  <si>
    <t>1.4.140</t>
  </si>
  <si>
    <t>1.4.141</t>
  </si>
  <si>
    <t>42:12:0105002:389</t>
  </si>
  <si>
    <t>Кемеровская область, Таштагольский район,пос.Базанча, ул.Комарова</t>
  </si>
  <si>
    <t xml:space="preserve">полиэтилен. трубы; </t>
  </si>
  <si>
    <t>1.4.142</t>
  </si>
  <si>
    <t>1.4.143</t>
  </si>
  <si>
    <t>1.4.144</t>
  </si>
  <si>
    <t>1.4.145</t>
  </si>
  <si>
    <t>42:12:0103002:785</t>
  </si>
  <si>
    <t>42:12:0103001:342</t>
  </si>
  <si>
    <t>Земельный участок, разрешенное использование: размещение объектов капитального строительства, предназначенных для воспитания, образования и просвещения</t>
  </si>
  <si>
    <t>Кемеровская область, район Таштагольский, п. Чугунаш, ул. Станционная,14</t>
  </si>
  <si>
    <t>42:12:0108001:364</t>
  </si>
  <si>
    <t>42:12:0108003:663</t>
  </si>
  <si>
    <t>42:12:0108001:363</t>
  </si>
  <si>
    <t>42:12:0108001:662</t>
  </si>
  <si>
    <t>42:12:0108003:661</t>
  </si>
  <si>
    <t xml:space="preserve">Кемеровская область, г. Таштагол, ул. Ленина,15 </t>
  </si>
  <si>
    <t>Кемеровская область, г. Таштагол, ул.Ленина</t>
  </si>
  <si>
    <t>Спортивное сооружение: Площадка для занятий спортом и физкультурой</t>
  </si>
  <si>
    <t>Сооружение: Водопровод от скважины до школы</t>
  </si>
  <si>
    <t>Сооружение: Теплотрасса  в двухтрубном исчислении от здания рудоуправления до зданий по ул.Ленина,23,25</t>
  </si>
  <si>
    <t>протяж. 583 м</t>
  </si>
  <si>
    <t>42:12:0108003:664</t>
  </si>
  <si>
    <t>Кемеровская область, Таштагольский муниципальный  район,  Таштагольское городское поселение, г.Таштагол, ул.Поспелова,8/1</t>
  </si>
  <si>
    <t>гравийное</t>
  </si>
  <si>
    <t>Кемеровская область, г. Таштагол, ул.Советская</t>
  </si>
  <si>
    <t>сталь, d=89мм (100 м); d=108 мм (483 м)</t>
  </si>
  <si>
    <t xml:space="preserve">Труба стальная э/с ф 57*3,5 Гост 10705, покрытие ППУ СПЛ 57*30. </t>
  </si>
  <si>
    <t>42:34:0000000:341</t>
  </si>
  <si>
    <t>Земельный участок, использование: под размещение объектов капитального строительства, предназначенных для воспитания, образования и просвещения</t>
  </si>
  <si>
    <t xml:space="preserve">Система теплоснабжения с устройством ЦТП </t>
  </si>
  <si>
    <t>42:12:0106002:4495</t>
  </si>
  <si>
    <t>Помещение №1 из встроенного нежилого помещения с кадастровым № 42:12:0106002:4078</t>
  </si>
  <si>
    <t>благоустройство сектор "А"</t>
  </si>
  <si>
    <t>42:34:0101041:197</t>
  </si>
  <si>
    <t>42:34:0106002:1777</t>
  </si>
  <si>
    <t xml:space="preserve">Отдельно стоящее нежилое здание гаража школы </t>
  </si>
  <si>
    <t>Отдельно стоящее нежилое здание прачечной детского сада</t>
  </si>
  <si>
    <t xml:space="preserve">Детский сад </t>
  </si>
  <si>
    <t xml:space="preserve"> Детский сад </t>
  </si>
  <si>
    <t xml:space="preserve">Нежилое здание школа </t>
  </si>
  <si>
    <t xml:space="preserve">Школа </t>
  </si>
  <si>
    <t xml:space="preserve">Отдельно стоящее нежилое здание теплицы школы </t>
  </si>
  <si>
    <t>Насосная  станция №1</t>
  </si>
  <si>
    <t xml:space="preserve">Отдельно стоящее нежилое здание -детский сад "Солнышко" </t>
  </si>
  <si>
    <t xml:space="preserve">Нежилое отдельно стоящее  здание детского сада  </t>
  </si>
  <si>
    <t xml:space="preserve">Отдельно стоящее нежилое здание детского сада </t>
  </si>
  <si>
    <t>Отдельно стоящее нежилое здание хозяйственного склада школы</t>
  </si>
  <si>
    <t xml:space="preserve">Здание мастерской </t>
  </si>
  <si>
    <t xml:space="preserve">Пристройка к отдельно стоящему нежилому зданию школы </t>
  </si>
  <si>
    <t xml:space="preserve">Отдельно стоящее нежилое здание  мастерских школы </t>
  </si>
  <si>
    <t>Отдельно стоящее нежилое здание детского сада</t>
  </si>
  <si>
    <t>Детский сад</t>
  </si>
  <si>
    <t>Земельный участок, использование: под размещение объекта капитального строительства, предназначенного для воспитания, образования и просвещения</t>
  </si>
  <si>
    <t xml:space="preserve">Земельный участок, использование: для размещения объектов капитального строительства, предназначенных для воспитания, образования и просвещения 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</si>
  <si>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</t>
  </si>
  <si>
    <t>42:12:0101001:238 (1 этаж-184,6 кв.м); 42:34:0106003:524  (1 этаж-488 кв.м)</t>
  </si>
  <si>
    <t>1.5.175.1</t>
  </si>
  <si>
    <t>1.5.175.2</t>
  </si>
  <si>
    <t>1.5.175.3</t>
  </si>
  <si>
    <t xml:space="preserve">административное здание </t>
  </si>
  <si>
    <t xml:space="preserve">Кемеровская область, г.Таштагол, ул. Поспелова, ул. Ноградская, ул. Макаренко
</t>
  </si>
  <si>
    <t>Кемеровская область,  Таштагольский район, г. Таштагол, ул. Ноградская,8а</t>
  </si>
  <si>
    <t>тех. паспорт от 24.11.2006</t>
  </si>
  <si>
    <t>42:34:0106002:469</t>
  </si>
  <si>
    <t>1-но этажное шлакоблоки, обшит сайдингом</t>
  </si>
  <si>
    <t>1-но этажное, дощатые</t>
  </si>
  <si>
    <t>1-но этажное кирпичные, обшит сайдингом</t>
  </si>
  <si>
    <t>Сооружение: Тепловая сеть  в двухтрубном исчислении от ТК - 3-1 до здания по улице Советская,1а</t>
  </si>
  <si>
    <t>Отдельно стоящее нежилое здание блочно-модульной котельной (ранее:Котельная блочно-модульная (угольная) с двумя зольниками)</t>
  </si>
  <si>
    <t xml:space="preserve">металлический контейнер </t>
  </si>
  <si>
    <t>1.2.471</t>
  </si>
  <si>
    <t>1.2.472</t>
  </si>
  <si>
    <t>1.2.473</t>
  </si>
  <si>
    <t>1.2.474</t>
  </si>
  <si>
    <t>1.2.475</t>
  </si>
  <si>
    <t>Отдельно стоящее нежилое здание склада для хранения угля</t>
  </si>
  <si>
    <t>1.2.479</t>
  </si>
  <si>
    <t>1.2.480</t>
  </si>
  <si>
    <t>1.2.481</t>
  </si>
  <si>
    <t>1.2.482</t>
  </si>
  <si>
    <t>Отдельно стоящее нежилое здание котельной со встроенным складом (ранее:Пеллетно-угольная котельная детского сада № 27 п. Чугунаш)</t>
  </si>
  <si>
    <t>Кемеровская область, г.Таштагол, ул.Островского,74в</t>
  </si>
  <si>
    <t xml:space="preserve">Отдельно стоящее нежилое здание склада материалов  </t>
  </si>
  <si>
    <t xml:space="preserve">Отдельно стоящее нежилое здание дравенника  </t>
  </si>
  <si>
    <t>1.1.840.22</t>
  </si>
  <si>
    <t xml:space="preserve">реконструкция магистрального водовода от насосно-фильтровальной станции "Тельбес" до г.Таштагол </t>
  </si>
  <si>
    <t>42:34:0114015:76</t>
  </si>
  <si>
    <t>Кемеровская область, Таштагольский район,  г. Таштагол, ул. Поспелова,8/1</t>
  </si>
  <si>
    <t>42:34:0106002:1781</t>
  </si>
  <si>
    <t>Земельный участок, разрешенное использование: размещение площадок для занятия спортом и физкультурой (спортивные сооружения)</t>
  </si>
  <si>
    <t>1.4.146</t>
  </si>
  <si>
    <t>1.4.147</t>
  </si>
  <si>
    <t>1.4.148</t>
  </si>
  <si>
    <t>1.4.149</t>
  </si>
  <si>
    <t>42:12:0103001:343</t>
  </si>
  <si>
    <t>42:12:0103002:791</t>
  </si>
  <si>
    <t>42:12:0103002:792</t>
  </si>
  <si>
    <t>42:34:0106004:779</t>
  </si>
  <si>
    <t>42:34:0106002:1779</t>
  </si>
  <si>
    <t>42:34:0106002:1780</t>
  </si>
  <si>
    <t>42:34:0106002:103</t>
  </si>
  <si>
    <t>Кемеровская область,Таштагольский район,  Таштагольское городское поселение,  г. Таштагол, ул.Ноградская,7/1</t>
  </si>
  <si>
    <t>42:34:000000:346</t>
  </si>
  <si>
    <t>42:34:0105003:188</t>
  </si>
  <si>
    <t>42:34:000000:345</t>
  </si>
  <si>
    <t>42:34:000000:344</t>
  </si>
  <si>
    <t>Встроенное нежилое помещение №103</t>
  </si>
  <si>
    <t>42:34:0106002:143</t>
  </si>
  <si>
    <t xml:space="preserve">Кемеровская область, Таштагольский район, г. Таштагол, ул. Поспелова,13б </t>
  </si>
  <si>
    <t>Нежилое здание, Автогородок</t>
  </si>
  <si>
    <t>Кемеровская область, Таштагольский район, пос.Усть-Кабырза, ул.Григорьева,10А</t>
  </si>
  <si>
    <t>42:34:0000000:342</t>
  </si>
  <si>
    <t>42:34:0000000:343</t>
  </si>
  <si>
    <t>1.4.125.1</t>
  </si>
  <si>
    <t>Кемеровская область, г.Таштагол, ул.Урицкого,96а</t>
  </si>
  <si>
    <t>42:34:0113047:58</t>
  </si>
  <si>
    <t>длина 445 п.м, площадь зем. Уч. 825,30 кв.м</t>
  </si>
  <si>
    <t>Здание: Ангар</t>
  </si>
  <si>
    <t xml:space="preserve">Здание:Туалет </t>
  </si>
  <si>
    <t>В безвозмездном пользовании  администрации Мундыбашского городского поселения</t>
  </si>
  <si>
    <t>В оперативном управлении МБУК ЦКС Таштагольского муниципального района;</t>
  </si>
  <si>
    <t>1.2.454.3</t>
  </si>
  <si>
    <t>В арендном пользовании Шакировой О.А.</t>
  </si>
  <si>
    <t>Кемеровская область, г.Таштагол, ул.Поспелова,20, помещение 312</t>
  </si>
  <si>
    <t>Кемеровская область, г.Таштагол, ул.Поспелова,20, помещение 317</t>
  </si>
  <si>
    <t>Кемеровская область, г.Таштагол, ул.Поспелова,20, помещение 318</t>
  </si>
  <si>
    <t>В безвозмездном пользовании муниципального бюджетного учреждения «Информационно-методический образовательный центр»</t>
  </si>
  <si>
    <t>В безвозмездном пользовании МБУ «Информационно-методический образовательный центр»</t>
  </si>
  <si>
    <t>В аренде ООО "Водоканал"</t>
  </si>
  <si>
    <t>система погодного регулирования в здании</t>
  </si>
  <si>
    <t>42:12:0104001:734</t>
  </si>
  <si>
    <t>42:34:0102011:147</t>
  </si>
  <si>
    <t>Концессионное соглашение с  ООО "Тепло"</t>
  </si>
  <si>
    <t>Земельный участок, использование: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</si>
  <si>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 xml:space="preserve">Земли населённых пунктов </t>
  </si>
  <si>
    <t>Кемеровская область, Таштагольский район, пгт.Мундыбаш, ул.Буденного,151</t>
  </si>
  <si>
    <t xml:space="preserve">  42:12:0106002:212</t>
  </si>
  <si>
    <t>Земельный участок  для использования : для индивидуальной жилой застройки</t>
  </si>
  <si>
    <t xml:space="preserve">  42:12:0106002:211</t>
  </si>
  <si>
    <t xml:space="preserve">Кемеровская область, Таштагольский район, пгт. Мундыбаш, ул. Пионерская,20 </t>
  </si>
  <si>
    <t>1.5.135.3</t>
  </si>
  <si>
    <t>Отдельно стоящее нежилое здание склоадское помещение детского дома</t>
  </si>
  <si>
    <t>Кемеровская область, Таштагольский район, пгт.Спасск, ул.Мостовая,25</t>
  </si>
  <si>
    <t>42:34:0000000:185    (ранее:42:34:000000:0000:7015:1000 )</t>
  </si>
  <si>
    <t>42:34:0000000:176         (ранее:42:12:0000000:176)</t>
  </si>
  <si>
    <t>Концессионное соглашение с  ООО "Водоканал"</t>
  </si>
  <si>
    <t>почта</t>
  </si>
  <si>
    <t>В арендном пользовании  ООО "Тепло"</t>
  </si>
  <si>
    <t>В арендном пользовании Садкиной Н.А.</t>
  </si>
  <si>
    <t>2-х этажное, кирпичное  (1 этаж)</t>
  </si>
  <si>
    <t>2-х этажное, кирпичное  (1 и 2 этажи)</t>
  </si>
  <si>
    <t>Кемеровская область, г.Таштагол, ул.Партизанская (№108а/7)</t>
  </si>
  <si>
    <t>Кемеровская область, г.Таштагол, ул.Партизанская(№108а/8)</t>
  </si>
  <si>
    <t>В арендном пользовании ООО "Водоотведение"</t>
  </si>
  <si>
    <t xml:space="preserve">Здание иловой </t>
  </si>
  <si>
    <t>Здание /конторы /</t>
  </si>
  <si>
    <t>Кемеровская область,  Таштагольский район, г.Таштагол</t>
  </si>
  <si>
    <t>Кемеровская область,Таштагольский район,  г.Таштагол, ул.Партизанская</t>
  </si>
  <si>
    <t xml:space="preserve">Кемеровская область,Таштагольский район,  г.Таштагол, ул.Партизанская </t>
  </si>
  <si>
    <t>Кемеровская область, Таштагольский район, г.Таштагол, ул.Партизанская</t>
  </si>
  <si>
    <t xml:space="preserve">Кемеровская область, Таштагольский район, г.Таштагол, ул.Партизанская </t>
  </si>
  <si>
    <t>Кемеровская область, Таштагольский район,пгт.Темиртау</t>
  </si>
  <si>
    <t>Канализация от ДСФ к станции подкачки (ссоружение)</t>
  </si>
  <si>
    <t>42:12:0000000:427  кадастровый номер земельного участка 42:12:0000000:0013</t>
  </si>
  <si>
    <t>Кемеровская область,   г.Таштагол,ул.Советская</t>
  </si>
  <si>
    <t>Хлораторная станция на 2 кг/час хлора на очистных сооружениях</t>
  </si>
  <si>
    <t>Кемеровская область,Таштагольский район, г.Таштагол,ул.Увальная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</si>
  <si>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</t>
  </si>
  <si>
    <t xml:space="preserve">Земельный участок, использование: под размещение объектов капитального строительства, предназначенных для воспитания, образования и просвещения
</t>
  </si>
  <si>
    <t xml:space="preserve">Земельный участок, использование: Под размещение объектов капитального строительства, предназначенных для воспитания, образования и просвещения
</t>
  </si>
  <si>
    <t>протяж. 1488,6 м</t>
  </si>
  <si>
    <t>протяж. 340 п.м</t>
  </si>
  <si>
    <t>протяж. 440 п.м</t>
  </si>
  <si>
    <t>общая протяж. 2231 п.м</t>
  </si>
  <si>
    <t>строительство сетей водоснабжения</t>
  </si>
  <si>
    <t>В безвоз. польз. МБУ ДО «Детско-юношеский центр «Созвездие»</t>
  </si>
  <si>
    <t>1.3.154.1</t>
  </si>
  <si>
    <t>Кемеровская область, г.Таштагол, ул.Поспелова,20, помещение 311</t>
  </si>
  <si>
    <t>Кемеровская область, г.Таштагол, ул.Поспелова,20, помещение 309</t>
  </si>
  <si>
    <t xml:space="preserve">Кемеровская область, г.Таштагол, ул.Поспелова,20, помещение </t>
  </si>
  <si>
    <t>Кемеровская область, г.Таштагол, ул.Поспелова,20, помещение 305</t>
  </si>
  <si>
    <t>Кемеровская область, г.Таштагол, ул.Поспелова,20, помещение 302</t>
  </si>
  <si>
    <t>Кемеровская область, г.Таштагол, ул.Поспелова,20,помещение 407</t>
  </si>
  <si>
    <t>Кемеровская область, г.Таштагол, ул.Поспелова,20,помещение 408</t>
  </si>
  <si>
    <t>1.2.40.5.12</t>
  </si>
  <si>
    <t>Кемеровская область, г.Таштагол, ул.Поспелова,20,помещение 406</t>
  </si>
  <si>
    <t>Кемеровская область, г.Таштагол, ул.Поспелова,20,помещение 409</t>
  </si>
  <si>
    <t>Кемеровская область, г.Таштагол, ул.Поспелова,20,помещение 412</t>
  </si>
  <si>
    <t>Кемеровская область, Таштагольский район, пгт. Каз,  ул.Набережная</t>
  </si>
  <si>
    <t>1-но этажное, кирпичное (Н=6 м)</t>
  </si>
  <si>
    <t>Кемеровская область,г.Таштагол, ул.Юбилейная</t>
  </si>
  <si>
    <t>Кемеровская область,г.Таштагол, ул.Баумана</t>
  </si>
  <si>
    <t>Кемеровская область, г.Таштагол,ул. Кислородная,2</t>
  </si>
  <si>
    <t>Кемеровская область,г.Таштагол, ул.Партизанская</t>
  </si>
  <si>
    <t>Кемеровская область, г.Таштагол</t>
  </si>
  <si>
    <t>Кемеровская область, г.Таштагол, ул.Матросова,42</t>
  </si>
  <si>
    <t>Кемеровская область, г.Таштагол, ул.Ломоносова</t>
  </si>
  <si>
    <t>Кемеровская область,г.Таштагол, ул.Шевченко</t>
  </si>
  <si>
    <t xml:space="preserve">Кемеровская область, г. Таштагол, ул. Ломоносова, от насосной станции  до баков РЧВ </t>
  </si>
  <si>
    <t>Кемеровская область, г.Таштагол, ул.Матросова (район ВГСЧ)</t>
  </si>
  <si>
    <t>Кемеровская область, г.Таштагол, ул.Логовая</t>
  </si>
  <si>
    <t>Кемеровская область, г.Таштагол , от котельной  школы №8 до котельной ЮЭС  по ул.Советская</t>
  </si>
  <si>
    <t>Кемеровская область, г.Таштагол, от котельной УПК-3 ул.Советская,4 до котельной  школы №8 по адресу ул.Советская,43</t>
  </si>
  <si>
    <t>Кемеровская область, г.Таштагол, ул.Лермонтова</t>
  </si>
  <si>
    <t>Кемеровская область,г.Таштагол, ул.Ленина,21а</t>
  </si>
  <si>
    <t>Кемеровская область,г. Таштагол,  ул. Фрунзе</t>
  </si>
  <si>
    <t>Резервуар  чистой воды на 50 куб.м.</t>
  </si>
  <si>
    <t>1.5.533.10</t>
  </si>
  <si>
    <t xml:space="preserve">Резервуар  чистой воды №1 на 50 куб.м. </t>
  </si>
  <si>
    <t xml:space="preserve">Резервуар  чистой воды №2 на 50 куб.м. </t>
  </si>
  <si>
    <t>42:34:0000000:350</t>
  </si>
  <si>
    <t>42:34:0000000:351</t>
  </si>
  <si>
    <t>42:34:0000000:347</t>
  </si>
  <si>
    <t>42:34:0000000:348</t>
  </si>
  <si>
    <t>42:34:0000000:349</t>
  </si>
  <si>
    <t>42:12:0104005:454</t>
  </si>
  <si>
    <t>Сети водопровода (3, 4 ключ)</t>
  </si>
  <si>
    <t>Кемеровская область, Таштагольский район, пгт.Мундыбаш</t>
  </si>
  <si>
    <t>Кемеровская область, Таштагольский район,  пгт.Шерегеш</t>
  </si>
  <si>
    <t>Кемеровская область, Таштагольский район,  пгт.Шерегеш,ул.Советская,15а</t>
  </si>
  <si>
    <t>Кемеровская область, Таштагольский район,  пгт.Каз</t>
  </si>
  <si>
    <t>Кемеровская область, Таштагольский район,  пгт.Каз, ул.Токарева,15</t>
  </si>
  <si>
    <t xml:space="preserve">Кемеровская область, Таштагольский район, пгт.Шерегеш, к общежитию ул.Советская,6 </t>
  </si>
  <si>
    <t>Кемеровская область, Таштагольский район, пгт.Шерегеш,к ж/дому ул.Дзержинского,6</t>
  </si>
  <si>
    <t>Кемеровская область, Таштагольский район, пгт.Шерегеш,к ж/дому ул.Дзержинского,7</t>
  </si>
  <si>
    <t xml:space="preserve">Кемеровская область, Таштагольский район, пгт.Шерегеш,к ж/дому ул.Дзержинского,6 </t>
  </si>
  <si>
    <t>Кемеровская область, Таштагольский район, пгт.Мундыбаш, ул.Советская,22</t>
  </si>
  <si>
    <t xml:space="preserve">Кемеровская область, Таштагольский район, пгт. Спасск, ул. Октябрьская от школы №13 (ул.Октябрьская, 3) до колодца №1 </t>
  </si>
  <si>
    <t>Кемеровская область, Таштагольский район, пгт. Спасск,  от здания Алтайского прииска до котельной</t>
  </si>
  <si>
    <t>Кемеровская область, Таштагольский район, пгт. Спасск, ул. Октябрьская от здания почты до котельной</t>
  </si>
  <si>
    <t>Кемеровская область, Таштагольский район,  пгт. Спасск, ул. Октябрьская</t>
  </si>
  <si>
    <t>Кемеровская область, Таштагольский район, пгт.Спасск, ул.Урушская</t>
  </si>
  <si>
    <t>Кемеровская область, Таштагольский район, пгт.Каз,от бойлерной до станции перекачки</t>
  </si>
  <si>
    <t>Кемеровская область, Таштагольский район, пгт.Темиртау,ул.Центральная</t>
  </si>
  <si>
    <t>Кемеровская область, Таштагольский район,  п. Усть-Кабырза</t>
  </si>
  <si>
    <t>Кемеровская область, г. Таштагол, ул. Мира, №28/5, путь №1</t>
  </si>
  <si>
    <t>Кемеровская область, г. Таштагол, ул. Мира, №28/5, путь №2</t>
  </si>
  <si>
    <t>Кемеровская область,Таштагольский район, пгт.Шерегеш,гора Зеленая</t>
  </si>
  <si>
    <t>Кемеровская область,г.Таштагол, ул.Матросова,42</t>
  </si>
  <si>
    <t>Кемеровская область,г.Таштагол, гора Туманная</t>
  </si>
  <si>
    <t>Кемеровская область,г. Таштагол, КНС №6 до ул. Советская (канализация)</t>
  </si>
  <si>
    <t>Кемеровская область,г.Таштагол, гора Буланже</t>
  </si>
  <si>
    <t>Кемеровская область,г.Таштагол, ул.Ноградская</t>
  </si>
  <si>
    <t>Кемеровская область,г.Таштагол, городская котельная,ул.Мира,30А</t>
  </si>
  <si>
    <t>Кемеровская область,г.Таштагол, городская котельная</t>
  </si>
  <si>
    <t>Кемеровская область,г.Таштагол, р-он аэропорта</t>
  </si>
  <si>
    <t>Кемеровская область,г.Таштагол, ул.Геологическая</t>
  </si>
  <si>
    <t xml:space="preserve">Кемеровская область,г. Таштагол, ул. О. Дундича  ввод в дом №6 </t>
  </si>
  <si>
    <t>Кемеровская область,г. Таштагол, ул. О. Дундича от д. №8 до д. №10</t>
  </si>
  <si>
    <t>Кемеровская область,г.Таштагол,  р-он Кондомской подстанции</t>
  </si>
  <si>
    <t>Кемеровская область,Таштагольский район, г.Таштагол</t>
  </si>
  <si>
    <t>Кемеровская область,г. Таштагол, ул. Поспелова, д.№21, от 1 до 4 подъезда</t>
  </si>
  <si>
    <t>Кемеровская область,г. Таштагол, ул. Поспелова, д.№33, школа бокса</t>
  </si>
  <si>
    <t>Кемеровская область,г. Таштагол, ул. Ленина, д.№48, от 1 до 6 подъезда</t>
  </si>
  <si>
    <t>Кемеровская область,г. Таштагол, ул. Ленина, д.№№50, 52</t>
  </si>
  <si>
    <t>Кемеровская область,г. Таштагол, ул. Ленина, д. №30</t>
  </si>
  <si>
    <t>Кемеровская область,г. Таштагол, ул. Юбилейная, от д. №10 до д.№12</t>
  </si>
  <si>
    <t>Кемеровская область,г. Таштагол,  ул. Тельмана (перелив с РЧВ)</t>
  </si>
  <si>
    <t>Кемеровская область,г. Таштагол, ул. 18 Партсъезда, от ул. Тельмана до д.№19</t>
  </si>
  <si>
    <t>Кемеровская область,г. Таштагол</t>
  </si>
  <si>
    <t xml:space="preserve">Кемеровская область,г.Таштагол, ул.Коммунистическая, ул. Школьная, ул. Спортивная,ул. Крылова, ул. Артема, ул.  28 Панфиловцев, ул. Кислородная
</t>
  </si>
  <si>
    <t>Кемеровская область,г.Таштагол, КНС № 1 - здание пожарной,ул.Ленина,23-хлебокомбинат-АТП</t>
  </si>
  <si>
    <t>Кемеровская область,г. Таштагол, ул. Ленина, от стадиона до АЗС (канализация)</t>
  </si>
  <si>
    <t>Кемеровская область,г.Таштагол (в районе ЦМК)</t>
  </si>
  <si>
    <t xml:space="preserve">Кемеровская область,г.Таштагол, от КНС №3 до ж.д. ул.8 Марта №1,3 </t>
  </si>
  <si>
    <t>Кемеровская область,г. Таштагол,  ул. Советская-ул.Шевченко</t>
  </si>
  <si>
    <t xml:space="preserve">Кемеровская область, г. Таштагол, от киоска ул. Белинского до РЧВ </t>
  </si>
  <si>
    <t xml:space="preserve">Кемеровская область,г. Таштагол (п. Шалым), НФС-ул. Школьная, д. №33 </t>
  </si>
  <si>
    <t>Кемеровская область,г. Таштагол (п. Шалым), ул. Артема от д.№6 - до д. №8</t>
  </si>
  <si>
    <t>Кемеровская область,г. Таштагол (п. Шалым), ул. Железнодорожная  от д. №163 до д. №178</t>
  </si>
  <si>
    <t>Кемеровская область,г. Таштагол (п. Шалым), ул. Железнодорожная  до кислородной станции</t>
  </si>
  <si>
    <t>Кемеровская область,г.Таштагол, ул.Лесозаводская (п.Шалым)</t>
  </si>
  <si>
    <t>Кемеровская область,г.Таштагол, ул.Юбилейная,9</t>
  </si>
  <si>
    <t>Кемеровская область, Таштагольский район,с.Кондома</t>
  </si>
  <si>
    <t>Кемеровская область,  г. Таштагол</t>
  </si>
  <si>
    <t>Кемеровская область, Таштагольский район, пгт. Спасск</t>
  </si>
  <si>
    <t>Кемеровская область, г. Таштагол, гора Туманная, ул. Скворцова,42</t>
  </si>
  <si>
    <t>Кемеровская область,Кемеровская область, г. Таштагол, гора Туманная, ул. Скворцова,42</t>
  </si>
  <si>
    <t>Кемеровская область, г. Таштагол, ул. Поспелова,16</t>
  </si>
  <si>
    <t>Кемеровская область,г. Таштагол, ул. Поспелова, д.№33 - вводы в дом   (канализация)</t>
  </si>
  <si>
    <t xml:space="preserve">Кемеровская область,  г.Таштагол (Шалым) от базы ОРС до конторы ДОЦ </t>
  </si>
  <si>
    <t xml:space="preserve">Кемеровская область,  г.Таштагол (Шалым) </t>
  </si>
  <si>
    <t>Сеть водопровода левой стороны до ул.Коммунистическая,17</t>
  </si>
  <si>
    <t>Сеть водопровода от ул.Коммунистическая, 17 до ул.Крылова</t>
  </si>
  <si>
    <t xml:space="preserve">Сеть водопровода от ул.Коммунистическая, 23 до ул.Спортивная </t>
  </si>
  <si>
    <t xml:space="preserve">Сеть водопровода от ул.Коммунистическая, 3 до базы ОРС </t>
  </si>
  <si>
    <t xml:space="preserve">Сеть водопровода от ул.Коммунистическая, 9 до ул.28 Панфиловцев </t>
  </si>
  <si>
    <t>Сеть водопровода от ул.Коммунистическая, до нового пожарного депо</t>
  </si>
  <si>
    <t>Сеть водопровода от ул.Коммунистическая,  29 до больничного городка</t>
  </si>
  <si>
    <t>Сеть водопровода от ул.Коммунистическая,12 до бани</t>
  </si>
  <si>
    <t>Сеть водопровода от ул.Коммунистическая, 17 до ул.Коммунистическая,3</t>
  </si>
  <si>
    <t>Кемеровская область, г.Таштагол,ул. Ноградская,3</t>
  </si>
  <si>
    <t>Кемеровская область, г.Таштагол,ул.Поспелова</t>
  </si>
  <si>
    <t>Кемеровская область, г.Таштагол,ул.8 Марта</t>
  </si>
  <si>
    <t>Кемеровская область, г. Таштагол, ул. Советская</t>
  </si>
  <si>
    <t>Пешеходный мост  у церкви ч/з р.Кондома</t>
  </si>
  <si>
    <t>Кемеровская область, г. Таштагол, автодорога от ДС «Кристалл» до автом. моста через р. Шалыменок, пешеходный  мост в районе «Алчка» , ул. 8 Марта  дом  1</t>
  </si>
  <si>
    <t xml:space="preserve">Кемеровская область,  г.Таштагол, парк Боевой Славы в мкр-не Поспелова </t>
  </si>
  <si>
    <t>Кемеровская область, г. Таштагол, кольцевая автодорога от автодорожного моста через р. Шалыменок до техникума ,ул. 8 Марта  дома 2,3,4</t>
  </si>
  <si>
    <t>Кемеровская область, г.Таштагол от ГРОВД до автовокзала МТП-64</t>
  </si>
  <si>
    <t>42:12:0105002:859</t>
  </si>
  <si>
    <t>42:34:0106002:1243</t>
  </si>
  <si>
    <t>1.4.150</t>
  </si>
  <si>
    <t>Земельный участок, разрешенное использование: Под городской парк культуры и отдыха "Горняцкие горизонты"</t>
  </si>
  <si>
    <t>Земельный участок, разрешенное использование: под отдельно стоящее нежилое здание спортзала</t>
  </si>
  <si>
    <t xml:space="preserve">Кемеровская область, г. Таштагол, ул. Ноградская, № 8-А </t>
  </si>
  <si>
    <t>В безвозмездном пользовании МАУ "Красная Шория"</t>
  </si>
  <si>
    <t>Кемеровская область, г. Таштагол, ул. Ленина,№9</t>
  </si>
  <si>
    <t>42:34:0101041:198</t>
  </si>
  <si>
    <t>42:34:0101041:16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</si>
  <si>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</si>
  <si>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 xml:space="preserve">Кемеровская область, Таштагольский район, пгт. Темиртау, ул. Центральная, д.11а </t>
  </si>
  <si>
    <t>42:34:0102063:270</t>
  </si>
  <si>
    <t>42:12:0102001:1844</t>
  </si>
  <si>
    <t>Отдельно стоящее нежилое детского сада "Колосок"</t>
  </si>
  <si>
    <t>42:34:0112007:99</t>
  </si>
  <si>
    <t>Кемеровская область, Таштагольский район, п.Базанча, без улицы</t>
  </si>
  <si>
    <t>протяж. 708,6 п.м</t>
  </si>
  <si>
    <t xml:space="preserve">глубина 80м, с обсадной перфорированной трубой д. 169 мм
</t>
  </si>
  <si>
    <t>диаметр 159 мм</t>
  </si>
  <si>
    <t>Насосная станция  (скважина глубиной 60 м)</t>
  </si>
  <si>
    <t>Дополнительное соглашение №1 от к  концессионному соглашению №1 от 15.12.2016 г. от 07.06.2017 г.</t>
  </si>
  <si>
    <t>Водовод от резервуара 600 куб. м до котельной</t>
  </si>
  <si>
    <t>Кемеровская область, Таштагольский район, пгт. Мундыбаш, ул. Школьная,4</t>
  </si>
  <si>
    <t xml:space="preserve">Российская Федерация, Кемеровская область, Таштагольское городское поселение, г. Таштагол, ул. Мира, д.37, помещение 69 </t>
  </si>
  <si>
    <t xml:space="preserve">Кемеровская область,Таштагольское городское поселение, г. Таштагол, ул. Ноградская, д. 13а/1, пом. 1 </t>
  </si>
  <si>
    <t>42:12:0101001:212</t>
  </si>
  <si>
    <t xml:space="preserve">Кемеровская область, г. Таштагол, ул. Ноградская, д. 13 а/1 </t>
  </si>
  <si>
    <t xml:space="preserve">Кемеровская область, Таштагольский район, г. Таштагол, ул. Ноградская, 13 А/1 </t>
  </si>
  <si>
    <t>42:34:0106004:242</t>
  </si>
  <si>
    <t>Площадь застройки: 11,6 кв.м</t>
  </si>
  <si>
    <t>Сооружение Центрального Банка Российской Федерации (Банк России) - Антенная опора земной станции спутниковой связи «Сатурн-А2». (Реестровый номер: 27-04-09- 00-00-054.)</t>
  </si>
  <si>
    <t>Пристроенное нежилое помещение Центрального Банка Российской Федерации (Банк России) (Реестровый номер: 27-01-09- 00-00-031)</t>
  </si>
  <si>
    <r>
      <rPr>
        <i/>
        <sz val="9"/>
        <rFont val="Arial"/>
        <family val="2"/>
        <charset val="204"/>
      </rPr>
      <t>свободное</t>
    </r>
    <r>
      <rPr>
        <sz val="8"/>
        <rFont val="Arial"/>
        <family val="2"/>
        <charset val="204"/>
      </rPr>
      <t xml:space="preserve"> -доп.соглашение о расторжении договора аренды от 31.03.2017 г. №56 (31.03.2017-29.03.2018)</t>
    </r>
  </si>
  <si>
    <r>
      <t xml:space="preserve">Производственное помещение (оборудование на </t>
    </r>
    <r>
      <rPr>
        <b/>
        <sz val="8"/>
        <rFont val="Arial"/>
        <family val="2"/>
        <charset val="204"/>
      </rPr>
      <t>крыше</t>
    </r>
    <r>
      <rPr>
        <sz val="8"/>
        <rFont val="Arial"/>
        <family val="2"/>
        <charset val="204"/>
      </rPr>
      <t>)</t>
    </r>
  </si>
  <si>
    <r>
      <t xml:space="preserve">протяж. 12492 м (=15492-3000), </t>
    </r>
    <r>
      <rPr>
        <sz val="7.5"/>
        <rFont val="Arial"/>
        <family val="2"/>
        <charset val="204"/>
      </rPr>
      <t xml:space="preserve">д/труб 315, 159, 150, 100, 60, 50, 25 мм </t>
    </r>
  </si>
  <si>
    <t>МБДОУ детский сад  №12 "Золотой ключик"</t>
  </si>
  <si>
    <t>Кемеровская обл,  Таштагольский район, пгт. Каз, ул. Ленина,11</t>
  </si>
  <si>
    <t xml:space="preserve">Кемеровская область,  Таштагольский район, пгт. Спасск, ул. Набережная,15 </t>
  </si>
  <si>
    <t>1.5.561</t>
  </si>
  <si>
    <t>Котельная Heiztechnik</t>
  </si>
  <si>
    <t>отдельно стоящая модульная из 2 независимых агрегатов равной мощности</t>
  </si>
  <si>
    <t>7000*2500*2400</t>
  </si>
  <si>
    <t>Сооружение: скважина</t>
  </si>
  <si>
    <t>глубина 94 м</t>
  </si>
  <si>
    <t>Земельный участок  для использования : размещение линейного объекта</t>
  </si>
  <si>
    <t>42:12:0102015:1566</t>
  </si>
  <si>
    <t>1.2.40.4.12</t>
  </si>
  <si>
    <t>1.2.40.4.13</t>
  </si>
  <si>
    <t>1.2.40.4.14</t>
  </si>
  <si>
    <t xml:space="preserve">В безвозмезд. пользов. МБУ «Центр обслуживания учреждений культуры Таштагольского муниципального района» </t>
  </si>
  <si>
    <t>42:12:0112004:277</t>
  </si>
  <si>
    <t>1.4.26.2.1</t>
  </si>
  <si>
    <t>Земельный участок, разрешенное использование: размещение объектов капитального строительства, предназначеных для воспитания, образования и просвещения</t>
  </si>
  <si>
    <t xml:space="preserve"> ООО "ЮКЭК"</t>
  </si>
  <si>
    <t>Кемеровская область, Таштагольский район, п.Ключевой, ул.Энтузиастов,21</t>
  </si>
  <si>
    <t>Кемеровская область, Таштагольский район, п. Усть-Кабырза,ул. Школьная</t>
  </si>
  <si>
    <t>Сооружение: модульная котельная  Heiztechnik 110</t>
  </si>
  <si>
    <t xml:space="preserve">Сооружение: модульная котельная   Heiztechnik 0011К  </t>
  </si>
  <si>
    <t>Отдельно стоящее нежилое здание угольного склада</t>
  </si>
  <si>
    <t xml:space="preserve">Из прочих материалов </t>
  </si>
  <si>
    <t>1.4.32.1</t>
  </si>
  <si>
    <t>42:12:0102011:339</t>
  </si>
  <si>
    <t>Земельный участок: для индивидуальной жилой застройки</t>
  </si>
  <si>
    <t>Кемеровская область, Таштагольский район, пгт. Шерегеш, ул. Фурманова,1б</t>
  </si>
  <si>
    <t>1.1.710.7</t>
  </si>
  <si>
    <t>1.1.710.8</t>
  </si>
  <si>
    <t>1.1.710.9</t>
  </si>
  <si>
    <t>1.1.710.10</t>
  </si>
  <si>
    <t>1.1.710.11</t>
  </si>
  <si>
    <t>1.1.710.12</t>
  </si>
  <si>
    <t>1.1.710.13</t>
  </si>
  <si>
    <t>1.1.710.14</t>
  </si>
  <si>
    <t>1.1.710.15</t>
  </si>
  <si>
    <t>1.1.710.16</t>
  </si>
  <si>
    <t>1.1.710.17</t>
  </si>
  <si>
    <t>1.1.710.18</t>
  </si>
  <si>
    <t>1.1.710.19</t>
  </si>
  <si>
    <t>1.1.710.20</t>
  </si>
  <si>
    <t>1.1.710.21</t>
  </si>
  <si>
    <t>1.1.710.22</t>
  </si>
  <si>
    <t>1.1.710.23</t>
  </si>
  <si>
    <t>1.1.710.24</t>
  </si>
  <si>
    <t>1.1.710.25</t>
  </si>
  <si>
    <t>1.1.710.26</t>
  </si>
  <si>
    <t>1.1.710.27</t>
  </si>
  <si>
    <t>1.1.710.28</t>
  </si>
  <si>
    <t>1.1.710.29</t>
  </si>
  <si>
    <t>1.1.710.30</t>
  </si>
  <si>
    <t>1.1.710.31</t>
  </si>
  <si>
    <t>1.1.710.32</t>
  </si>
  <si>
    <t>1.1.710.33</t>
  </si>
  <si>
    <t>1.1.710.34</t>
  </si>
  <si>
    <t>1.1.710.35</t>
  </si>
  <si>
    <t>1.1.710.36</t>
  </si>
  <si>
    <t>1.1.710.37</t>
  </si>
  <si>
    <t>1.1.710.38</t>
  </si>
  <si>
    <t>1.1.710.39</t>
  </si>
  <si>
    <t>1.1.710.40</t>
  </si>
  <si>
    <t>1.1.710.41</t>
  </si>
  <si>
    <t>1.1.710.42</t>
  </si>
  <si>
    <t>1.1.710.43</t>
  </si>
  <si>
    <t>1.1.710.44</t>
  </si>
  <si>
    <t>42:12:0000000:245-новый
42:12:000000:0000:1544/6:1000/Б</t>
  </si>
  <si>
    <t>42:12:0000000:257-новый 42:12:000000:0000:1561/6:1000/Б</t>
  </si>
  <si>
    <t>42:12:0000000:247-новый
42:12:000000:0000:1546/5:1000/Б</t>
  </si>
  <si>
    <t>1.3.163.3</t>
  </si>
  <si>
    <t>42:12:0112001:466</t>
  </si>
  <si>
    <t>42:12:0112001:467</t>
  </si>
  <si>
    <t>42:12:0112004:280</t>
  </si>
  <si>
    <t>42:12:0112004:279</t>
  </si>
  <si>
    <t>1.4.151</t>
  </si>
  <si>
    <t>1.4.152</t>
  </si>
  <si>
    <t>1.4.153</t>
  </si>
  <si>
    <t>42:12:0105004:208</t>
  </si>
  <si>
    <t>Земельный участок, разрешенное использование: размещение трансформаторной подстанции</t>
  </si>
  <si>
    <t xml:space="preserve">Кемеровская область, Таштагольский район, пгт. Темиртау, трансформаторная подстанция МТП № 303 "ул. 8-ое Марта" </t>
  </si>
  <si>
    <t>1.4.14.1</t>
  </si>
  <si>
    <t>Земельный участок, разрешенное использование: под общественное управление</t>
  </si>
  <si>
    <t>Центральная котельная /второй этаж центральной котельной/</t>
  </si>
  <si>
    <t xml:space="preserve">Центральная котельная /первый этаж центральной котельной/ </t>
  </si>
  <si>
    <t>Центральная котельная /третий этаж центральной котельной/</t>
  </si>
  <si>
    <t>1.4.26.1164</t>
  </si>
  <si>
    <t>42:12:0000000:573</t>
  </si>
  <si>
    <t>42:12:0000000:569</t>
  </si>
  <si>
    <t>42:12:0102001:1446</t>
  </si>
  <si>
    <t>42:12:0000000:600</t>
  </si>
  <si>
    <t>42:12:0000000:579</t>
  </si>
  <si>
    <t>Кабельные сети Новой промплощадки</t>
  </si>
  <si>
    <t>42:12:0000000:589</t>
  </si>
  <si>
    <t>42:12:0000000:638</t>
  </si>
  <si>
    <t>Литер Г3 ЛЭП 6 кВ на котельную старого поселка и пилораму</t>
  </si>
  <si>
    <t>1.1.417.32.1</t>
  </si>
  <si>
    <t>площ.47,2 кв.м, длина 11,8м, ширина 4 м</t>
  </si>
  <si>
    <t>протяж. 680 м</t>
  </si>
  <si>
    <t>протяж. 2680 м , протяж.400 м</t>
  </si>
  <si>
    <t>В безвозмездном пользовании отдела МВД России по Таштагольскому району</t>
  </si>
  <si>
    <t xml:space="preserve">Постан. адм. Таштагол. муниц. района от 25.05.2018 г. №347-п; договор  безвозмездного пользования </t>
  </si>
  <si>
    <t>1.1.832.19</t>
  </si>
  <si>
    <t>1.1.832.20</t>
  </si>
  <si>
    <t>42:12:0102006:1582</t>
  </si>
  <si>
    <t xml:space="preserve">  42:12:0102006:1581</t>
  </si>
  <si>
    <t>В арендном пользовании ГУ Управление Пенсионного фонда РФ в г.Таштаголе Кемеровской области</t>
  </si>
  <si>
    <t>42:12:0102003:56</t>
  </si>
  <si>
    <t xml:space="preserve">Кемеровская область, Таштагольский район, пгт. Шерегеш, ул. Гагарина,26а </t>
  </si>
  <si>
    <t>нет</t>
  </si>
  <si>
    <t>Сооружение: мачтовая трансформаторная подстанция</t>
  </si>
  <si>
    <t>1.4.26.1166</t>
  </si>
  <si>
    <t xml:space="preserve">Кемеровская область, Таштагольский район, пгт. Шерегеш, ВЛИ-0,4 кВ от РУ-0,4 кВ КТП № 148 "Кедровая" до концевой опоры, установленной на границе земельного участка жилого дома по ул. Шахтеров, д. 141 в пгт. Шерегеш </t>
  </si>
  <si>
    <t>42:12:0102015:1574</t>
  </si>
  <si>
    <t xml:space="preserve">Кемеровская область, Таштагольский район, Казское городское поселение, пгт. Каз, 20 м от здания по ул. Ленина,1 </t>
  </si>
  <si>
    <t>В арендном пользовании Верясовой Н.В.</t>
  </si>
  <si>
    <t>1.3.215.1</t>
  </si>
  <si>
    <t>Встроенные нежилые помещения</t>
  </si>
  <si>
    <t>1-но этажное, кирпичное с подвалом-1 этаж и подвал</t>
  </si>
  <si>
    <t>В аренде Местного Отделения ДОСААФ России г.Таштагол Кем. обл.</t>
  </si>
  <si>
    <t>Кемеровская область, г.Таштагол, ул.Поспелова,20,помещение 210</t>
  </si>
  <si>
    <t>Кемеровская область, г.Таштагол, ул.Поспелова,20,помещение 211</t>
  </si>
  <si>
    <t>Кемеровская область, г.Таштагол, ул.Поспелова,20,помещение 209</t>
  </si>
  <si>
    <t>42:12:0101001:238  (2 этаж S=791,9 кв.м)</t>
  </si>
  <si>
    <t>42:34:0106003:533</t>
  </si>
  <si>
    <t>Кемеровская область, г.Таштагол, ул.Поспелова,20, помещение 310</t>
  </si>
  <si>
    <t>Кемеровская область, г.Таштагол, ул.Поспелова,20 (пом.316)</t>
  </si>
  <si>
    <t>Кемеровская область, г.Таштагол, ул.Поспелова,20 (пом.314)</t>
  </si>
  <si>
    <t>Кемеровская область, г.Таштагол, ул.Поспелова,20 (пом.308)</t>
  </si>
  <si>
    <t>42:12:0101001:927</t>
  </si>
  <si>
    <t>42:12:0102001:1450</t>
  </si>
  <si>
    <t>Кемеровская область, Таштагольский район, пгт. Шерегеш, ул. Советская,12а</t>
  </si>
  <si>
    <t>42:12:0102002:2029</t>
  </si>
  <si>
    <t xml:space="preserve">МБУ ДО «Школа искусств №67» </t>
  </si>
  <si>
    <t xml:space="preserve">Кемеровская область, Таштагольский район, пгт. Мундыбаш, ул. Кабалевского,д. 9 </t>
  </si>
  <si>
    <t xml:space="preserve">МБУ ДО «Школа искусств №8 им. Н.А. Капишникова» </t>
  </si>
  <si>
    <t>МБОУ  «Основная общеобразовательная школа №1»</t>
  </si>
  <si>
    <t>МБОУ "Основная общеобразовательная школа №6"</t>
  </si>
  <si>
    <t>МБОУ "Основная общеобразовательная школа №8</t>
  </si>
  <si>
    <t xml:space="preserve">МБОУ "Средняя общеобразовательная школа №9" </t>
  </si>
  <si>
    <t xml:space="preserve">МБОУ "Основная общеобразовательная школа №10" </t>
  </si>
  <si>
    <t>МКДОУ детский сад №18 "Сказка"</t>
  </si>
  <si>
    <t>МБДОУ детский сад №3 "Березка"</t>
  </si>
  <si>
    <t>МБДОУ детский сад  №24 "Солнышко"</t>
  </si>
  <si>
    <t>1.2.43.11</t>
  </si>
  <si>
    <t>42:12:0104001:4024</t>
  </si>
  <si>
    <t xml:space="preserve">42:34:0106003:525   </t>
  </si>
  <si>
    <t>1.3.193.5</t>
  </si>
  <si>
    <t xml:space="preserve">В аренде Кашковского А.А.    </t>
  </si>
  <si>
    <t>В безвозмездном пользовании БУ «Муниципальный архив Таштагольского муниципального района»</t>
  </si>
  <si>
    <t>1.1.9.23</t>
  </si>
  <si>
    <t xml:space="preserve">42:34:0106003:187 </t>
  </si>
  <si>
    <t xml:space="preserve">42:34:0106003:319   </t>
  </si>
  <si>
    <t xml:space="preserve">42:34:0102064:393             </t>
  </si>
  <si>
    <t xml:space="preserve">4 этаж     </t>
  </si>
  <si>
    <t>42:34:0101041:83</t>
  </si>
  <si>
    <t>цокольный</t>
  </si>
  <si>
    <t>205-А</t>
  </si>
  <si>
    <t>жилой дом (1 кв.)</t>
  </si>
  <si>
    <t xml:space="preserve">42:34:0102028:182           </t>
  </si>
  <si>
    <t>42:34:0102011:48</t>
  </si>
  <si>
    <t>42:34:0102011:92</t>
  </si>
  <si>
    <t xml:space="preserve">42:34:0102011:106 </t>
  </si>
  <si>
    <t xml:space="preserve">42:34:0102011:98 </t>
  </si>
  <si>
    <t>42:34:0102011:99</t>
  </si>
  <si>
    <t xml:space="preserve">42:34:0102011:107 </t>
  </si>
  <si>
    <t>42:34:0102012:152</t>
  </si>
  <si>
    <t xml:space="preserve">42:34:0102011:78 </t>
  </si>
  <si>
    <t>42:34:0102012:134</t>
  </si>
  <si>
    <t xml:space="preserve">42:34:0102012:135                           </t>
  </si>
  <si>
    <t xml:space="preserve">42:34:0102012:138                          </t>
  </si>
  <si>
    <t>42:34:0102012:139</t>
  </si>
  <si>
    <t>42:34:0102012:140</t>
  </si>
  <si>
    <t>42:34:0102012:141</t>
  </si>
  <si>
    <t>42:34:0102012:129</t>
  </si>
  <si>
    <t>42:34:0102012:130</t>
  </si>
  <si>
    <t>42:34:0102012:137</t>
  </si>
  <si>
    <t>42:34:0102012:132</t>
  </si>
  <si>
    <t xml:space="preserve">42:34:0110001:175 </t>
  </si>
  <si>
    <t xml:space="preserve">42:34:0110001:176 </t>
  </si>
  <si>
    <t xml:space="preserve">42:34:0110001:177 </t>
  </si>
  <si>
    <t>42:34:0110001:182</t>
  </si>
  <si>
    <t xml:space="preserve">42:34:0110001:184 </t>
  </si>
  <si>
    <t xml:space="preserve">42:34:0110001:185 </t>
  </si>
  <si>
    <t xml:space="preserve">42:34:0110001:186 </t>
  </si>
  <si>
    <t xml:space="preserve">42:34:0103011:214 </t>
  </si>
  <si>
    <t>42:34:0112005:297</t>
  </si>
  <si>
    <t>42:34:0112006:75</t>
  </si>
  <si>
    <t xml:space="preserve">42:34:0112008:168               </t>
  </si>
  <si>
    <t>42:34:0112008:192</t>
  </si>
  <si>
    <t xml:space="preserve">42:34:0101037:72                              </t>
  </si>
  <si>
    <t>42:34:0101036:129</t>
  </si>
  <si>
    <t>42:34:0101037:93</t>
  </si>
  <si>
    <t>42:34:0101043:200</t>
  </si>
  <si>
    <t xml:space="preserve"> 42:34:0101043:194  </t>
  </si>
  <si>
    <t>42:34:0101036:84</t>
  </si>
  <si>
    <t>42:34:0101020:60</t>
  </si>
  <si>
    <t>42:34:0101011:63</t>
  </si>
  <si>
    <t>42:34:0101011:58</t>
  </si>
  <si>
    <t>42:34:0102013:60</t>
  </si>
  <si>
    <t>44-1</t>
  </si>
  <si>
    <t xml:space="preserve">42:12:0102006:804 </t>
  </si>
  <si>
    <t>42:12:0102006:844</t>
  </si>
  <si>
    <t xml:space="preserve">42:12:0114002:1612 </t>
  </si>
  <si>
    <t>42:12:0102008:159</t>
  </si>
  <si>
    <t>42:12:0102009:201</t>
  </si>
  <si>
    <t>42:12:0102009:203</t>
  </si>
  <si>
    <t>42:34:0114010:64</t>
  </si>
  <si>
    <t>42:34:0114010:69</t>
  </si>
  <si>
    <t>42:34:0114010:60</t>
  </si>
  <si>
    <t xml:space="preserve">1 этаж  </t>
  </si>
  <si>
    <t xml:space="preserve">4 этаж            </t>
  </si>
  <si>
    <t>43;45</t>
  </si>
  <si>
    <t>67;68</t>
  </si>
  <si>
    <t xml:space="preserve">42:12:0104001:2122                            </t>
  </si>
  <si>
    <t xml:space="preserve">1 этаж            </t>
  </si>
  <si>
    <t xml:space="preserve">42:12:0104001:1417 </t>
  </si>
  <si>
    <t>42:12:0104001:1662</t>
  </si>
  <si>
    <t xml:space="preserve">2-х этажное </t>
  </si>
  <si>
    <t>42:12:0105002:2519</t>
  </si>
  <si>
    <t xml:space="preserve">42:12:0106002:2697                           </t>
  </si>
  <si>
    <t xml:space="preserve">42:12:0106002:2444 </t>
  </si>
  <si>
    <t xml:space="preserve">      4а</t>
  </si>
  <si>
    <t xml:space="preserve">42:12:0106002:3677 </t>
  </si>
  <si>
    <t xml:space="preserve">42:12:0105004:154 </t>
  </si>
  <si>
    <t xml:space="preserve">42:12:0114002:1018 </t>
  </si>
  <si>
    <t xml:space="preserve">42:12:0106002:3587          </t>
  </si>
  <si>
    <t>2006-2007</t>
  </si>
  <si>
    <t xml:space="preserve">42:34:0101044:165 </t>
  </si>
  <si>
    <t>42:12:0112001:339</t>
  </si>
  <si>
    <t xml:space="preserve">42:12:0105002:2196 </t>
  </si>
  <si>
    <t xml:space="preserve">42:30:0603058:914 </t>
  </si>
  <si>
    <t xml:space="preserve">3 этаж      </t>
  </si>
  <si>
    <t xml:space="preserve">42:34:0114008:86 </t>
  </si>
  <si>
    <t xml:space="preserve">42:34:0114008:49 </t>
  </si>
  <si>
    <t xml:space="preserve">42:34:0114014:103 </t>
  </si>
  <si>
    <t xml:space="preserve">42:12:0104001:1191 </t>
  </si>
  <si>
    <t>42:34:0114001:19</t>
  </si>
  <si>
    <t>42:34:0114002:58</t>
  </si>
  <si>
    <t>1-но этажное дерев. здание</t>
  </si>
  <si>
    <t xml:space="preserve">42:34:0114002:61                              </t>
  </si>
  <si>
    <t>42:34:0114012:89</t>
  </si>
  <si>
    <t>10-ти этажное, панельное</t>
  </si>
  <si>
    <t xml:space="preserve"> блок секции в осях III-V</t>
  </si>
  <si>
    <t>42:12:0102005:1187</t>
  </si>
  <si>
    <t>42:12:0106002:4025</t>
  </si>
  <si>
    <t>42:34:0112002:48</t>
  </si>
  <si>
    <t>42:34:0112002:71</t>
  </si>
  <si>
    <t>42:12:0104001:3620</t>
  </si>
  <si>
    <t>42:12:0106002:4194</t>
  </si>
  <si>
    <t xml:space="preserve">42:12:0106002:4251                         </t>
  </si>
  <si>
    <t xml:space="preserve">42:12:0106002:4252                          </t>
  </si>
  <si>
    <t xml:space="preserve">42:12:0106002:4254                          </t>
  </si>
  <si>
    <t xml:space="preserve">42:12:0106002:4256                           </t>
  </si>
  <si>
    <t xml:space="preserve">42:12:0106002:4257                           </t>
  </si>
  <si>
    <t xml:space="preserve">2 этаж </t>
  </si>
  <si>
    <t xml:space="preserve">42:12:0106002:4260                           </t>
  </si>
  <si>
    <t xml:space="preserve">42:12:0106002:4263                        </t>
  </si>
  <si>
    <t xml:space="preserve">42:12:0106002:4264                          </t>
  </si>
  <si>
    <t xml:space="preserve">42:12:0106002:4266                           </t>
  </si>
  <si>
    <t xml:space="preserve">42:12:0106002:4268                         </t>
  </si>
  <si>
    <t>42:12:0102006:1452</t>
  </si>
  <si>
    <t>42:12:0102006:1453</t>
  </si>
  <si>
    <t>42:12:0105002:3294</t>
  </si>
  <si>
    <t>42:12:0106002:4348</t>
  </si>
  <si>
    <t>42:34:0114015:59</t>
  </si>
  <si>
    <t>42:34:0114015:63</t>
  </si>
  <si>
    <t>42:34:0114015:65</t>
  </si>
  <si>
    <t>42:12:0104001:3829</t>
  </si>
  <si>
    <t>42:12:0104001:3823</t>
  </si>
  <si>
    <t>42:12:0104001:3830</t>
  </si>
  <si>
    <t>42:12:0104001:3839</t>
  </si>
  <si>
    <t>42:12:0104001:3834</t>
  </si>
  <si>
    <t>42:12:0104001:3833</t>
  </si>
  <si>
    <t xml:space="preserve">42:34:0105016:36 </t>
  </si>
  <si>
    <t>одноэтажное, деревянные</t>
  </si>
  <si>
    <t xml:space="preserve">42:12:0105002:3384 </t>
  </si>
  <si>
    <t>42:12:0106002:4482</t>
  </si>
  <si>
    <t xml:space="preserve">  42:12:0106002:4439</t>
  </si>
  <si>
    <t xml:space="preserve">  42:12:0106002:4443</t>
  </si>
  <si>
    <t>42:12:0102004:956</t>
  </si>
  <si>
    <t>42:12:0102004:966</t>
  </si>
  <si>
    <t>42:12:0102004:970</t>
  </si>
  <si>
    <t xml:space="preserve">42:12:0102004:976 </t>
  </si>
  <si>
    <t>9</t>
  </si>
  <si>
    <t>10</t>
  </si>
  <si>
    <t xml:space="preserve">МУНИЦИПАЛЬНОЕ НЕДВИЖИМОЕ ИМУЩЕСТВО ТАШТАГОЛЬСКОГО МУНИЦИПАЛЬНОГО РАЙОНА </t>
  </si>
  <si>
    <t>Номер дома</t>
  </si>
  <si>
    <t xml:space="preserve">Реестровый номер </t>
  </si>
  <si>
    <t>Наименование недвижимого имущества</t>
  </si>
  <si>
    <t>Адрес (местоположение) недвижимого имущества</t>
  </si>
  <si>
    <t xml:space="preserve"> Кадастровый номер муниципального недвижимого имущества</t>
  </si>
  <si>
    <t>Этаж</t>
  </si>
  <si>
    <t>Площадь, кв.м.</t>
  </si>
  <si>
    <t>Год постройки</t>
  </si>
  <si>
    <t>Сведения о кадастровой стоимости недвижимого имущества</t>
  </si>
  <si>
    <t>Этажность</t>
  </si>
  <si>
    <t xml:space="preserve">Сведения об установленных в отношении муниципального недвижимого имущества ограничениях (обременениях) </t>
  </si>
  <si>
    <t>Сведения о правообладателе муниципального недвижимого имущества</t>
  </si>
  <si>
    <t>Категория земель</t>
  </si>
  <si>
    <t>Наименование  имущества</t>
  </si>
  <si>
    <t xml:space="preserve"> Кадастровый номер имущества</t>
  </si>
  <si>
    <t>42:34:0106003:518</t>
  </si>
  <si>
    <t xml:space="preserve">42:34:0106004:734 </t>
  </si>
  <si>
    <t>1.1.59.4</t>
  </si>
  <si>
    <t>42:34:0101040:98</t>
  </si>
  <si>
    <t>1.1.134.</t>
  </si>
  <si>
    <t>1.1.388.8</t>
  </si>
  <si>
    <t>42:34:0114009:174</t>
  </si>
  <si>
    <t>1.1.499.10</t>
  </si>
  <si>
    <t>42:12:0105002:3020</t>
  </si>
  <si>
    <t xml:space="preserve"> Встроенное нежилое помещение клуба</t>
  </si>
  <si>
    <t xml:space="preserve"> Встроенное нежилое помещение администрации </t>
  </si>
  <si>
    <t xml:space="preserve">Нежилое здание, школа </t>
  </si>
  <si>
    <t>Кемеровская область, Таштагольский район, Казское городское поселение, пгт. Каз, ул. Победы, № 2б</t>
  </si>
  <si>
    <t>42:12:0104001:735</t>
  </si>
  <si>
    <t>Земельный участок, разрешенное использование: Размещение объектов капитального строительства, предназначенных для просвещения, дошкольного, начального и среднего общего образования (детские ясли, детские сады, школы, лицеи, гимназии, художественные, музыкальные школы, образовательные кружки и иные организации, осуществляющие деятельность по воспитанию, образованию и просвещению)</t>
  </si>
  <si>
    <t>МКОУ "Основная общеобразовательная школа №31"</t>
  </si>
  <si>
    <t xml:space="preserve">Земельный участок  под детский сад </t>
  </si>
  <si>
    <t>МКДОУ детский сад №4 «Родничок»</t>
  </si>
  <si>
    <t xml:space="preserve">МБОУ "Средняя общеобразовательная школа №15" </t>
  </si>
  <si>
    <t>МБОУ "Средняя общеобразовательная школа №24"</t>
  </si>
  <si>
    <t>МКДОУ детский сад  №15  "Ромашка"</t>
  </si>
  <si>
    <t>МБОУ ДО "Центр развития творчества детей и юношества"</t>
  </si>
  <si>
    <t>МБОУ "Основная общеобразовательная школа №13"</t>
  </si>
  <si>
    <t>МБДОУ детский сад  №10 «Антошка»</t>
  </si>
  <si>
    <t xml:space="preserve">Земельный участок, использование: под детский сад </t>
  </si>
  <si>
    <t xml:space="preserve">МБДОУ детский сад  №2 «Солнышко»     </t>
  </si>
  <si>
    <t xml:space="preserve">МБУ «Спортивный комплекс «Кристалл» </t>
  </si>
  <si>
    <t>МДОУ детский сад  №25 "Ромашка"</t>
  </si>
  <si>
    <t>МБДОУ Детский сад №8 «Рябинка»</t>
  </si>
  <si>
    <t>МБУК ЦКС Таштагольского муниципального района</t>
  </si>
  <si>
    <t>МАУК ГПКиО "Горняцкие горизонты" Таштагольского муниципального района</t>
  </si>
  <si>
    <t>МКДОУ детский сад  №5 "Петрушка"</t>
  </si>
  <si>
    <t>Муниципальное бюджетное учреждение "Спортивный комплекс "Дельфин"</t>
  </si>
  <si>
    <t xml:space="preserve">1 этаж   </t>
  </si>
  <si>
    <t>1.5.356</t>
  </si>
  <si>
    <t>1.5.562</t>
  </si>
  <si>
    <t>Сооружение : стадион школы №9</t>
  </si>
  <si>
    <t>42:34:0106002:1790</t>
  </si>
  <si>
    <t>доломит, асфальт,прочие мат.</t>
  </si>
  <si>
    <t>1.5.563</t>
  </si>
  <si>
    <t>Тепловая сеть,проходящая от ответного фланца врезки в магистральный трубопровод, расположенный в районе дома №1 по ул. Строительная в пгт. Каз до дома № 10 по ул. Строительная в пгт. Каз</t>
  </si>
  <si>
    <t>Кемеровская область, Таштагольский район, Казское городское поселение, пгт. Каз</t>
  </si>
  <si>
    <t>42:12:0104001:3896</t>
  </si>
  <si>
    <t>1.5.564</t>
  </si>
  <si>
    <t>Теплотрасса к тубдиспансеру</t>
  </si>
  <si>
    <t>Кемеровская область, Таштагольский район, Таштагольское городское поселение, г.Таштагол, ул.Школьная</t>
  </si>
  <si>
    <t>42:34:0114017:139</t>
  </si>
  <si>
    <t>1.5.565</t>
  </si>
  <si>
    <t>42:34:0114017:140</t>
  </si>
  <si>
    <t>1.5.566</t>
  </si>
  <si>
    <t>1.5.567</t>
  </si>
  <si>
    <t>Автомобильная дорога Кондома-Карагол</t>
  </si>
  <si>
    <t>Кемеровская обл.,Таштагольский район</t>
  </si>
  <si>
    <t>42:12:0000000:716</t>
  </si>
  <si>
    <t>протяж. 12000 м</t>
  </si>
  <si>
    <t>1.5.568</t>
  </si>
  <si>
    <t>Сооружение: Автомобильная дорога Мундыбаш-Тельбес</t>
  </si>
  <si>
    <t>42:12:0000000:717</t>
  </si>
  <si>
    <t>1.5.569</t>
  </si>
  <si>
    <t>Автомобильная дорога Шерегеш - Суета</t>
  </si>
  <si>
    <t>42:12:0000000:714</t>
  </si>
  <si>
    <t>протяж. 48000 м</t>
  </si>
  <si>
    <t>1.5.570</t>
  </si>
  <si>
    <t>Автомобильная дорога Кичи-Чилису-Анзас</t>
  </si>
  <si>
    <t>42:12:0000000:720</t>
  </si>
  <si>
    <t>протяж. 18000 м</t>
  </si>
  <si>
    <t>1.5.571</t>
  </si>
  <si>
    <t>Автомобильная дорога Каз-Тенеш</t>
  </si>
  <si>
    <t>42:12:0000000:707</t>
  </si>
  <si>
    <t>1.5.572</t>
  </si>
  <si>
    <t>Автомобильная дорога Мундыбаш-Малиновка</t>
  </si>
  <si>
    <t>42:12:0000000:709</t>
  </si>
  <si>
    <t>протяж. 20000 м</t>
  </si>
  <si>
    <t>1.5.573</t>
  </si>
  <si>
    <t>Автомобильная дорога Габовск- Нижний Сокол</t>
  </si>
  <si>
    <t>42:12:0000000:712</t>
  </si>
  <si>
    <t>1.5.574</t>
  </si>
  <si>
    <t>Автомобильная дорога Таштагол-Кабырза</t>
  </si>
  <si>
    <t xml:space="preserve">  42:12:0000000:715</t>
  </si>
  <si>
    <t>протяж. 6500 м</t>
  </si>
  <si>
    <t>1.5.575</t>
  </si>
  <si>
    <t>Сооружение: Автомобильная дорога Чулеш-Мрассу</t>
  </si>
  <si>
    <t xml:space="preserve">  42:12:0000000:719</t>
  </si>
  <si>
    <t>протяж. 57000 м</t>
  </si>
  <si>
    <t>1.5.576</t>
  </si>
  <si>
    <t>Автомобильная дорога Темиртау-Сухаринка-Самара</t>
  </si>
  <si>
    <t>42:12:0000000:705</t>
  </si>
  <si>
    <t>1.5.577</t>
  </si>
  <si>
    <t>Автомобильная дорога Суета-Усть Анзас</t>
  </si>
  <si>
    <t>42:12:0000000:706</t>
  </si>
  <si>
    <t>протяж. 10000 м</t>
  </si>
  <si>
    <t>1.5.578</t>
  </si>
  <si>
    <t>Автомобильная дорога Темиртау - Каштау</t>
  </si>
  <si>
    <t>42:12:0000000:711</t>
  </si>
  <si>
    <t xml:space="preserve">В оперативном управлении: распр. Администр. Таштагол. муниц. района от 27.11.2018 г. №665-р </t>
  </si>
  <si>
    <t>Распр. админ. ТМР от 13.08.2018 №498-р</t>
  </si>
  <si>
    <t>1.4.156</t>
  </si>
  <si>
    <t>Земельный участок  для использования : под производственные помещения</t>
  </si>
  <si>
    <t>42:34:0102029:14</t>
  </si>
  <si>
    <t>1.4.157</t>
  </si>
  <si>
    <t>1.4.158</t>
  </si>
  <si>
    <t>Земельный участок  для использования : коммунальное обслуживание</t>
  </si>
  <si>
    <t>Кемеровская область, г.Таштагол, ул.Партизанская,108а</t>
  </si>
  <si>
    <t>42:34:0104029:29</t>
  </si>
  <si>
    <t>1.4.159</t>
  </si>
  <si>
    <t>42:34:0113035:57</t>
  </si>
  <si>
    <t>1.4.160</t>
  </si>
  <si>
    <t>Земельный участок, предназначенный для размещения объектов капитального строительства в целях обеспечения физических и юридических лиц коммунальными услугами (котельной)</t>
  </si>
  <si>
    <t xml:space="preserve">Кемеровская область, г Таштагол, ул Кислородная, 2а </t>
  </si>
  <si>
    <t>42:34:0114008:196</t>
  </si>
  <si>
    <t>1.4.161</t>
  </si>
  <si>
    <t>Земельный участок,  разрешенное использование: под Тельбесский водозабор с насосной станцией и сетями водопровода</t>
  </si>
  <si>
    <t>42:12:0104007:5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</si>
  <si>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</si>
  <si>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1.4.162</t>
  </si>
  <si>
    <t>Земельный участок,  разрешенное использование:   коммунальное обслуживание</t>
  </si>
  <si>
    <t>Кемеровская область, Таштагольский муниципальный район, Мундыбашское городское поселение, пгт. Мундыбаш, ул.Октябрьская,33</t>
  </si>
  <si>
    <t>42:12:0106004:75</t>
  </si>
  <si>
    <t>1.4.163</t>
  </si>
  <si>
    <t>Земельный участок,  разрешенное использование:  коммунальное обслуживание</t>
  </si>
  <si>
    <t>Кемеровская область, Таштагольский муниципальный район, Мундыбашское городское поселение, пгт. Мундыбаш, ул.Октябрьская,33а</t>
  </si>
  <si>
    <t>42:12:0106002:4557</t>
  </si>
  <si>
    <t>1.4.164</t>
  </si>
  <si>
    <t>Земельный участок,  разрешенное использование: Под отдельно стоящее нежилое здание школы №26</t>
  </si>
  <si>
    <t xml:space="preserve">Кемеровская область, Таштагольский район, п.Усть-Кабырза, ул.Школьная,4 </t>
  </si>
  <si>
    <t>42:12:0110001:1286</t>
  </si>
  <si>
    <t>1.4.165</t>
  </si>
  <si>
    <t>Земельный участок,  разрешенное использование: под золошлаковый отвал</t>
  </si>
  <si>
    <t>42:12:0102001:1608</t>
  </si>
  <si>
    <t>1.4.166</t>
  </si>
  <si>
    <t xml:space="preserve">42:34:0101044:82 </t>
  </si>
  <si>
    <t>1.4.167</t>
  </si>
  <si>
    <t xml:space="preserve"> МБДОУ  детский сад  №9 "Колобок"</t>
  </si>
  <si>
    <t>1.4.168</t>
  </si>
  <si>
    <t>Земельный участок, разрешенное использование: для размещения объектов капитального строительства, предназначенных для воспитания, образования и  просвещения</t>
  </si>
  <si>
    <t xml:space="preserve">Кемеровская область, г. Таштагол, ул. Поспелова,19а </t>
  </si>
  <si>
    <t>42:34:0106002:1783</t>
  </si>
  <si>
    <t>МБДОУ детский сад № 11 "Золотая рыбка"</t>
  </si>
  <si>
    <t>1.4.169</t>
  </si>
  <si>
    <t>42:34:0106001:21</t>
  </si>
  <si>
    <t>МБДОУ детский сад № 14 «Аленушка»</t>
  </si>
  <si>
    <t>1.4.170</t>
  </si>
  <si>
    <t>42:12:0114002:451</t>
  </si>
  <si>
    <t>МБДОУ детский сад № 21 "Светлячок"</t>
  </si>
  <si>
    <t xml:space="preserve">Сведения о балансовой стоимости недвижимого имущества </t>
  </si>
  <si>
    <t>1.1.35.23</t>
  </si>
  <si>
    <t>42:34:0102064:74</t>
  </si>
  <si>
    <t>1.1.58.6</t>
  </si>
  <si>
    <t>42:34:0101043:340</t>
  </si>
  <si>
    <t>42:34:0102063:266</t>
  </si>
  <si>
    <t xml:space="preserve">  1 (Цокольный этаж)</t>
  </si>
  <si>
    <t>1.1.69.9</t>
  </si>
  <si>
    <t>1/2 доли квартиры</t>
  </si>
  <si>
    <t>42:34:0102063:119</t>
  </si>
  <si>
    <t>1.1.94.15</t>
  </si>
  <si>
    <t>42:34:0102011:80</t>
  </si>
  <si>
    <t>1.1.94.16</t>
  </si>
  <si>
    <t>42:34:0102011:74</t>
  </si>
  <si>
    <t>1.1.132.4</t>
  </si>
  <si>
    <t>42:34:0112005:396</t>
  </si>
  <si>
    <t>1.1.176.5</t>
  </si>
  <si>
    <t>7/2</t>
  </si>
  <si>
    <t>42:34:0101037:116</t>
  </si>
  <si>
    <t>42:34:0101043:49</t>
  </si>
  <si>
    <t xml:space="preserve">  42:12:0102002:1822</t>
  </si>
  <si>
    <t>42:12:0102003:1225</t>
  </si>
  <si>
    <t>42:12:0102002:1991</t>
  </si>
  <si>
    <t>1.1.388.9</t>
  </si>
  <si>
    <t>42:34:0114009:167</t>
  </si>
  <si>
    <t xml:space="preserve">  42:12:0104001:4006</t>
  </si>
  <si>
    <t>1.1.411.10</t>
  </si>
  <si>
    <t>42:12:0104001:2314</t>
  </si>
  <si>
    <t xml:space="preserve">  42:12:0104001:4013</t>
  </si>
  <si>
    <t>1.1.417.36</t>
  </si>
  <si>
    <t>42:12:0104001:3932</t>
  </si>
  <si>
    <t>1.1.420.4</t>
  </si>
  <si>
    <t>42:12:0104001:2530</t>
  </si>
  <si>
    <t>42:12:0104001:4009</t>
  </si>
  <si>
    <t xml:space="preserve">  42:12:0104001:4012</t>
  </si>
  <si>
    <t>42:12:0106002:4494</t>
  </si>
  <si>
    <t>42:12:0106002:4492</t>
  </si>
  <si>
    <t>1.1.560.</t>
  </si>
  <si>
    <t>1.1.560.8</t>
  </si>
  <si>
    <t>42:12:0106002:2576</t>
  </si>
  <si>
    <t>42:12:0106002:4123</t>
  </si>
  <si>
    <t>1.1.561.5</t>
  </si>
  <si>
    <t>42:12:0106002:2344</t>
  </si>
  <si>
    <t>42:12:0106002:4525</t>
  </si>
  <si>
    <t>1.1.569.</t>
  </si>
  <si>
    <t>1.1.569.4</t>
  </si>
  <si>
    <t>42:12:0106002:2919</t>
  </si>
  <si>
    <t xml:space="preserve">  42:12:0104006:84</t>
  </si>
  <si>
    <t xml:space="preserve">  42:12:0104006:85</t>
  </si>
  <si>
    <t>42:12:0104006:80</t>
  </si>
  <si>
    <t>42:12:0104006:81</t>
  </si>
  <si>
    <t>42:12:0104006:82</t>
  </si>
  <si>
    <t xml:space="preserve">  42:12:0112001:479</t>
  </si>
  <si>
    <t xml:space="preserve">  42:12:0112001:416</t>
  </si>
  <si>
    <t>1.1.708.7</t>
  </si>
  <si>
    <t>42:12:0106002:2545</t>
  </si>
  <si>
    <t>1.1.721.5</t>
  </si>
  <si>
    <t>42:12:0103001:245</t>
  </si>
  <si>
    <t>42:12:0103001:246</t>
  </si>
  <si>
    <t>42:12:0103001:247</t>
  </si>
  <si>
    <t>42:12:0103001:248</t>
  </si>
  <si>
    <t>1.1.773.2</t>
  </si>
  <si>
    <t xml:space="preserve">42:34:0101044:119 </t>
  </si>
  <si>
    <t xml:space="preserve">42:12:0106002:4086 </t>
  </si>
  <si>
    <t>42:12:0106002:4549</t>
  </si>
  <si>
    <t>42:12:0106002:4550</t>
  </si>
  <si>
    <t xml:space="preserve"> 42:12:0106002:4547</t>
  </si>
  <si>
    <t>1.1.808.38</t>
  </si>
  <si>
    <t>42:12:0106002:3451</t>
  </si>
  <si>
    <t xml:space="preserve"> 42:12:0105002:3183</t>
  </si>
  <si>
    <t>42:12:0106002:4241</t>
  </si>
  <si>
    <t>42:12:0106002:4243</t>
  </si>
  <si>
    <t>42:12:0106002:4242</t>
  </si>
  <si>
    <t>42:34:0114008:199</t>
  </si>
  <si>
    <t>1.1.825.11</t>
  </si>
  <si>
    <t>42:12:0104001:3629</t>
  </si>
  <si>
    <t xml:space="preserve">42:12:0104001:3621   </t>
  </si>
  <si>
    <t>1.1.825.17</t>
  </si>
  <si>
    <t>42:12:0104001:3609</t>
  </si>
  <si>
    <t xml:space="preserve">42:12:0105002:3268                             </t>
  </si>
  <si>
    <t xml:space="preserve">1 этаж     </t>
  </si>
  <si>
    <t>1.1.838.22</t>
  </si>
  <si>
    <t>42:12:0106002:4300</t>
  </si>
  <si>
    <t xml:space="preserve">42:12:0105002:3369 </t>
  </si>
  <si>
    <t>1.1.850.47</t>
  </si>
  <si>
    <t>35а</t>
  </si>
  <si>
    <t>42:12:0106002:4540</t>
  </si>
  <si>
    <t>1.1.850.48</t>
  </si>
  <si>
    <t>42:12:0106002:4536</t>
  </si>
  <si>
    <t>42:12:0106002:4538</t>
  </si>
  <si>
    <t>1.1.850.51</t>
  </si>
  <si>
    <t>42:12:0106002:4431</t>
  </si>
  <si>
    <t>1.1.853</t>
  </si>
  <si>
    <t xml:space="preserve">  42:12:0112004:266</t>
  </si>
  <si>
    <t>1.4.26.1167</t>
  </si>
  <si>
    <t xml:space="preserve">Кемеровская область, Таштагольский район, пгт. Шерегеш, сооружение линейное электротехническое: ВЛЗ-6 кВ от опоры № 17 ВЛ-6 кВ Ф-6- 19-"Кедровая" до РУ-6 кВ КТП № 734 "Шахтеров" в пгт. Шерегеш </t>
  </si>
  <si>
    <t>42:12:0102015:1591</t>
  </si>
  <si>
    <t>1.4.26.1168</t>
  </si>
  <si>
    <t>Россия, Кемеровская область,  Таштагольский район, пгт. Шерегеш, ул. Рябиновая,103</t>
  </si>
  <si>
    <t>42:12:0102015:1527</t>
  </si>
  <si>
    <t>1.4.26.1170</t>
  </si>
  <si>
    <t>Россия, Кемеровская область,  Таштагольский район, пгт. Шерегеш, ул. Рябиновая,42</t>
  </si>
  <si>
    <t>42:12:0102015:1177</t>
  </si>
  <si>
    <t>1.4.26.1172</t>
  </si>
  <si>
    <t>Россия, Кемеровская область,  Таштагольский район, пгт. Шерегеш, ул. Рябиновая,50</t>
  </si>
  <si>
    <t>42:12:0102015:1181</t>
  </si>
  <si>
    <t>1.4.26.1173</t>
  </si>
  <si>
    <t>Россия, Кемеровская область,  Таштагольский район, пгт. Шерегеш, ул. Рябиновая,52</t>
  </si>
  <si>
    <t>42:12:0102015:1182</t>
  </si>
  <si>
    <t>1.4.26.1174</t>
  </si>
  <si>
    <t>Россия, Кемеровская область,  Таштагольский район, пгт. Шерегеш, ул. Рябиновая,62</t>
  </si>
  <si>
    <t>42:12:0102015:1196</t>
  </si>
  <si>
    <t>1.4.26.1176</t>
  </si>
  <si>
    <t>Россия, Кемеровская область,  Таштагольский район, пгт. Шерегеш, ул. Рябиновая,66</t>
  </si>
  <si>
    <t>42:12:0102015:1198</t>
  </si>
  <si>
    <t>1.4.26.1177</t>
  </si>
  <si>
    <t>Россия, Кемеровская область,  Таштагольский район, пгт. Шерегеш, ул. Рябиновая,67</t>
  </si>
  <si>
    <t>42:12:0102015:1189</t>
  </si>
  <si>
    <t>1.4.26.1178</t>
  </si>
  <si>
    <t>Россия, Кемеровская область,  Таштагольский район, пгт. Шерегеш, ул. Рябиновая,68</t>
  </si>
  <si>
    <t>42:12:0102015:1199</t>
  </si>
  <si>
    <t>1.4.26.1180</t>
  </si>
  <si>
    <t>Россия, Кемеровская область,  Таштагольский район, пгт. Шерегеш, ул. Рябиновая,70</t>
  </si>
  <si>
    <t>42:12:0102015:1200</t>
  </si>
  <si>
    <t>1.4.26.1182</t>
  </si>
  <si>
    <t>Россия, Кемеровская область,  Таштагольский район, пгт. Шерегеш, ул. Рябиновая,72</t>
  </si>
  <si>
    <t>42:12:0102015:1201</t>
  </si>
  <si>
    <t>1.4.26.1183</t>
  </si>
  <si>
    <t>Россия, Кемеровская область,  Таштагольский район, пгт. Шерегеш, ул. Рябиновая,73</t>
  </si>
  <si>
    <t>42:12:0102015:1192</t>
  </si>
  <si>
    <t>1.4.26.1184</t>
  </si>
  <si>
    <t>Россия, Кемеровская область,  Таштагольский район, пгт. Шерегеш, ул. Рябиновая,74</t>
  </si>
  <si>
    <t>42:12:0102015:1202</t>
  </si>
  <si>
    <t>1.4.26.1185</t>
  </si>
  <si>
    <t>Россия, Кемеровская область,  Таштагольский район, пгт. Шерегеш, ул. Рябиновая,76</t>
  </si>
  <si>
    <t>42:12:0102015:1203</t>
  </si>
  <si>
    <t>1.4.26.1187</t>
  </si>
  <si>
    <t>Россия, Кемеровская область,  Таштагольский район, пгт. Шерегеш, ул. Рябиновая,78</t>
  </si>
  <si>
    <t>42:12:0102015:1204</t>
  </si>
  <si>
    <t>1.4.26.1189</t>
  </si>
  <si>
    <t>Россия, Кемеровская область,  Таштагольский район, пгт. Шерегеш, ул. Рябиновая,80</t>
  </si>
  <si>
    <t>42:12:0102015:1168</t>
  </si>
  <si>
    <t>1.4.26.1190</t>
  </si>
  <si>
    <t>Россия, Кемеровская область,  Таштагольский район, пгт. Шерегеш, ул. Рябиновая,200</t>
  </si>
  <si>
    <t xml:space="preserve">  42:12:0102015:1528</t>
  </si>
  <si>
    <t>1.4.26.1191</t>
  </si>
  <si>
    <t>Россия, Кемеровская область,  Таштагольский район, пгт. Шерегеш, ул. Рябиновая,107</t>
  </si>
  <si>
    <t>42:12:0102015:1529</t>
  </si>
  <si>
    <t>1.4.26.1193</t>
  </si>
  <si>
    <t xml:space="preserve">Кемеровская область, Таштагольский район, пгт. Шерегеш, сооружение линейное электротехническое: ВЛЗ-6 кВ от опоры №40 ВЛ-6 кВ Ф-6-17-"Свободная" до РУ-6 кВ КТП №722 "Хвойная" в пгт. Шерегеш </t>
  </si>
  <si>
    <t>42:12:0102015:1600</t>
  </si>
  <si>
    <t>1.4.26.1194</t>
  </si>
  <si>
    <t>Кемеровская область, Таштагольский район, пгт. Шерегеш, сооружение линейное электротехническое: ВЛИ-0,4 кВ от опоры № 21 ВЛИ-0,4 кВ КТП № 708 "Строителей" до опоры, установленной на границе земельного участка жилого дома по ул. Свободная, д. 74 в пгт. Шерегеш</t>
  </si>
  <si>
    <t>42:12:0102015:1605</t>
  </si>
  <si>
    <t>1.4.26.1195</t>
  </si>
  <si>
    <t xml:space="preserve">Кемеровская область, Таштагольский район, пгт. Шерегеш, сооружение линейное электротехническое: ВЛИ-0,4 кВ от РУ-0,4 кВ КТП № 734 "Шахтеров" до опоры, установленной на границе земельного участка жилого дома по ул. Шахтеров, 19 в пгт. Шерегеш </t>
  </si>
  <si>
    <t>42:12:0102015:1602</t>
  </si>
  <si>
    <t>1.4.26.1196</t>
  </si>
  <si>
    <t xml:space="preserve">Кемеровская область, Таштагольский район, пгт. Шерегеш, сооружение линейное электротехническое: ВЛИ-0,4 кВ от опоры № 13 ВЛИ-0,4 кВ КТП № 724 «Лунная» до опоры, установленной на границе земельного участка жилого дома по ул. Грозовая, д. 1/4 в пгт. Шерегеш </t>
  </si>
  <si>
    <t>42:12:0102015:1601</t>
  </si>
  <si>
    <t>1.4.26.1197</t>
  </si>
  <si>
    <t xml:space="preserve">Кемеровская область, Таштагольский район, пгт. Шерегеш, сооружение линейное электротехническое: ВЛИ-0,4 кВ от РУ-0,4кВ КТП №725 "Ягодная" до опоры, установленной на границе земельного участка жилого дома по ул. Лунная, д. 27 в пгт. Шерегеш </t>
  </si>
  <si>
    <t>42:12:0102015:1603</t>
  </si>
  <si>
    <t>1.4.26.1198</t>
  </si>
  <si>
    <t xml:space="preserve">Кемеровская область, Таштагольский район, пгт. Шерегеш, сооружение линейное электротехническое: ВЛИ-0,4 кВ от опоры стр. № 10 ф-6-17-"Свободная" до опоры, установленной на границе земельного участка жилого дома по ул. Грозовая, д. 5 в пгт. Шерегеш </t>
  </si>
  <si>
    <t>42:12:0102015:1595</t>
  </si>
  <si>
    <t>1.4.26.1199</t>
  </si>
  <si>
    <t xml:space="preserve">Кемеровская область, Таштагольский район, пгт. Шерегеш, сооружение линейное электротехническое: ВЛИ-0,4 кВ от опоры стр. № 7 ВЛИ-0,4 кВ Ф-6-7-«Свободная» до опоры, установленной на границе земельного участка жилого дома ул. Лунная, д.11 в пгт. Шерегеш </t>
  </si>
  <si>
    <t>42:12:0102015:1596</t>
  </si>
  <si>
    <t>1.4.26.1200</t>
  </si>
  <si>
    <t xml:space="preserve">Кемеровская область, Таштагольский район, пгт. Шерегеш, сооружение линейное электротехническое: ВЛИ-0,4 кВ от опоры № 21 ВЛИ-0,4 кВ КТП № 708 "Строителей" до опоры, установленной на границе земельного участка жилого дома по ул. Свободная, д. 72А в пгт. Шерегеш </t>
  </si>
  <si>
    <t>42:12:0102015:1594</t>
  </si>
  <si>
    <t>1.4.26.1201</t>
  </si>
  <si>
    <t xml:space="preserve">Кемеровская область, Таштагольский район, пгт. Шерегеш, сооружение линейное электротехническое: ВЛИ-0,4 кВ от РУ-0,4 кВ КТП №724 "Лунная" до опоры, установленной на границе земельного участка жилого дома по ул. Звездная, д. 9 в пгт. Шерегеш </t>
  </si>
  <si>
    <t>42:12:0102015:1609</t>
  </si>
  <si>
    <t>1.4.26.1202</t>
  </si>
  <si>
    <t xml:space="preserve">Кемеровская область, Таштагольский район, пгт. Шерегеш,сооружение линейное электротехническое: ВЛИ-0,4 кВ от опоры стр. № 5 ВЛИ-0,4 кВ КТП № 725 «Ягодная» до концевой опоры, установленной на границе земельного участка жилого дома по ул. Лунная, д. 22 в пгт. Шерегеш </t>
  </si>
  <si>
    <t>42:12:0102015:1610</t>
  </si>
  <si>
    <t>1.4.26.1203</t>
  </si>
  <si>
    <t xml:space="preserve">Кемеровская область, Таштагольский район, пгт. Шерегеш, сооружение линейное электротехническое: ВЛЗ-6 кВ от опоры стр. № 29 ВЛЗ-6 кВ Ф-6-17-«Свободная» до РУ-6 кВ КТП № 725 «Ягодная» в пгт. Шерегеш </t>
  </si>
  <si>
    <t>42:12:0102015:1615</t>
  </si>
  <si>
    <t>1.4.26.1204</t>
  </si>
  <si>
    <t xml:space="preserve">Кемеровская область, Таштагольский район, пгт. Шерегеш, сооружение линейное электротехническое: ВЛИ-0,4 кВ от опоры стр.№5 ф-6-17-«Свободная» до опоры, установленной на границе земельного участка жилого дома по ул.Грозовая, д.19 в пгт. Шерегеш </t>
  </si>
  <si>
    <t>42:12:0102015:1616</t>
  </si>
  <si>
    <t>1.4.26.1206</t>
  </si>
  <si>
    <t>Кемеровская область, Таштагольский район, пгт. Шерегеш, ВЛЗ-6 кВ от опоры стр. № 11 ВЛЗ-6 кВ Ф-6-17-«Свободная» до РУ-6 кВ КТП № 719 «Строителей-2» в пгт. Шерегеш</t>
  </si>
  <si>
    <t xml:space="preserve">  42:12:0102015:1619</t>
  </si>
  <si>
    <t>1.4.26.1207</t>
  </si>
  <si>
    <t xml:space="preserve">Кемеровская область, Таштагольский район, пгт. Шерегеш, сооружение линейное электротехническое: ВЛЗ-6 кВ от опоры № 15 BЛ3-6 кВ ЦРП № 7 «Весенняя» до РУ-6 кВ КТП № 708 «Строителей» в пгт. Шерегеш </t>
  </si>
  <si>
    <t xml:space="preserve">  42:12:0102015:1620</t>
  </si>
  <si>
    <t>1.4.26.1208</t>
  </si>
  <si>
    <t xml:space="preserve">Кемеровская область, Таштагольский район, пгт. Шерегеш, ВЛИ-0,4 кВ от опоры № 53 ВЛИ-0,4 кВ КТП № 708 «Строителей» до концевой опоры, установленной на границе земельного участка жилого дома по ул. Строителей, д.53 в пгт. Шерегеш </t>
  </si>
  <si>
    <t xml:space="preserve">  42:12:0102015:1621</t>
  </si>
  <si>
    <t>1.4.26.1209</t>
  </si>
  <si>
    <t xml:space="preserve">Кемеровская область, Таштагольский район, пгт. Шерегеш, ВЛЗ-6 кВ от опоры № 10 Ф-0,4-1-«ул. Кедровая» до РУ-6 кВ КТП № 148 «Кедровая» в пгт. Шерегеш </t>
  </si>
  <si>
    <t xml:space="preserve">  42:12:0102015:1622</t>
  </si>
  <si>
    <t>1.4.26.1210</t>
  </si>
  <si>
    <t xml:space="preserve">Кемеровская область, Таштагольский район, пгт. Шерегеш, ВЛИ-0,4 кВ от опоры № 4 ВЛИ-0.4 кВ КТП № 722 «Хвойная» до опоры, установленной на границе земельного участка жилого дома по ул. Хвойная, д. 29 в пгт. Шерегеш </t>
  </si>
  <si>
    <t xml:space="preserve">  42:12:0102015:1624</t>
  </si>
  <si>
    <t>1.4.26.1211</t>
  </si>
  <si>
    <t xml:space="preserve">Кемеровская область, Таштагольский район, пгт Шерегеш, ВЛИ-0,4 кВ от РУ-0,4 кВ КТП № 709 "Строителей-1" до концевой опоры, установленной на границе земельного участка жилого дома по ул Хвойная, д 2 пгт Шерегеш </t>
  </si>
  <si>
    <t xml:space="preserve">  42:12:0102015:1625</t>
  </si>
  <si>
    <t>1.4.26.1212</t>
  </si>
  <si>
    <t xml:space="preserve">Кемеровская область, Таштагольский район, пгт. Шерегеш, ВЛИ-0,4 кВ от опоры № 2 проектируемой ВЛЗ-6 кВ Ф-6-17-«Свободная» до опоры, установленной на границе земельного участка жилого дома по ул. Хвойная, д. 1/2 в пгт. Шерегеш </t>
  </si>
  <si>
    <t xml:space="preserve">  42:12:0102015:1626</t>
  </si>
  <si>
    <t>1.4.26.1213</t>
  </si>
  <si>
    <t xml:space="preserve">Кемеровская область, Таштагольский район, пгт. Шерегеш, ВЛИ-0,4 кВ от опоры № 19 ВЛИ-0,4 кВ КТП № 709 «Строителей-1» до опоры, установленной на границе земельного участка жилого дома по ул. Строителей, д. 69 в пгт. Шерегеш </t>
  </si>
  <si>
    <t xml:space="preserve">  42:12:0102015:1627</t>
  </si>
  <si>
    <t>1.4.26.1214</t>
  </si>
  <si>
    <t xml:space="preserve">Кемеровская область, Таштагольский район, пгт. Шерегеш, ВЛИ-0,4 кВ от опоры №49 ВЛИ-0,4 кВ КТП № 148 «Кедровая»-6/0,4 кВ до концевой опоры проектируемой ВЛИ-0,4 кВ </t>
  </si>
  <si>
    <t xml:space="preserve">  42:12:0102015:1628</t>
  </si>
  <si>
    <t>1.4.26.1215</t>
  </si>
  <si>
    <t xml:space="preserve">Российская Федерация, Кемеровская область, Таштагольский район, пгт. Шерегеш, сооружение линейное электротехническое: ВЛИ-0,4 кВ от РУ-0,4 кВ КТП-6/0,4 кВ № 746 «Арктическая-2» до концевой опоры, установленной на границе земельного участка жилого дома по ул. Ягодная, д.7 в пгт. Шерегеш </t>
  </si>
  <si>
    <t xml:space="preserve">  42:12:0102015:1623</t>
  </si>
  <si>
    <t>1.4.26.1216</t>
  </si>
  <si>
    <t xml:space="preserve">Кемеровская область, Таштагольский район, пгт. Шерегеш, ВЛИ-0.4 кВ от опоры № 1 ВЛИ-0.4 кВ КТП № 708 «Строителей» до опоры, установленной на границе земельного участка жилого дома по ул. Свободная, д. 60 в пгт. Шерегеш </t>
  </si>
  <si>
    <t xml:space="preserve">  42:12:0102015:1629</t>
  </si>
  <si>
    <t>1.4.26.1217</t>
  </si>
  <si>
    <t xml:space="preserve">Кемеровская область, Таштагольский район, пгт. Шерегеш, сооружение линейное электротехническое: ВЛЗ-6 кВ от опоры №42 ВЛ-6 кВ Ф-6-308-"ЦРП-7" до РУ-6 кВ КТП №724 "Лунная" в пгт. Шерегеш </t>
  </si>
  <si>
    <t xml:space="preserve">  42:12:0102015:1630</t>
  </si>
  <si>
    <t>1.4.26.1218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</si>
  <si>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сооружение линейное электротехническое: ВЛИ-0,4 кВ от опоры стр. №3 ВЛИ-0,4 кВ КТП №725 "Ягодная" до опоры, установленной на границе земельного участка жилого дома по ул. Ягодная, д.20 в пгт. Шерегеш </t>
  </si>
  <si>
    <t xml:space="preserve">  42:12:0102015:1655</t>
  </si>
  <si>
    <t>1.4.26.1219</t>
  </si>
  <si>
    <t>Земельный участок  для ведения рекреационной деятельности</t>
  </si>
  <si>
    <t>Кемеровская область, Таштагольский муниципальный район, Шерегешское городское поселение, пгт.Шерегеш, ул.Снежная,8/2</t>
  </si>
  <si>
    <t>42:12:0102015:471</t>
  </si>
  <si>
    <t>1.4.26.1220</t>
  </si>
  <si>
    <t>Кемеровская область, Таштагольский муниципальный район, Шерегешское городское поселение, пгт.Шерегеш, ул.Снежная,8/1</t>
  </si>
  <si>
    <t>42:12:0102015:472</t>
  </si>
  <si>
    <t>1.4.26.1221</t>
  </si>
  <si>
    <t xml:space="preserve">Кемеровская область, Таштагольский муниципальный район, Шерегешское городское поселение, пгт. Шерегеш, сооружение электротехническое: трансформаторная подстанция КТП №709 "Строителей-1" в пгт. Шерегеш </t>
  </si>
  <si>
    <t>42:12:0102015:1662</t>
  </si>
  <si>
    <t>1.4.27.7</t>
  </si>
  <si>
    <t xml:space="preserve">Кемеровская область, Таштагольский муниципальный район, Спасское городское поселение, пгт. Спасск, сооружение линейное электротехническое: ВЛИ-0,4 кВ от опоры №20 ВЛИ-0,4 кВ КТП № 628 «Дворцовая» до опоры, установленной на границе земельного участка жилого дома по ул.Дворцовая, д. 30 в пгт. Спасск </t>
  </si>
  <si>
    <t>42:12:0114005:277</t>
  </si>
  <si>
    <t>1.4.27.8</t>
  </si>
  <si>
    <t xml:space="preserve">Кемеровская область, Таштагольский район, пгт. Спасск, сооружение линейное электротехническое: ВЛИ-0,4 кВ от опоры № 2 ВЛИ-0,4 кВ КТП № 628 «Дворцовая» до концевой опоры, установленной на границе земельного участка жилого дома по ул. Дворцовая, д. 22 в пгт. Спасск </t>
  </si>
  <si>
    <t>42:12:0114005:278</t>
  </si>
  <si>
    <t>1.4.114.1</t>
  </si>
  <si>
    <t>Земельный участок, разрешенное использование: размещение объектов капитального строительства в целях обеспечения населения и организаций коммунальными услугами, в частности: поставка тепла</t>
  </si>
  <si>
    <t>42:12:0102001:1767</t>
  </si>
  <si>
    <t>1.4.114.2</t>
  </si>
  <si>
    <t>42:12:0102001:1771</t>
  </si>
  <si>
    <t>Акционерное общество "Евразруда"</t>
  </si>
  <si>
    <t>1.4.122.1</t>
  </si>
  <si>
    <t xml:space="preserve">Кемеровская область, Таштагольский район, пгт. Шерегеш </t>
  </si>
  <si>
    <t>1.3.73.3</t>
  </si>
  <si>
    <t>В безвозм. польз.  МБУК ЦКС Таштагольского муниципального района</t>
  </si>
  <si>
    <t>В арендном пользовании ООО "Вектор"</t>
  </si>
  <si>
    <t>В арендном пользовании Трашкова С.В.</t>
  </si>
  <si>
    <t xml:space="preserve">Договор аренды от 05.08.2014 г. № 76 (по 04.08.2019 г.),  № 42-42/012-42/142/002/2016-283/2  от 10.03.2016  (Аренда) </t>
  </si>
  <si>
    <t>свободное с 01.10.2018</t>
  </si>
  <si>
    <t>В аренде службы ЖКХ</t>
  </si>
  <si>
    <t>В арендном пользовании ИП Сурнина Е.Г.</t>
  </si>
  <si>
    <t>Передача безвозмездно в собственность Местной религиозной организации православный Приход храма Иверской иконы Божией Матери пгт. Шерегеш Таштагольского района Кемеровской области Новокузнецкой Епархии Русской Православной Церкви  (Московский Патриархат)</t>
  </si>
  <si>
    <t>свободное с 29.12.2018</t>
  </si>
  <si>
    <t xml:space="preserve">Отдельно стоящее нежилое здание туалета школы </t>
  </si>
  <si>
    <t>ПАО "Сбербанк"</t>
  </si>
  <si>
    <t>ПАО "Ростелеком"</t>
  </si>
  <si>
    <t>Кредитный потребительский кооператив "Оберег"</t>
  </si>
  <si>
    <t>1.2.40.1.8</t>
  </si>
  <si>
    <t>1.2.40.1.9</t>
  </si>
  <si>
    <t>1.2.40.1.10</t>
  </si>
  <si>
    <t>В аренде ИП Майер К.А.</t>
  </si>
  <si>
    <t>В аренде  ИП Майер К.В.</t>
  </si>
  <si>
    <t>1.2.43.12</t>
  </si>
  <si>
    <t>В безвмездном пользовании территориальной избирательной комиссии Таштагол.муниц.района</t>
  </si>
  <si>
    <t xml:space="preserve">42:34:0115006:56                </t>
  </si>
  <si>
    <t xml:space="preserve">42:34:0115006:55                   </t>
  </si>
  <si>
    <t xml:space="preserve">42:34:0115006:54 </t>
  </si>
  <si>
    <t>3-х этажное, кирпичное (1-2-3 этажи)</t>
  </si>
  <si>
    <t>Свободное</t>
  </si>
  <si>
    <t>42:12:0104001:4100</t>
  </si>
  <si>
    <t xml:space="preserve">Отдельно стоящее нежилое  здание котельной </t>
  </si>
  <si>
    <t xml:space="preserve">Отдельно стоящее нежилое здание склада детского сада </t>
  </si>
  <si>
    <t>1.2.485</t>
  </si>
  <si>
    <t>Нежилое здание: Насосная сточных вод №4</t>
  </si>
  <si>
    <t>42:12:0000000:800</t>
  </si>
  <si>
    <t>1-но этажное,  кирпичные</t>
  </si>
  <si>
    <t>1.2.486</t>
  </si>
  <si>
    <t>Нежилое здание: Насосная сточных вод №6</t>
  </si>
  <si>
    <t>42:12:0000000:801</t>
  </si>
  <si>
    <t>1.2.487</t>
  </si>
  <si>
    <t>Нежилое здание: Насосная сточных вод №8</t>
  </si>
  <si>
    <t>42:12:0000000:797</t>
  </si>
  <si>
    <t>оборудование для капитального ремонта КНС (КНС № 8 пгт. Мундыбаш)</t>
  </si>
  <si>
    <t xml:space="preserve">Насос СД 160-45; устройство плавного пуска INSTART SSI-37/75-04 </t>
  </si>
  <si>
    <t>2018</t>
  </si>
  <si>
    <t>Электродвигатель 5АИ 250 S4 Б1 75/1500 IM 1001</t>
  </si>
  <si>
    <t>1.2.488</t>
  </si>
  <si>
    <t>Нежилое здание: Насосная сточных вод №10</t>
  </si>
  <si>
    <t>42:12:0000000:799</t>
  </si>
  <si>
    <t>1.2.489</t>
  </si>
  <si>
    <t xml:space="preserve">Нежилое здание: Насосная сточных вод </t>
  </si>
  <si>
    <t>42:12:0000000:798</t>
  </si>
  <si>
    <t>1.2.490</t>
  </si>
  <si>
    <t xml:space="preserve">Нежилое здание насосной станции №1     </t>
  </si>
  <si>
    <t>Кемеровская область, Таштагольский район, пгт. Мундыбаш, ул.Ленина</t>
  </si>
  <si>
    <t>42:12:0106002:4558</t>
  </si>
  <si>
    <t>1.2.491</t>
  </si>
  <si>
    <t>Нежилое здание насосной станции №2</t>
  </si>
  <si>
    <t>Кемеровская область, Таштагольский район, пгт. Мундыбаш, ул.Советская</t>
  </si>
  <si>
    <t>42:12:0106002:4559</t>
  </si>
  <si>
    <t>1-но этажное,  шлакоблочные</t>
  </si>
  <si>
    <t xml:space="preserve"> Р Е Е С Т Р</t>
  </si>
  <si>
    <t xml:space="preserve"> Таштагольского муниципального района </t>
  </si>
  <si>
    <t xml:space="preserve">муниципального имущества </t>
  </si>
  <si>
    <t xml:space="preserve"> МКДОУ  детский сад  №23 "Родничок"</t>
  </si>
  <si>
    <t>1.2.492</t>
  </si>
  <si>
    <t>1.2.493</t>
  </si>
  <si>
    <t>1.2.40.4.15</t>
  </si>
  <si>
    <t>Кемеровская область, г.Таштагол, ул.Поспелова,20,помещения 301</t>
  </si>
  <si>
    <t>Автоматическая угольная котельная школы №26 (ранее:Пеллетно-угольная котельная школы №26)</t>
  </si>
  <si>
    <t xml:space="preserve">Кемеровская область, Таштагольский муниципальный район, Усть-Кабырзинское сельское поселение, п. Усть-Кабырза, ул. Школьная, здание 4/1 </t>
  </si>
  <si>
    <t>42:12:0110001:1634</t>
  </si>
  <si>
    <t>1.2.43.13</t>
  </si>
  <si>
    <t>1.4.171</t>
  </si>
  <si>
    <t>Кемеровская область, Таштагольский район, пгт. Каз, ул. Ленина,3</t>
  </si>
  <si>
    <t>МБОУ ДО "Центр развития творчества детей и юношества "Сибиряк"</t>
  </si>
  <si>
    <t>1.4.172</t>
  </si>
  <si>
    <t xml:space="preserve">Земельный участок, разрешенное использование: под магазин "Березка"
</t>
  </si>
  <si>
    <t>42:12:0105002:28</t>
  </si>
  <si>
    <t>Магазин "Березка"</t>
  </si>
  <si>
    <t>1.4.173</t>
  </si>
  <si>
    <t xml:space="preserve">Земельный участок, разрешенное использование: Размещение объектов капитального строительства, предназначеных для воспитания, образования и просвещения
</t>
  </si>
  <si>
    <t>Кемеровская область, Таштагольский муниципальный район, Коуринское сельское поселение, пос.Килинск, ул.Старателей 48</t>
  </si>
  <si>
    <t>42:12:0115001:664</t>
  </si>
  <si>
    <t>1.4.174</t>
  </si>
  <si>
    <t>Земельный участок, разрешенное использование: под автогородок</t>
  </si>
  <si>
    <t xml:space="preserve">Кемеровская область, г. Таштагол, ул.Поспелова,13Б </t>
  </si>
  <si>
    <t>42:34:0106002:123</t>
  </si>
  <si>
    <t>МБУ ДО «Детско-юношеский центр «Созвездие»</t>
  </si>
  <si>
    <t>1.4.175</t>
  </si>
  <si>
    <t>1.4.176</t>
  </si>
  <si>
    <t>Земельный участок, разрешенное использование: Музейный комплекс "ГУЛаг" музея заповедника "Трехречье"</t>
  </si>
  <si>
    <t xml:space="preserve">Кемеровская область, Таштагольский район, п. Усть- Кабырза, ул. Арбачакова,17а </t>
  </si>
  <si>
    <t>42:12:0110001:1230</t>
  </si>
  <si>
    <t>МБУК "Музей-заповедник "Трехречье"  Таштагольского муниципального района</t>
  </si>
  <si>
    <t>1.4.177</t>
  </si>
  <si>
    <t>Земельный участок, разрешенное использование: Под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кинозалов; устройство площадок для празднеств и гуляний; размещение зданий и сооружений для размещения цирков, зверинцев, зоопарков, океанариумов</t>
  </si>
  <si>
    <t>Кемеровская область, Таштагольский район, г.Таштагол, ул. Советская,36а</t>
  </si>
  <si>
    <t>1.4.178</t>
  </si>
  <si>
    <t xml:space="preserve">Кемеровская область, Таштагольский район, пгт.Темиртау, ул.Центральная,16а </t>
  </si>
  <si>
    <t>1.4.179</t>
  </si>
  <si>
    <t>Земельный участок, разрешенное использование: для размещения объектов "Культурное развитие "(размещение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кинозалов)</t>
  </si>
  <si>
    <t>Кемеровская область, Таштагольский район, пгт. Каз, ул.Ленина,7</t>
  </si>
  <si>
    <t>42:12:0104001:62</t>
  </si>
  <si>
    <t>1.4.180</t>
  </si>
  <si>
    <t>42:12:0106002:57</t>
  </si>
  <si>
    <t>1.4.181</t>
  </si>
  <si>
    <t xml:space="preserve">Земельный участок, разрешенное использование: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
</t>
  </si>
  <si>
    <t>Кемеровская область, Таштагольский район, пгт. Спасск, ул. Мостовая,21</t>
  </si>
  <si>
    <t xml:space="preserve">42:12:0114002:2118
</t>
  </si>
  <si>
    <t>1.4.182</t>
  </si>
  <si>
    <t>Земельный участок, разрешенное использование: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</t>
  </si>
  <si>
    <t xml:space="preserve">Кемеровская область, Таштагольский район, пгт. Шерегеш, ул. Советская,15а </t>
  </si>
  <si>
    <t>42:12:0102003:1305</t>
  </si>
  <si>
    <t>1.4.183</t>
  </si>
  <si>
    <t>42:12:0102006:1562</t>
  </si>
  <si>
    <t>1.4.184</t>
  </si>
  <si>
    <t>Земельный участок, разрешенное использование: под территорию административного здания территориального управления</t>
  </si>
  <si>
    <t xml:space="preserve"> 42:12:0106002:64</t>
  </si>
  <si>
    <t>1.4.185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</si>
  <si>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 (школа)</t>
  </si>
  <si>
    <t xml:space="preserve">Кемеровская область, Таштагольский район, п. Алтамаш, ул. Школьная,1
</t>
  </si>
  <si>
    <t>42:12:0115001:328</t>
  </si>
  <si>
    <t>МКОУ "Основная общеобразовательная школа №37"</t>
  </si>
  <si>
    <t>1.4.186</t>
  </si>
  <si>
    <t xml:space="preserve">Земельный участок, разрешенное использование: под музыкальную школу
</t>
  </si>
  <si>
    <t xml:space="preserve">Кемеровская область, г.Таштагол, ул.Ленина,28 </t>
  </si>
  <si>
    <t>42:34:0101044:21</t>
  </si>
  <si>
    <t xml:space="preserve">МБУ ДО «Школа искусств №68» </t>
  </si>
  <si>
    <t>1.4.187</t>
  </si>
  <si>
    <t>Земельный участок, использование: Под полигон твердо-бытовых отходов</t>
  </si>
  <si>
    <t>Кемеровская область, Таштагольский район, п.Чугунаш</t>
  </si>
  <si>
    <t>1.4.189</t>
  </si>
  <si>
    <t>1.4.190</t>
  </si>
  <si>
    <t>1.4.191</t>
  </si>
  <si>
    <t>1.1.333.5</t>
  </si>
  <si>
    <t>1.1.333.6</t>
  </si>
  <si>
    <t>1.1.333.7</t>
  </si>
  <si>
    <t>42:12:0102006:916</t>
  </si>
  <si>
    <t>42:12:0102006:914</t>
  </si>
  <si>
    <t>42:12:0102006:910</t>
  </si>
  <si>
    <t>1.1.539.6</t>
  </si>
  <si>
    <t>42:12:0105002:2006</t>
  </si>
  <si>
    <t>1.1.766.68</t>
  </si>
  <si>
    <t>42:34:0106002:1048</t>
  </si>
  <si>
    <t>1.1.1.9</t>
  </si>
  <si>
    <t>42:34:0106002:681</t>
  </si>
  <si>
    <t>1.1.7.78</t>
  </si>
  <si>
    <t>42:34:0106003:59</t>
  </si>
  <si>
    <t>1.1.34.7</t>
  </si>
  <si>
    <t xml:space="preserve">42:34:0102064:386 </t>
  </si>
  <si>
    <t>1.1.39.4</t>
  </si>
  <si>
    <t>42:34:0101041:84</t>
  </si>
  <si>
    <t>1.1.412.6</t>
  </si>
  <si>
    <t>42:12:0104001:1968</t>
  </si>
  <si>
    <t>1.1.814.23</t>
  </si>
  <si>
    <t>42:34:0114008:126</t>
  </si>
  <si>
    <t>1.1.824.18</t>
  </si>
  <si>
    <t>42:34:0112002:87</t>
  </si>
  <si>
    <t>1.1.824.19</t>
  </si>
  <si>
    <t>42:34:0112002:91</t>
  </si>
  <si>
    <t>1.4.26.1222</t>
  </si>
  <si>
    <t xml:space="preserve">Кемеровская область, Таштагольский муниципальный район, Шерегешское городское поселение, пгт. Шерегеш, сооружение линейное электротехническое: ВЛИ-0,4 кВ от опоры стр. № 8 Ф-6-17 "Свободная" до опоры, установленной на границе земельного участка жилого дома по ул. Звездная, д. 37 в пгт. Шерегеш </t>
  </si>
  <si>
    <t>42:12:0102015:1763</t>
  </si>
  <si>
    <t>1.4.26.1223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</si>
  <si>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ВЛИ-0,4 кВ от опоры № 30 ВЛИ-0,4 кВ КТП № 724 «Лунная»-6/0,4 кВ до концевой опоры, установленной границе земельного участка жилого дома по ул. Звездная, № 14 </t>
  </si>
  <si>
    <t>42:12:0102015:1802</t>
  </si>
  <si>
    <t>1.4.26.1224</t>
  </si>
  <si>
    <t>Российская Федерация, Кемеровская область, Таштагольский муниципальный район, Шерегешское городское поселение, пгт Шерегеш</t>
  </si>
  <si>
    <t>42:12:0102015:1814</t>
  </si>
  <si>
    <t>1.1.9.25</t>
  </si>
  <si>
    <t>136а</t>
  </si>
  <si>
    <t xml:space="preserve">42:34:0106003:515 </t>
  </si>
  <si>
    <t>1.1.134.52</t>
  </si>
  <si>
    <t>42:34:0112005:146</t>
  </si>
  <si>
    <t>1.1.119.</t>
  </si>
  <si>
    <t>42:34:0110017:50</t>
  </si>
  <si>
    <t>1.1.119.3</t>
  </si>
  <si>
    <t>42:34:0110017:78</t>
  </si>
  <si>
    <t>1.1.333.8</t>
  </si>
  <si>
    <t>42:12:0102006:911</t>
  </si>
  <si>
    <t>1.1.559.6</t>
  </si>
  <si>
    <t xml:space="preserve">квартира-специализ. жилищ. фонд </t>
  </si>
  <si>
    <t>42:12:0106002:3903</t>
  </si>
  <si>
    <t>1.2.43.14</t>
  </si>
  <si>
    <t>1.2.70.1</t>
  </si>
  <si>
    <t>Гаражный бокс №1</t>
  </si>
  <si>
    <t>В аренде ООО "Чистый город"</t>
  </si>
  <si>
    <t>1.2.73.1</t>
  </si>
  <si>
    <t>помещение  нежилое гаража №24</t>
  </si>
  <si>
    <t>3-х этажное здание, кирпичное-1 этаж</t>
  </si>
  <si>
    <t>1.2.73.2</t>
  </si>
  <si>
    <t>помещение  нежилое гаража №25</t>
  </si>
  <si>
    <t>1.2.73.3</t>
  </si>
  <si>
    <t>помещение  нежилое- кабинет</t>
  </si>
  <si>
    <t>3-х этажное здание, кирпичное-2 этаж</t>
  </si>
  <si>
    <t>1.2.115.3</t>
  </si>
  <si>
    <t>1.2.115.4</t>
  </si>
  <si>
    <t>В оперативном управлении,  МКОУ детский сад №5  «Петрушка»</t>
  </si>
  <si>
    <t xml:space="preserve"> Реорганизация МКОУ детский сад №5  «Петрушка» путем присоединения к ней  МБДОУ «Детский сад  №1 «Красная Шапочка»   -приказ МКУ "Управ. образования админ. Таштагол. муниц. района от 18.02.2019 г. №29.2 </t>
  </si>
  <si>
    <t>Исключено из реестра</t>
  </si>
  <si>
    <t>1.2.454.4</t>
  </si>
  <si>
    <t>1.2.460.2</t>
  </si>
  <si>
    <t>42:34:0107002:13</t>
  </si>
  <si>
    <t>42:34:0107002:12</t>
  </si>
  <si>
    <t>/1418,0/</t>
  </si>
  <si>
    <t>/291498,26/</t>
  </si>
  <si>
    <t>Кемеровская область, Таштагольский район , г.Таштагол, ул.Урицкого,96</t>
  </si>
  <si>
    <t>42:34:0113037:82</t>
  </si>
  <si>
    <t>42:34:0113047:59</t>
  </si>
  <si>
    <t>2-х этажное кирпичное-1-2 этажи</t>
  </si>
  <si>
    <t xml:space="preserve">Здание котельной </t>
  </si>
  <si>
    <t>1.2.263</t>
  </si>
  <si>
    <t>42:12:0106003:1032</t>
  </si>
  <si>
    <t>1.4.26.1225</t>
  </si>
  <si>
    <t>Российская Федерация, Кемеровская область, Таштагольский район, пгт. Шерегеш</t>
  </si>
  <si>
    <t>42:12:0102015:1575</t>
  </si>
  <si>
    <t>Земельный участок, разрешенное использование: под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кинозалов; устройство площадок для празднеств и гуляний; размещение зданий и сооружений для размещения цирков, зверинцев, зоопарков, океанариумов</t>
  </si>
  <si>
    <t>Земельный участок, использование: Под подъемник горнолыжный бугельный (ПГБ-1000) и горнолыжную трассу</t>
  </si>
  <si>
    <t xml:space="preserve">Кемеровская область, г.Таштагол, гора Туманная </t>
  </si>
  <si>
    <t>42:34:0102066:6</t>
  </si>
  <si>
    <t>13518646,47 (S=976,5)/ 4157960,08 (S=488)</t>
  </si>
  <si>
    <t>Кемеровская область, г.Таштагол, ул.Геологическая</t>
  </si>
  <si>
    <t xml:space="preserve">42:34:0000000:200 </t>
  </si>
  <si>
    <t>42:12:0107001:363</t>
  </si>
  <si>
    <t>Кемеровская область, Таштагольский район,пос.Центральный, ул. Пасечная,12</t>
  </si>
  <si>
    <t xml:space="preserve">42:12:0105002:3354 </t>
  </si>
  <si>
    <t>1.1.7.79</t>
  </si>
  <si>
    <t>42:34:0106003:162</t>
  </si>
  <si>
    <t>1.1.34.8</t>
  </si>
  <si>
    <t>42:34:0102064:368</t>
  </si>
  <si>
    <t>1.1.46.4</t>
  </si>
  <si>
    <t>42:34:0101042:388</t>
  </si>
  <si>
    <t>1.1.245.10</t>
  </si>
  <si>
    <t>42:12:0102003:121</t>
  </si>
  <si>
    <t>1.1.294.3</t>
  </si>
  <si>
    <t>42:12:0102006:572</t>
  </si>
  <si>
    <t>1.1.388.10</t>
  </si>
  <si>
    <t>1.1.388.11</t>
  </si>
  <si>
    <t>42:34:0114009:54</t>
  </si>
  <si>
    <t>1.1.411.11</t>
  </si>
  <si>
    <t>1.1.412.7</t>
  </si>
  <si>
    <t>1.1.428.7</t>
  </si>
  <si>
    <t>42:12:0104001:3533</t>
  </si>
  <si>
    <t>1.1.500.7</t>
  </si>
  <si>
    <t>1.1.567.8</t>
  </si>
  <si>
    <t>42:12:0106002:3844</t>
  </si>
  <si>
    <t>1.1.786.19</t>
  </si>
  <si>
    <t xml:space="preserve">42:34:0114009:49 </t>
  </si>
  <si>
    <t>1.1.792.39</t>
  </si>
  <si>
    <t>42:12:0105002:1126</t>
  </si>
  <si>
    <t>1.1.814.24</t>
  </si>
  <si>
    <t>42:34:0114008:114</t>
  </si>
  <si>
    <t>1.1.824.20</t>
  </si>
  <si>
    <t>Российская Федерация, Кемеровская область, Таштагольский муниципальный район, Таштагольское городское поселение, г.Таштагол, район ДОФ,1/1</t>
  </si>
  <si>
    <t>42:12:0101001:994</t>
  </si>
  <si>
    <t>42:12:0000000:834</t>
  </si>
  <si>
    <t>В арендном пользовании Яковлева С.А.</t>
  </si>
  <si>
    <t>1.4.26.1227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</si>
  <si>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ул. Строителей,30 </t>
  </si>
  <si>
    <t>42:12:0102015:1884</t>
  </si>
  <si>
    <t>1.1.10.78</t>
  </si>
  <si>
    <t>42:34:0106002:743</t>
  </si>
  <si>
    <t>1.1.411.12</t>
  </si>
  <si>
    <t>1.1.411.13</t>
  </si>
  <si>
    <t>42:12:0104001:2280</t>
  </si>
  <si>
    <t>42:12:0104001:2237</t>
  </si>
  <si>
    <t>квартира-специализ. жилищ.фонд</t>
  </si>
  <si>
    <t xml:space="preserve">В безвмездном пользовании бюджетноого учреждения «Муниципальный архив Таштагольского  муниципального района» </t>
  </si>
  <si>
    <t xml:space="preserve">Распр. Админстр. Таштагол.муниц. района  от 11.09.2019 г.  №350-р; договор безвмез. польз. </t>
  </si>
  <si>
    <t>Здание: Отдельно стоящее, нежилое здание ул. Ленина, № 3</t>
  </si>
  <si>
    <t xml:space="preserve">Кемеровская область, Таштагольский район, Казское городское поселение, пгт. Каз, ул. Ленина, №3 </t>
  </si>
  <si>
    <t>42:12:0104001:4143</t>
  </si>
  <si>
    <t>1.2.115.6</t>
  </si>
  <si>
    <t xml:space="preserve">Российская Федерация, Кемеровская область, Таштагольский муниципальный район, Казское городское поселение, поселок городского типа Каз, улица Ленина, дом 3, помещение 2 </t>
  </si>
  <si>
    <t>42:12:0104001:4148</t>
  </si>
  <si>
    <t xml:space="preserve">В аренде Барсук Н.Г. </t>
  </si>
  <si>
    <t>1.2.181.1</t>
  </si>
  <si>
    <t>этаж</t>
  </si>
  <si>
    <t>В аренде</t>
  </si>
  <si>
    <t xml:space="preserve">Российская Федерация, Кемеровская область - Кузбасс, Таштагольский муниципальный район, Коуринское сельское поселение, поселок Алтамаш, улица Школьная, дом 1 </t>
  </si>
  <si>
    <t xml:space="preserve">Россия, Кемеровская область, Таштагольский муниципальный район, Коуринское сельское поселение, пос. Алтамаш, ул. Школьная, 1а </t>
  </si>
  <si>
    <t>1.2.282.1</t>
  </si>
  <si>
    <t>1.2.282.2</t>
  </si>
  <si>
    <t>Российская Федерация, Кемеровская область- Кузбасс, Таштагольский район, пгт. Темиртау  в настоящее время имеет адрес: Кемеровская область, Таштагольский муниципальный район, Темиртауское городское поселение,  пгт. Темиртау, ул. Центральная,39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</si>
  <si>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 Центральная,39/1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</si>
  <si>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 Центральная,39/5</t>
  </si>
  <si>
    <t>Российская Федерация, Кемеровская область -Кузбасс, Таштагольский муниципальный район, Темиртауское городское поселение,  пгт. Темиртау, ул. Центральная,39/4</t>
  </si>
  <si>
    <t>1.2.284.1</t>
  </si>
  <si>
    <t>Концессионное соглашение №3 от 25.12.2017 г. (2018-2032 гг.)</t>
  </si>
  <si>
    <t>Концессионное соглашение №1 от 15.12.2016 г. (2017-2031 гг.)</t>
  </si>
  <si>
    <t>В арендном польз. ООО "Лечебно-оздор.Центр"</t>
  </si>
  <si>
    <t>Концессионное соглашение №2 от 16.11.2017 г. (2018-2020 гг.)</t>
  </si>
  <si>
    <t xml:space="preserve">Российская Федерация, Кемеровская область-Кузбасс, Таштагольский Муниципальный Район, Сельское Поселение Коуринское, Поселок Килинск, Улица Старателей, Здание 47
</t>
  </si>
  <si>
    <t>В арендном пользовании ООО "Транзит-Водоканал"</t>
  </si>
  <si>
    <t xml:space="preserve"> Концессионное соглашение №1 от 15.12.2016 г. (2017-2031 гг.)</t>
  </si>
  <si>
    <t>1.1.427.3</t>
  </si>
  <si>
    <t>42:12:0104001:2053</t>
  </si>
  <si>
    <t>1.1.34.9</t>
  </si>
  <si>
    <t>1.1.34.10</t>
  </si>
  <si>
    <t>42:34:0102064:440</t>
  </si>
  <si>
    <t>42:34:0102064:196</t>
  </si>
  <si>
    <t>1.1.266.15</t>
  </si>
  <si>
    <t>42:12:0102003:718</t>
  </si>
  <si>
    <t>Дополнительное соглашение №2 от 18.02.2019 к концессионному соглашению №1 от 15.12.2016 г. (2017-2031 гг.)</t>
  </si>
  <si>
    <t>1.5.349</t>
  </si>
  <si>
    <t>Распр. админ.Таштагол. муниц. р-на от 15.10.2015 г. №694-р-передача  в субаренду ООО "УК ЖКХ"</t>
  </si>
  <si>
    <t xml:space="preserve">Кемеровская область, Таштагольский район, пгт. Темиртау, ул. Центральная,д.31А
</t>
  </si>
  <si>
    <t xml:space="preserve">Кемеровская область, г. Таштагол, ул. Ленина,36 </t>
  </si>
  <si>
    <t xml:space="preserve">Земельный участок,  разрешенное использование: размещение объектов капитального строительства, предназначенных для воспитания, образования и просвещения
</t>
  </si>
  <si>
    <t xml:space="preserve">Кемеровская область, Таштагольский район, г. Таштагол, ул. Артема,5
</t>
  </si>
  <si>
    <t>42:34:0114009:176</t>
  </si>
  <si>
    <t>Земельный участок,  разрешенное использование: Дошкольное, начальное и среднее общее образование</t>
  </si>
  <si>
    <t>Кемеровская область, Таштагольский район, пгт.Спасск, ул.Октябрьская,6а</t>
  </si>
  <si>
    <t xml:space="preserve">Земельный участок, разрешенное использование: размещение объектов капитального строительства, предназначенных для воспитания, образования и просвещения
</t>
  </si>
  <si>
    <t>Кемеровская область, Таштагольский район, п. Усть- Кабырза, ул. Арбачакова,1</t>
  </si>
  <si>
    <t>42:12:0110001:1588</t>
  </si>
  <si>
    <t xml:space="preserve">МБОУ ДО «Станция детского и юношеского туризма и экскурсий» </t>
  </si>
  <si>
    <t>Земельный участок, использование: дошкольное, начальное и среднее общее образование</t>
  </si>
  <si>
    <t xml:space="preserve">Российская Федерация, Кемеровская область, Таштагольский муниципальный район, городское поселение Шерегешское, пгт. Шерегеш, ул. Советская,4А </t>
  </si>
  <si>
    <t>42:12:0102002:2052</t>
  </si>
  <si>
    <t>Земельный участок, использование: природно-познавательный туризм</t>
  </si>
  <si>
    <t xml:space="preserve">Российская Федерация, Кемеровская область,Таштагольский муниципальный район, Таштагольское городское поселение, г. Таштагол, ул. Циолковского </t>
  </si>
  <si>
    <t>42:34:0000000:453</t>
  </si>
  <si>
    <t>1.4.192</t>
  </si>
  <si>
    <t>Земельный участок, использование: под месторождение</t>
  </si>
  <si>
    <t xml:space="preserve">Кемеровская область, Таштагольский район, г.Таштагол </t>
  </si>
  <si>
    <t>42:34:0102050:185</t>
  </si>
  <si>
    <t>1.4.193</t>
  </si>
  <si>
    <t>Земельный участок, использование: Амбулаторно-поликлиническое обслуживание</t>
  </si>
  <si>
    <t>Кемеровская область, г.Таштагол, ул.Коммунистическая,8</t>
  </si>
  <si>
    <t>42:34:0114009:168</t>
  </si>
  <si>
    <t>1.4.194</t>
  </si>
  <si>
    <t xml:space="preserve">Земельный участок, использование: </t>
  </si>
  <si>
    <t>42:34:0101040:220</t>
  </si>
  <si>
    <t>Детсад "Теремок"</t>
  </si>
  <si>
    <t>1.4.195</t>
  </si>
  <si>
    <t>Российская Федерация, Кемеровская область - Кузбасс, Таштагольский муниципальный район, Мундыбашское городское поселение, пгт. Мундыбаш, ул. Вокзальная,1А</t>
  </si>
  <si>
    <t>1.4.196</t>
  </si>
  <si>
    <t xml:space="preserve">В безвозмездном пользовании Региональной общественной организации Шорская национально-культурная автономия Кемеровской области </t>
  </si>
  <si>
    <t>2-х этажное, кирпичное  (подвал)</t>
  </si>
  <si>
    <t>Кадастровый номер здания:  42:34:0102029:100 (площадь 633,8 кв.м)</t>
  </si>
  <si>
    <t>В арендном пользовании</t>
  </si>
  <si>
    <t>Договор аренды №115  от 01.12.2015г. (по 29.11.2016г.)</t>
  </si>
  <si>
    <t xml:space="preserve">Договор аренды ; № 42-42-12/910/2014-343  от 13.10.2014  (Аренда) 
№ 42-42-12/016/2011-073  от 13.12.2011  (Аренда) </t>
  </si>
  <si>
    <t>Договор безвоз. польз. от 15.03.2013 г. №5</t>
  </si>
  <si>
    <t>Договор безвоз. польз. от 14.02.2014 г. №7</t>
  </si>
  <si>
    <t>Договор аренды №72 от 03.08.2015 г. (на 30 дней);распр. Администр. Таштагол. муниц. района от 30.07.2015 г. №454-р</t>
  </si>
  <si>
    <t>Договор аренды от 31.07.2019 №94 (31.07.2019-03.09.2019)</t>
  </si>
  <si>
    <t xml:space="preserve">Договор аренды №58 от 15.06.2016 г. </t>
  </si>
  <si>
    <t>Договор аренды №136 от 02.08.2018 г. ( 02.08.2018-31.07.2019)</t>
  </si>
  <si>
    <t xml:space="preserve">№ 42-42-12/005/2010-035  от 17.03.2010  (Оперативное управление) </t>
  </si>
  <si>
    <t>Договор безвоз. польз. от 06.04.2017 г. №6</t>
  </si>
  <si>
    <t>Договор безвоз. польз.  №5/5 от 05.04.2017 г.</t>
  </si>
  <si>
    <t>Договор безвоз. польз. от 21.09.2016 г. №22</t>
  </si>
  <si>
    <t>Договор аренды №121 от 29.07.2013 (01.01.2015-31.12.2015)</t>
  </si>
  <si>
    <t>Договор аренды от 05.06.2019 г. №57 ( 05.06.2019-03.06.2020)</t>
  </si>
  <si>
    <t xml:space="preserve">Договор аренды ; № 42-42-12/910/2014-343  от 13.10.2014  (Аренда) </t>
  </si>
  <si>
    <t>Договор аренды от 29.07.2014 г.№20 (по 28.07.2017 г.)</t>
  </si>
  <si>
    <t xml:space="preserve"> Договор безвозмездного пользования от 16.09.2013 г. №19; </t>
  </si>
  <si>
    <t>Договор безвозмезд. польз. от 09.12.2013 г. №2</t>
  </si>
  <si>
    <t>В оперативном управлении</t>
  </si>
  <si>
    <t>Договор безвозмез. польз. от 24.11.2016 г. №25</t>
  </si>
  <si>
    <t>В оперативном управлении ;№ 42-42-12/002/2010-231  от 16.02.2010  (Оперативное управление)</t>
  </si>
  <si>
    <t>Договор безвоз. польз. от 29.06.2018 №11</t>
  </si>
  <si>
    <t>Договор аренды №9 от 11.01.2016 г. (по 30.12.2016 г.); доп.согл. №1 от 01.11.2016 г. (по 28.12.2017 г.)</t>
  </si>
  <si>
    <t>Договор аренды от 27.04.2018 г. №69 (27.04.2018-26.04.2023)</t>
  </si>
  <si>
    <t>1.3.82.4</t>
  </si>
  <si>
    <t>В аренде Кокориной В.С.</t>
  </si>
  <si>
    <t xml:space="preserve">Распр. админстрации Таштагол. муниц. района от 10.10.2019 г.  №392-р  ; договор аренды </t>
  </si>
  <si>
    <t>Договор аренды от 19.12.2018 г. №162  (20.12.2018-18.01.2019)</t>
  </si>
  <si>
    <t>Договор аренды от 16.11.2015 г. №108 (по 14.11.2016 г.)</t>
  </si>
  <si>
    <t>Договор субаренды</t>
  </si>
  <si>
    <t>Договор безвозмездного пользования  от 13.11.2014 г. №20</t>
  </si>
  <si>
    <t>Договор безвозмездного пользования от 19.02.2016 г. №3</t>
  </si>
  <si>
    <t>42:12:0101001:984</t>
  </si>
  <si>
    <t xml:space="preserve">Договор купли-продажи арендуемого имущ-ва в рассрочку от 13.04.2016 (по апрель 2021) с Хасановой О.А.; № 42-42/012-42/212/003/2016-800/2  от 20.05.2016  (Собственность частная) </t>
  </si>
  <si>
    <t>1.3.112.1</t>
  </si>
  <si>
    <t>Договор безвозмездного пользования от 03.04.2013 г. №10</t>
  </si>
  <si>
    <t xml:space="preserve">Договор аренды от 28.01.2015 г. №13 (по 27.01.2018 г.); № 42-42/012-42/107/013/2015-665/3  от 02.09.2015  (Аренда) </t>
  </si>
  <si>
    <r>
      <t>свободно</t>
    </r>
    <r>
      <rPr>
        <sz val="9"/>
        <rFont val="Arial"/>
        <family val="2"/>
        <charset val="204"/>
      </rPr>
      <t>е</t>
    </r>
    <r>
      <rPr>
        <i/>
        <sz val="9"/>
        <rFont val="Arial"/>
        <family val="2"/>
        <charset val="204"/>
      </rPr>
      <t>-</t>
    </r>
    <r>
      <rPr>
        <sz val="8"/>
        <rFont val="Arial"/>
        <family val="2"/>
        <charset val="204"/>
      </rPr>
      <t>акт приема передачи от 01.10.2017г.</t>
    </r>
  </si>
  <si>
    <t>Договор аренды  от 08.06.2018 №89/10/030/1781В (08.06.2018-06.06.2019)</t>
  </si>
  <si>
    <t xml:space="preserve">Договор аренды №30 от 10.06.2019 (10.06.2019-09.06.2024)
</t>
  </si>
  <si>
    <t xml:space="preserve">Договор хозяйственного ведения от 15.10.2007; № 42-42-12/007/2008-024  от 09.04.2008  (Хозяйственное ведение)  </t>
  </si>
  <si>
    <t>Договор аренды от 08.02.2017 г. №37  (08.02.2017-09.03.2017)</t>
  </si>
  <si>
    <t>Договор аренды от 02.03.2018 г. №23 (10.01.2018- 08.01.2019)</t>
  </si>
  <si>
    <t>1.3.147.3</t>
  </si>
  <si>
    <t>Договор аренды от 02.03.2018 г. №32 (27.02.2018-25.02.2019)</t>
  </si>
  <si>
    <t>Договор аренды от 11.08.2018 г. №115 (11.08.2018-09.08.2019)</t>
  </si>
  <si>
    <t>Договор безвоз.польз.</t>
  </si>
  <si>
    <t xml:space="preserve">Договор безвозм. пользования площ. </t>
  </si>
  <si>
    <t>В безвозмездном пользовании ,  площадь173,4</t>
  </si>
  <si>
    <t>Договор аренды №83 от 01.01.2012 г. (по 30.12.2012 г.)</t>
  </si>
  <si>
    <t>Договор безвозмезд. польз. от 05.06.2014 г. №15</t>
  </si>
  <si>
    <t>Договор аренды от 20.07.2018 №106 (20.07.2018-18.07.2019)</t>
  </si>
  <si>
    <t>Договор аренды от 20.10.2018 г. №138 ( 20.10.2018-18.10.2019); доп.согл. от 29.12.2018 к договору аренды №138-расторжение</t>
  </si>
  <si>
    <t>Договор безвозмез. польз.  от 30.01.2017 г. №2</t>
  </si>
  <si>
    <t>Расторжение договора безвозмезд. польз. от 09.12.2013 г. №2</t>
  </si>
  <si>
    <t>Договор безвоз. польз. №85 от 26.10.2015 г.</t>
  </si>
  <si>
    <t>В безвозмездном пользовании:  договор безвоз. польз. от 21.09.2016 г. №22</t>
  </si>
  <si>
    <t>Договор аренды от 28.04.2015 г. №45 (по 28.05.2015); № 42-42-12/006/2012-278  от 09.04.2012  (Аренда) ПО "Таштагольское"</t>
  </si>
  <si>
    <t>Договор безвозмездного пользования</t>
  </si>
  <si>
    <t>1.1.263.7</t>
  </si>
  <si>
    <t>42:12:0102003:172</t>
  </si>
  <si>
    <t>1.1.271.3</t>
  </si>
  <si>
    <t>42:12:0102002:1218</t>
  </si>
  <si>
    <t>1.1.275.14</t>
  </si>
  <si>
    <t>42:12:0102002:1407</t>
  </si>
  <si>
    <t>1.1.276.17</t>
  </si>
  <si>
    <t>42:12:0102002:989</t>
  </si>
  <si>
    <t>1.1.300.4</t>
  </si>
  <si>
    <t>42:12:0102006:1243</t>
  </si>
  <si>
    <t>1.1.412.8</t>
  </si>
  <si>
    <t xml:space="preserve">  42:12:0104001:1954</t>
  </si>
  <si>
    <t>1.1.480.</t>
  </si>
  <si>
    <t>1.1.480.2</t>
  </si>
  <si>
    <t>42:12:0104001:2994</t>
  </si>
  <si>
    <t>1.1.560.9</t>
  </si>
  <si>
    <t>42:12:0106002:2585</t>
  </si>
  <si>
    <t>1.1.560.10</t>
  </si>
  <si>
    <t>42:12:0106002:2578</t>
  </si>
  <si>
    <t xml:space="preserve">  42:12:0110001:1659</t>
  </si>
  <si>
    <t>1.1.616.2</t>
  </si>
  <si>
    <t>1.1.751.14</t>
  </si>
  <si>
    <t>42:12:0106002:3854</t>
  </si>
  <si>
    <t>1.1.795.25</t>
  </si>
  <si>
    <t>42:12:0104001:1177</t>
  </si>
  <si>
    <t>1.1.753.12</t>
  </si>
  <si>
    <t>42:12:0106002:2985</t>
  </si>
  <si>
    <t>1.1.810.21</t>
  </si>
  <si>
    <t xml:space="preserve">42:34:0114012:99    </t>
  </si>
  <si>
    <t>1.1.817.21</t>
  </si>
  <si>
    <t>42:34:0102050:205</t>
  </si>
  <si>
    <t>1.1.817.22</t>
  </si>
  <si>
    <t>42:34:0102050:204</t>
  </si>
  <si>
    <t>1.1.817.23</t>
  </si>
  <si>
    <t>42:34:0102050:200</t>
  </si>
  <si>
    <t>1.1.817.25</t>
  </si>
  <si>
    <t>42:34:0102050:208</t>
  </si>
  <si>
    <t>1.1.817.26</t>
  </si>
  <si>
    <t>42:34:0102050:203</t>
  </si>
  <si>
    <t>1.1.817.27</t>
  </si>
  <si>
    <t>42:34:0102050:207</t>
  </si>
  <si>
    <t>1.1.817.28</t>
  </si>
  <si>
    <t>42:34:0102050:199</t>
  </si>
  <si>
    <t>1.1.824.21</t>
  </si>
  <si>
    <t>42:34:0112002:66</t>
  </si>
  <si>
    <t>1.1.824.23</t>
  </si>
  <si>
    <t>42:34:0112002:78</t>
  </si>
  <si>
    <t>1.1.850.54</t>
  </si>
  <si>
    <t xml:space="preserve">  42:12:0106002:4426</t>
  </si>
  <si>
    <t>1.1.850.55</t>
  </si>
  <si>
    <t xml:space="preserve">  42:12:0106002:4432</t>
  </si>
  <si>
    <t>В оперативном управлении МБОУ "Гимназия №2"</t>
  </si>
  <si>
    <t xml:space="preserve">Реорганизация МБДОУ детский сад №17  «Чебурашка» путем присоединения к ней  МБДОУ детского сада  №1 «Березка»   -приказ МКУ "Управ. образования админ. Таштагол. муниц. района от 18.02.2019 г. №29.1 </t>
  </si>
  <si>
    <t>Земельный участок, использование: для размещения объектов дошкольного, начального, общего и среднего (полного) общего образования</t>
  </si>
  <si>
    <t xml:space="preserve">Российская Федерация, Кемеровская область - Кузбасс, Таштагольский муниципальный район, Таштагольское городское поселение, г. Таштагол, ул. Ленина, участок 84 </t>
  </si>
  <si>
    <t>1.4.199</t>
  </si>
  <si>
    <t>Земельный участок, использование: для индивидуального жилищного строительства</t>
  </si>
  <si>
    <t xml:space="preserve">Кемеровская область, г. Таштагол, ул. Ленина, д. 6 </t>
  </si>
  <si>
    <t>42:34:0101045:43</t>
  </si>
  <si>
    <t>1.5.580</t>
  </si>
  <si>
    <t>Скважина (школа)</t>
  </si>
  <si>
    <t>Кемеровская область, Таштагольский муниципальный район, Усть-Кабырзинское сельское поселение, п. Усть-Кабырза, ул. Школьная, 4</t>
  </si>
  <si>
    <t>1.5.581</t>
  </si>
  <si>
    <t>Скважина (детский сад)</t>
  </si>
  <si>
    <t>1.4.1.1</t>
  </si>
  <si>
    <t xml:space="preserve">Земельный участок , под профилакторий </t>
  </si>
  <si>
    <t>42:12:0104007:79</t>
  </si>
  <si>
    <t>1.4.1.2</t>
  </si>
  <si>
    <t>Земельный участок , под строительство бугельной канатной дороги БКД 23</t>
  </si>
  <si>
    <t>42:12:0104007:80</t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</si>
  <si>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,19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</si>
  <si>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,7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</si>
  <si>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</si>
  <si>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,17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</si>
  <si>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,18</t>
    </r>
  </si>
  <si>
    <t>1.1.7.62</t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</si>
  <si>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</si>
  <si>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,22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</si>
  <si>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,27</t>
    </r>
  </si>
  <si>
    <t>квартира-специализ. фонд</t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</si>
  <si>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,33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</si>
  <si>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,3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</si>
  <si>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</si>
  <si>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</si>
  <si>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,15</t>
    </r>
  </si>
  <si>
    <r>
      <t>Кемеровская область, г.Таштагол ,ул.Ноградская</t>
    </r>
    <r>
      <rPr>
        <sz val="10"/>
        <color theme="0"/>
        <rFont val="Arial Cyr"/>
        <charset val="204"/>
      </rPr>
      <t>,16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</si>
  <si>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 xml:space="preserve">,17 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</si>
  <si>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,18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</si>
  <si>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,8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</si>
  <si>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,10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</si>
  <si>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</si>
  <si>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г.Таштагол,ул.8-е Марта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</si>
  <si>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г.Таштагол,ул.8-е Марта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</si>
  <si>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ул.Суворова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</si>
  <si>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ул.Суворова</t>
    </r>
    <r>
      <rPr>
        <sz val="10"/>
        <color theme="0"/>
        <rFont val="Arial Cyr"/>
        <charset val="204"/>
      </rPr>
      <t>,23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</si>
  <si>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</si>
  <si>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</si>
  <si>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,48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</si>
  <si>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,56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</si>
  <si>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,64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</si>
  <si>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,68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</si>
  <si>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,72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</si>
  <si>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,76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</si>
  <si>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</si>
  <si>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,82</t>
    </r>
  </si>
  <si>
    <r>
      <t>квартира (</t>
    </r>
    <r>
      <rPr>
        <sz val="8"/>
        <rFont val="Arial Cyr"/>
        <charset val="204"/>
      </rPr>
      <t>специализированный жилищный фонд</t>
    </r>
    <r>
      <rPr>
        <sz val="10"/>
        <rFont val="Arial Cyr"/>
        <charset val="204"/>
      </rPr>
      <t>)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</si>
  <si>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</si>
  <si>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</si>
  <si>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</si>
  <si>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,31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</si>
  <si>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,33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</si>
  <si>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,35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</si>
  <si>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,37</t>
    </r>
  </si>
  <si>
    <r>
      <t>Кемеровская область, г.Таштагол,ул.Матросова</t>
    </r>
    <r>
      <rPr>
        <sz val="10"/>
        <color theme="0"/>
        <rFont val="Arial Cyr"/>
        <charset val="204"/>
      </rPr>
      <t>,24г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</si>
  <si>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</si>
  <si>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</si>
  <si>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</si>
  <si>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</si>
  <si>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</si>
  <si>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,21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</si>
  <si>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,4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</si>
  <si>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</si>
  <si>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,6</t>
    </r>
  </si>
  <si>
    <t>17а</t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</si>
  <si>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</si>
  <si>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</si>
  <si>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,10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</si>
  <si>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</si>
  <si>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</si>
  <si>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,15</t>
    </r>
  </si>
  <si>
    <t>42:34:0102012:148</t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</si>
  <si>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</si>
  <si>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г.Таштагол,ул.Лазо</t>
    </r>
    <r>
      <rPr>
        <sz val="10"/>
        <color theme="0"/>
        <rFont val="Arial Cyr"/>
        <charset val="204"/>
      </rPr>
      <t>,15</t>
    </r>
    <r>
      <rPr>
        <sz val="10"/>
        <rFont val="Arial Cyr"/>
        <charset val="204"/>
      </rPr>
      <t xml:space="preserve"> (13 квартир)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</si>
  <si>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</si>
  <si>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,3а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</si>
  <si>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</si>
  <si>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,18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</si>
  <si>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</si>
  <si>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,3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</si>
  <si>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</si>
  <si>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</si>
  <si>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</si>
  <si>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,44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</si>
  <si>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,68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</si>
  <si>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,70</t>
    </r>
  </si>
  <si>
    <r>
      <t>Кемеровская область, г.Таштагол,ул.Северная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</si>
  <si>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</si>
  <si>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</si>
  <si>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</si>
  <si>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,28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</si>
  <si>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</si>
  <si>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</si>
  <si>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</si>
  <si>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</si>
  <si>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,40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</si>
  <si>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,41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</si>
  <si>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</si>
  <si>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</si>
  <si>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,54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</si>
  <si>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,58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</si>
  <si>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</si>
  <si>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</si>
  <si>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,74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</si>
  <si>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,78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</si>
  <si>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,80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</si>
  <si>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</si>
  <si>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</si>
  <si>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</si>
  <si>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</si>
  <si>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,102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</si>
  <si>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</si>
  <si>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,141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</si>
  <si>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,143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</si>
  <si>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</si>
  <si>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,166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</si>
  <si>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</si>
  <si>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,4</t>
    </r>
  </si>
  <si>
    <t>1.1.169.8</t>
  </si>
  <si>
    <t xml:space="preserve">42:34:0101037:71 </t>
  </si>
  <si>
    <t>1.1.169.9</t>
  </si>
  <si>
    <t xml:space="preserve">42:34:0101037:76 </t>
  </si>
  <si>
    <t>1.1.169.10</t>
  </si>
  <si>
    <t>42:34:0101037:99</t>
  </si>
  <si>
    <t>1.1.169.11</t>
  </si>
  <si>
    <t>42:34:0101037:69</t>
  </si>
  <si>
    <t>1.1.169.12</t>
  </si>
  <si>
    <t>42:34:0101037:66</t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</si>
  <si>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</si>
  <si>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,7</t>
    </r>
  </si>
  <si>
    <r>
      <t xml:space="preserve">42:34:0101036:130         </t>
    </r>
    <r>
      <rPr>
        <i/>
        <sz val="8"/>
        <rFont val="Arial Cyr"/>
        <charset val="204"/>
      </rPr>
      <t xml:space="preserve">                    </t>
    </r>
  </si>
  <si>
    <r>
      <t xml:space="preserve">42:34:0101036:138                                          </t>
    </r>
    <r>
      <rPr>
        <i/>
        <sz val="8"/>
        <rFont val="Arial Cyr"/>
        <charset val="204"/>
      </rPr>
      <t xml:space="preserve"> 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</si>
  <si>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</si>
  <si>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</si>
  <si>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,10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</si>
  <si>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</si>
  <si>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,12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</si>
  <si>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</si>
  <si>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,15</t>
    </r>
  </si>
  <si>
    <t>1.1.179.3</t>
  </si>
  <si>
    <t xml:space="preserve"> 42:34:0101021:51</t>
  </si>
  <si>
    <t>1.1.179.4</t>
  </si>
  <si>
    <t>42:34:0101021:39</t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</si>
  <si>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</si>
  <si>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</si>
  <si>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</si>
  <si>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</si>
  <si>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,6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</si>
  <si>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</si>
  <si>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</si>
  <si>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</si>
  <si>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</si>
  <si>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</si>
  <si>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г.Таштагол,ул.Баумана</t>
    </r>
    <r>
      <rPr>
        <sz val="10"/>
        <color theme="0"/>
        <rFont val="Arial Cyr"/>
        <charset val="204"/>
      </rPr>
      <t>,16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</si>
  <si>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,1а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</si>
  <si>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,1б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</si>
  <si>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,4</t>
    </r>
  </si>
  <si>
    <r>
      <t>Кемеровская область, г.Таштагол,ул.Таежная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</si>
  <si>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г.Таштагол,ул.Таежная</t>
    </r>
    <r>
      <rPr>
        <sz val="10"/>
        <color theme="0"/>
        <rFont val="Arial Cyr"/>
        <charset val="204"/>
      </rPr>
      <t>,3</t>
    </r>
  </si>
  <si>
    <r>
      <t>Кемеровская область, г.Таштагол,ул.Ломоносова</t>
    </r>
    <r>
      <rPr>
        <sz val="10"/>
        <color theme="0"/>
        <rFont val="Arial Cyr"/>
        <charset val="204"/>
      </rPr>
      <t>,45</t>
    </r>
  </si>
  <si>
    <r>
      <t>Кемеровская область, Таштагольский район, пос.Чугунаш,ул.Береговая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</si>
  <si>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пос.Чугунаш, ул.Станционная</t>
    </r>
    <r>
      <rPr>
        <sz val="10"/>
        <color theme="0"/>
        <rFont val="Arial Cyr"/>
        <charset val="204"/>
      </rPr>
      <t>,14а</t>
    </r>
  </si>
  <si>
    <r>
      <t>Кемеровская область, Таштагольский район, пос.Чугунаш,ул.Болотная</t>
    </r>
    <r>
      <rPr>
        <sz val="10"/>
        <color theme="0"/>
        <rFont val="Arial Cyr"/>
        <charset val="204"/>
      </rPr>
      <t>,12а</t>
    </r>
  </si>
  <si>
    <r>
      <t>Кемеровская область, Таштагольский район, пос.Чугунаш,ул.Болотная</t>
    </r>
    <r>
      <rPr>
        <sz val="10"/>
        <color theme="0"/>
        <rFont val="Arial Cyr"/>
        <charset val="204"/>
      </rPr>
      <t>,12б</t>
    </r>
  </si>
  <si>
    <r>
      <t>Кемеровская область, Таштагольский район, пос.Чугунаш,ул.Береговая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</si>
  <si>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ст.Калары,ул.Станционная</t>
    </r>
    <r>
      <rPr>
        <sz val="10"/>
        <color theme="0"/>
        <rFont val="Arial Cyr"/>
        <charset val="204"/>
      </rPr>
      <t>,30</t>
    </r>
  </si>
  <si>
    <r>
      <t>Кемеровская область, Таштагольский район, пос.Амзас (Алгаин), ул.Центральная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</si>
  <si>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пос.Амзас (Алгаин), ул.Станционная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</si>
  <si>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,6</t>
    </r>
  </si>
  <si>
    <r>
      <t>квартира (</t>
    </r>
    <r>
      <rPr>
        <sz val="8"/>
        <rFont val="Arial Cyr"/>
        <charset val="204"/>
      </rPr>
      <t>специализированный жилищный фонд)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</si>
  <si>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</si>
  <si>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</si>
  <si>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</si>
  <si>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</si>
  <si>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</si>
  <si>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</si>
  <si>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,22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</si>
  <si>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</si>
  <si>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</si>
  <si>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</si>
  <si>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</si>
  <si>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</si>
  <si>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</si>
  <si>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</si>
  <si>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</si>
  <si>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</si>
  <si>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</si>
  <si>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,3</t>
    </r>
  </si>
  <si>
    <t>1.1.264.4</t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</si>
  <si>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</si>
  <si>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</si>
  <si>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</si>
  <si>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</si>
  <si>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</si>
  <si>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</si>
  <si>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</si>
  <si>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</si>
  <si>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</si>
  <si>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</si>
  <si>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</si>
  <si>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</si>
  <si>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</si>
  <si>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</si>
  <si>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пгт.Шерегеш, ул.Юбилейная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</si>
  <si>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ул.Юбилейная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</si>
  <si>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пгт.Шерегеш,ул.Вокзальная</t>
    </r>
    <r>
      <rPr>
        <sz val="10"/>
        <color theme="0"/>
        <rFont val="Arial Cyr"/>
        <charset val="204"/>
      </rPr>
      <t>,49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</si>
  <si>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</si>
  <si>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</si>
  <si>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</si>
  <si>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</si>
  <si>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</si>
  <si>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</si>
  <si>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</si>
  <si>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</si>
  <si>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пгт.Шерегеш, ул.40 лет Октября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</si>
  <si>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пгт.Шерегеш,ул.40 лет Октября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</si>
  <si>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 ул.Молодежная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</si>
  <si>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 ул.Молодежная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</si>
  <si>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</si>
  <si>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</si>
  <si>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ул.Веры Волошиной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</si>
  <si>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</si>
  <si>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</si>
  <si>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</si>
  <si>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</si>
  <si>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ул.Первомайская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</si>
  <si>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пгт.Шерегеш,ул.Первомайская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</si>
  <si>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</si>
  <si>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</si>
  <si>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,6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</si>
  <si>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,17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</si>
  <si>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,19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</si>
  <si>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,3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</si>
  <si>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</si>
  <si>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</si>
  <si>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,7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</si>
  <si>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</si>
  <si>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</si>
  <si>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 xml:space="preserve">,31 </t>
    </r>
    <r>
      <rPr>
        <sz val="10"/>
        <rFont val="Arial Cyr"/>
        <charset val="204"/>
      </rPr>
      <t/>
    </r>
  </si>
  <si>
    <r>
      <t>Кемеровская область, г.Таштагол,ул.Коммунистическая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</si>
  <si>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ул.Коммунистическая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</si>
  <si>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ул.Коммунистическая</t>
    </r>
    <r>
      <rPr>
        <sz val="10"/>
        <color theme="0"/>
        <rFont val="Arial Cyr"/>
        <charset val="204"/>
      </rPr>
      <t>,23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</si>
  <si>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,2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</si>
  <si>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,8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</si>
  <si>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,11</t>
    </r>
  </si>
  <si>
    <r>
      <t xml:space="preserve">42:34:0114009:93            </t>
    </r>
    <r>
      <rPr>
        <sz val="8"/>
        <rFont val="Arial Cyr"/>
        <charset val="204"/>
      </rPr>
      <t xml:space="preserve"> </t>
    </r>
  </si>
  <si>
    <r>
      <t xml:space="preserve">1 этаж       </t>
    </r>
    <r>
      <rPr>
        <sz val="8"/>
        <rFont val="Arial Cyr"/>
        <charset val="204"/>
      </rPr>
      <t xml:space="preserve"> 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</si>
  <si>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,15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</si>
  <si>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,8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</si>
  <si>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,10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</si>
  <si>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,11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</si>
  <si>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,18 </t>
    </r>
  </si>
  <si>
    <r>
      <t>Кемеровская область, г.Таштагол, ул.Кислородная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</si>
  <si>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</si>
  <si>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</si>
  <si>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</si>
  <si>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,10</t>
    </r>
  </si>
  <si>
    <r>
      <t xml:space="preserve">                     </t>
    </r>
    <r>
      <rPr>
        <sz val="8.5"/>
        <rFont val="Arial Cyr"/>
        <charset val="204"/>
      </rPr>
      <t xml:space="preserve"> 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</si>
  <si>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,12</t>
    </r>
  </si>
  <si>
    <t xml:space="preserve">42:12:0104001:2347                </t>
  </si>
  <si>
    <t xml:space="preserve">1 этаж       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</si>
  <si>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,14</t>
    </r>
  </si>
  <si>
    <t xml:space="preserve">  42:12:0104001:1949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</si>
  <si>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</si>
  <si>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</si>
  <si>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,22</t>
    </r>
  </si>
  <si>
    <r>
      <t>61;</t>
    </r>
    <r>
      <rPr>
        <sz val="10"/>
        <rFont val="Arial Cyr"/>
        <charset val="204"/>
      </rPr>
      <t>64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</si>
  <si>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</si>
  <si>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</si>
  <si>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</si>
  <si>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,2а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</si>
  <si>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</si>
  <si>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</si>
  <si>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</si>
  <si>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</si>
  <si>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</si>
  <si>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</si>
  <si>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</si>
  <si>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</si>
  <si>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</si>
  <si>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</si>
  <si>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</si>
  <si>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</si>
  <si>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</si>
  <si>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</si>
  <si>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</si>
  <si>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</si>
  <si>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</si>
  <si>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,22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</si>
  <si>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</si>
  <si>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</si>
  <si>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</si>
  <si>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</si>
  <si>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,29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</si>
  <si>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,31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</si>
  <si>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</si>
  <si>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,35</t>
    </r>
  </si>
  <si>
    <r>
      <t>Кемеровская область, Таштагольский район, пгт.Каз,ул.Октябрьская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</si>
  <si>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пгт.Каз,ул.Строительная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</si>
  <si>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пгт.Каз,ул.Зеленая</t>
    </r>
    <r>
      <rPr>
        <sz val="10"/>
        <color theme="0"/>
        <rFont val="Arial Cyr"/>
        <charset val="204"/>
      </rPr>
      <t>,34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</si>
  <si>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</si>
  <si>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</si>
  <si>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</si>
  <si>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</si>
  <si>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</si>
  <si>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</si>
  <si>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</si>
  <si>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</si>
  <si>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</si>
  <si>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</si>
  <si>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</si>
  <si>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</si>
  <si>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,2</t>
    </r>
  </si>
  <si>
    <t>квартира-специализир. жилищный фонд</t>
  </si>
  <si>
    <r>
      <t xml:space="preserve">42:12:0105002:2470                    </t>
    </r>
    <r>
      <rPr>
        <sz val="8"/>
        <rFont val="Arial Cyr"/>
        <charset val="204"/>
      </rPr>
      <t xml:space="preserve"> </t>
    </r>
  </si>
  <si>
    <t xml:space="preserve">4 этаж   </t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</si>
  <si>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</si>
  <si>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</si>
  <si>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</si>
  <si>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</si>
  <si>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</si>
  <si>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,17</t>
    </r>
  </si>
  <si>
    <t>1.1.511.</t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</si>
  <si>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,4</t>
    </r>
  </si>
  <si>
    <t>1.1.511.1</t>
  </si>
  <si>
    <t>1.1.511.2</t>
  </si>
  <si>
    <t>1.1.511.3</t>
  </si>
  <si>
    <t>42:12:0105002:3439</t>
  </si>
  <si>
    <t>1.1.511.4</t>
  </si>
  <si>
    <t>1.1.511.5</t>
  </si>
  <si>
    <t>42:12:0105002:2609</t>
  </si>
  <si>
    <t>1.1.511.6</t>
  </si>
  <si>
    <t>42:12:0105002:1106</t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</si>
  <si>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</si>
  <si>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</si>
  <si>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</si>
  <si>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</si>
  <si>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</si>
  <si>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пгт.Темиртау,ул.России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</si>
  <si>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пгт.Темиртау,ул.России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</si>
  <si>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пгт.Темиртау,ул.Рудная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</si>
  <si>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пгт.Темиртау,ул.Чапаева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</si>
  <si>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пгт.Темиртау,ул.Дружбы</t>
    </r>
    <r>
      <rPr>
        <sz val="10"/>
        <color theme="0"/>
        <rFont val="Arial Cyr"/>
        <charset val="204"/>
      </rPr>
      <t>,53</t>
    </r>
  </si>
  <si>
    <r>
      <t>Кемеровская область, Таштагольский район, пгт.Мундыбаш, ул.Коммунистическая</t>
    </r>
    <r>
      <rPr>
        <sz val="10"/>
        <color theme="0"/>
        <rFont val="Arial Cyr"/>
        <charset val="204"/>
      </rPr>
      <t>,1а</t>
    </r>
  </si>
  <si>
    <r>
      <t>Кемеровская область, Таштагольский район, пгт.Мундыбаш, ул.Коммунистическая</t>
    </r>
    <r>
      <rPr>
        <sz val="10"/>
        <color theme="0"/>
        <rFont val="Arial Cyr"/>
        <charset val="204"/>
      </rPr>
      <t>,9а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</si>
  <si>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</si>
  <si>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</si>
  <si>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</si>
  <si>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</si>
  <si>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</si>
  <si>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</si>
  <si>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,13а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</si>
  <si>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</si>
  <si>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</si>
  <si>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</si>
  <si>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</si>
  <si>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</si>
  <si>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</si>
  <si>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,29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</si>
  <si>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,30</t>
    </r>
  </si>
  <si>
    <r>
      <t>Кемеровская область, Таштагольский район, пгт.Мундыбаш, ул.Дзержинского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</si>
  <si>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пгт.Мундыбаш, ул.Комсомольская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</si>
  <si>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пгт.Мундыбаш, ул.Комсомольская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</si>
  <si>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</si>
  <si>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</si>
  <si>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</si>
  <si>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пгт.Мундыбаш,ул.Лузина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</si>
  <si>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пгт.Мундыбаш,ул.Лузина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</si>
  <si>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пгт.Мундыбаш, ул.Октябрьская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</si>
  <si>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пгт.Мундыбаш, ул.Мамонтова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</si>
  <si>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пгт.Мундыбаш, ул.Кабалевского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</si>
  <si>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ст.Ахпун,ул.Центральная</t>
    </r>
    <r>
      <rPr>
        <sz val="10"/>
        <color theme="0"/>
        <rFont val="Arial Cyr"/>
        <charset val="204"/>
      </rPr>
      <t xml:space="preserve">,32 </t>
    </r>
    <r>
      <rPr>
        <sz val="10"/>
        <rFont val="Arial Cyr"/>
        <charset val="204"/>
      </rPr>
      <t>(Темиртау)</t>
    </r>
  </si>
  <si>
    <r>
      <t>Кемеровская область, Таштагольский район, пгт.Каз, ст.Тенеш</t>
    </r>
    <r>
      <rPr>
        <sz val="10"/>
        <color theme="0"/>
        <rFont val="Arial Cyr"/>
        <charset val="204"/>
      </rPr>
      <t>,7</t>
    </r>
  </si>
  <si>
    <t xml:space="preserve">  42:12:0104006:83</t>
  </si>
  <si>
    <r>
      <t>Кемеровская область, Таштагольский район, пгт.Каз, ст.Тенеш</t>
    </r>
    <r>
      <rPr>
        <sz val="10"/>
        <color theme="0"/>
        <rFont val="Arial Cyr"/>
        <charset val="204"/>
      </rPr>
      <t>,8</t>
    </r>
  </si>
  <si>
    <t>1.1.603.5</t>
  </si>
  <si>
    <t>1.1.603.6</t>
  </si>
  <si>
    <t>1.1.603.7</t>
  </si>
  <si>
    <t>1.1.603.8</t>
  </si>
  <si>
    <r>
      <t>Кемеровская область, Таштагольский район, ст.Учулен,ул.Станционная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</si>
  <si>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ст.Учулен,ул.Станционная</t>
    </r>
    <r>
      <rPr>
        <sz val="10"/>
        <color theme="0"/>
        <rFont val="Arial Cyr"/>
        <charset val="204"/>
      </rPr>
      <t>,5а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</si>
  <si>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</si>
  <si>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</si>
  <si>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пос.Усть-Кабырза ул.Арбачакова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</si>
  <si>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</si>
  <si>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,24</t>
    </r>
  </si>
  <si>
    <t>1.1.614.2</t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</si>
  <si>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</si>
  <si>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</si>
  <si>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,27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</si>
  <si>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,28</t>
    </r>
  </si>
  <si>
    <r>
      <t>Кемеровская область, Таштагольский район, село Кондома, ул.Центральная</t>
    </r>
    <r>
      <rPr>
        <sz val="10"/>
        <color theme="0"/>
        <rFont val="Arial Cyr"/>
        <charset val="204"/>
      </rPr>
      <t>,12</t>
    </r>
    <r>
      <rPr>
        <sz val="10"/>
        <rFont val="Arial Cyr"/>
        <charset val="204"/>
      </rPr>
      <t xml:space="preserve"> (2-х кв)</t>
    </r>
  </si>
  <si>
    <r>
      <t>Кемеровская область, Таштагольский район, село Кондома, ул.Фестивальная (2-х кв)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</si>
  <si>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село Кондома, ул.Советская (1 кв)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</si>
  <si>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пгт.Спасск, ул.Старательская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</si>
  <si>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пгт.Спасск,ул.Базарная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</si>
  <si>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пгт.Спасск,ул.Клубная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</si>
  <si>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пгт.Спасск,ул.Увальная</t>
    </r>
    <r>
      <rPr>
        <sz val="10"/>
        <color theme="0"/>
        <rFont val="Arial Cyr"/>
        <charset val="204"/>
      </rPr>
      <t>,34а</t>
    </r>
  </si>
  <si>
    <r>
      <t>Кемеровская область, Таштагольский район, пгт.Спасск,ул.Мостовая</t>
    </r>
    <r>
      <rPr>
        <sz val="10"/>
        <color theme="0"/>
        <rFont val="Arial Cyr"/>
        <charset val="204"/>
      </rPr>
      <t>,84</t>
    </r>
  </si>
  <si>
    <r>
      <t>Кемеровская область, Таштагольский район, пгт.Спасск,ул.Мостовая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</si>
  <si>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пгт.Спасск,ул.Урушская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</si>
  <si>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пгт.Спасск,ул.Садовая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</si>
  <si>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пгт.Спасск,ул.Садовая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</si>
  <si>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пгт.Спасск,ул.Набережная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</si>
  <si>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пгт.Спасск,ул.Набережная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</si>
  <si>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пгт.Спасск,ул.Горная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</si>
  <si>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пгт.Спасск,ул.Тайлепская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</si>
  <si>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пгт.Спасск,ул.Тайлепская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</si>
  <si>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пгт.Спасск,ул.Кооперативная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</si>
  <si>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пгт.Мундыбаш, ул.Октябрьская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</si>
  <si>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пгт.Мундыбаш,ул.Суворова</t>
    </r>
    <r>
      <rPr>
        <sz val="10"/>
        <color theme="0"/>
        <rFont val="Arial Cyr"/>
        <charset val="204"/>
      </rPr>
      <t>,67</t>
    </r>
  </si>
  <si>
    <r>
      <t>Кемеровская область, Таштагольский район, пос.Базанча,ул.Школьная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</si>
  <si>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пос.Базанча,ул.Комарова</t>
    </r>
    <r>
      <rPr>
        <sz val="10"/>
        <color theme="0"/>
        <rFont val="Arial Cyr"/>
        <charset val="204"/>
      </rPr>
      <t>,45</t>
    </r>
  </si>
  <si>
    <r>
      <t>Кемеровская область, Таштагольский район, пос.Ключевой,ул.Мира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</si>
  <si>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</si>
  <si>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</si>
  <si>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</si>
  <si>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 xml:space="preserve">,4                </t>
    </r>
    <r>
      <rPr>
        <sz val="10"/>
        <rFont val="Arial Cyr"/>
        <charset val="204"/>
      </rPr>
      <t>(8-ми кварт. дом)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</si>
  <si>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</si>
  <si>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</si>
  <si>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</si>
  <si>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г.Таштагол,ул.Фрунзе</t>
    </r>
    <r>
      <rPr>
        <sz val="10"/>
        <color theme="0"/>
        <rFont val="Arial Cyr"/>
        <charset val="204"/>
      </rPr>
      <t>,6а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</si>
  <si>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,137</t>
    </r>
  </si>
  <si>
    <r>
      <t>Кемеровская область, Таштагольский район, пос.Чугунаш, ул.Центральная</t>
    </r>
    <r>
      <rPr>
        <sz val="10"/>
        <color theme="0"/>
        <rFont val="Arial Cyr"/>
        <charset val="204"/>
      </rPr>
      <t xml:space="preserve">,5 </t>
    </r>
  </si>
  <si>
    <r>
      <t>Кемеровская область, Таштагольский район, пгт.Шерегеш,ул.Юбилейная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</si>
  <si>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,33а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</si>
  <si>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</si>
  <si>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г.Таштагол,ул.Увальная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</si>
  <si>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г.Таштагол,ул.Калинина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</si>
  <si>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</si>
  <si>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</si>
  <si>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пгт.Мундыбаш, ул.Красноармейская</t>
    </r>
    <r>
      <rPr>
        <sz val="10"/>
        <color theme="0"/>
        <rFont val="Arial Cyr"/>
        <charset val="204"/>
      </rPr>
      <t>,55</t>
    </r>
  </si>
  <si>
    <r>
      <t>Кемеровская область, Таштагольский район, пгт.Мундыбаш, ул.Красноармейская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</si>
  <si>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пгт.Мундыбаш,ул.Сухая</t>
    </r>
    <r>
      <rPr>
        <sz val="10"/>
        <color theme="0"/>
        <rFont val="Arial Cyr"/>
        <charset val="204"/>
      </rPr>
      <t>,31</t>
    </r>
  </si>
  <si>
    <r>
      <t>Кемеровская область, Таштагольский район, пгт.Мундыбаш, ул.Дзержинского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</si>
  <si>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пос.Усть-Кабырза, ул.Подгорная</t>
    </r>
    <r>
      <rPr>
        <sz val="10"/>
        <color theme="0"/>
        <rFont val="Arial Cyr"/>
        <charset val="204"/>
      </rPr>
      <t>,21</t>
    </r>
    <r>
      <rPr>
        <sz val="10"/>
        <rFont val="Arial Cyr"/>
        <charset val="204"/>
      </rPr>
      <t xml:space="preserve"> (1 кв)</t>
    </r>
  </si>
  <si>
    <r>
      <t>Кемеровская область, Таштагольский район, пос.Чугунаш, ул.Школьная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</si>
  <si>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пос.Усть-Анзасс, ул.Советская</t>
    </r>
    <r>
      <rPr>
        <sz val="10"/>
        <color theme="0"/>
        <rFont val="Arial Cyr"/>
        <charset val="204"/>
      </rPr>
      <t>,21</t>
    </r>
    <r>
      <rPr>
        <sz val="10"/>
        <rFont val="Arial Cyr"/>
        <charset val="204"/>
      </rPr>
      <t xml:space="preserve"> (2-х кв)</t>
    </r>
  </si>
  <si>
    <r>
      <t>Кемеровская область, г.Таштагол, ул.Мира</t>
    </r>
    <r>
      <rPr>
        <sz val="10"/>
        <color theme="0"/>
        <rFont val="Arial Cyr"/>
        <charset val="204"/>
      </rPr>
      <t xml:space="preserve">,16 </t>
    </r>
    <r>
      <rPr>
        <sz val="10"/>
        <rFont val="Arial Cyr"/>
        <charset val="204"/>
      </rPr>
      <t>(1кв.)</t>
    </r>
  </si>
  <si>
    <r>
      <t>Кемеровская область, г.Таштагол, ул.Центральная</t>
    </r>
    <r>
      <rPr>
        <sz val="10"/>
        <color theme="0"/>
        <rFont val="Arial Cyr"/>
        <charset val="204"/>
      </rPr>
      <t xml:space="preserve">,3 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</si>
  <si>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>,11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</si>
  <si>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 xml:space="preserve">,13 </t>
    </r>
    <r>
      <rPr>
        <sz val="10"/>
        <rFont val="Arial Cyr"/>
        <charset val="204"/>
      </rPr>
      <t>(2-х кв.)</t>
    </r>
  </si>
  <si>
    <r>
      <t>Кемеровская область, Таштагольский район, пос.Чугунаш, ул.Станционная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</si>
  <si>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пгт.Спасск, ул.Урушская</t>
    </r>
    <r>
      <rPr>
        <sz val="10"/>
        <color theme="0"/>
        <rFont val="Arial Cyr"/>
        <charset val="204"/>
      </rPr>
      <t xml:space="preserve">,5 </t>
    </r>
    <r>
      <rPr>
        <sz val="10"/>
        <rFont val="Arial Cyr"/>
        <charset val="204"/>
      </rPr>
      <t>(16-ти квартирный)</t>
    </r>
  </si>
  <si>
    <r>
      <t>Кемеровская область, Таштагольский район, пгт.Мундыбаш, ул.Кабалевского</t>
    </r>
    <r>
      <rPr>
        <sz val="10"/>
        <color theme="0"/>
        <rFont val="Arial Cyr"/>
        <charset val="204"/>
      </rPr>
      <t>,2</t>
    </r>
    <r>
      <rPr>
        <sz val="10"/>
        <rFont val="Arial Cyr"/>
        <charset val="204"/>
      </rPr>
      <t xml:space="preserve"> (три секции)</t>
    </r>
  </si>
  <si>
    <t>42:12:000000:0000:1694/3:0047/А</t>
  </si>
  <si>
    <r>
      <t xml:space="preserve">1 этаж </t>
    </r>
    <r>
      <rPr>
        <sz val="8"/>
        <rFont val="Arial"/>
        <family val="2"/>
        <charset val="204"/>
      </rPr>
      <t xml:space="preserve">  </t>
    </r>
  </si>
  <si>
    <r>
      <t>Кемеровская область, Таштагольский район, пгт.Шерегеш, ул.Гагарина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</si>
  <si>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пгт.Мундыбаш, ул.Ленина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</si>
  <si>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ул.Заречная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</si>
  <si>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 xml:space="preserve">,5 </t>
    </r>
    <r>
      <rPr>
        <sz val="10"/>
        <rFont val="Arial Cyr"/>
        <charset val="204"/>
      </rPr>
      <t xml:space="preserve"> (2-х кв.)</t>
    </r>
  </si>
  <si>
    <r>
      <t>Кемеровская область, Таштагольский район, пгт.Мундыбаш, ул.Пионерская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</si>
  <si>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пгт.Мундыбаш, ул.Буденного</t>
    </r>
    <r>
      <rPr>
        <sz val="10"/>
        <color theme="0"/>
        <rFont val="Arial Cyr"/>
        <charset val="204"/>
      </rPr>
      <t>,151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</si>
  <si>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</si>
  <si>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пос.Чугунаш. Ул.Суворова</t>
    </r>
    <r>
      <rPr>
        <sz val="10"/>
        <color theme="0"/>
        <rFont val="Arial Cyr"/>
        <charset val="204"/>
      </rPr>
      <t>,32</t>
    </r>
    <r>
      <rPr>
        <sz val="10"/>
        <rFont val="Arial Cyr"/>
        <charset val="204"/>
      </rPr>
      <t xml:space="preserve"> (10-ти кв.)</t>
    </r>
  </si>
  <si>
    <t>42:12:0103002:584                      42:12:000000:0000:330/8:0010/А</t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</si>
  <si>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,4</t>
    </r>
    <r>
      <rPr>
        <sz val="10"/>
        <rFont val="Arial Cyr"/>
        <charset val="204"/>
      </rPr>
      <t xml:space="preserve"> 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</si>
  <si>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 xml:space="preserve">,34 </t>
    </r>
    <r>
      <rPr>
        <sz val="10"/>
        <rFont val="Arial Cyr"/>
        <charset val="204"/>
      </rPr>
      <t>(10 квартир)</t>
    </r>
  </si>
  <si>
    <r>
      <t>Кемеровская область, г.Таштагол, ул.Репина</t>
    </r>
    <r>
      <rPr>
        <sz val="10"/>
        <color theme="0"/>
        <rFont val="Arial Cyr"/>
        <charset val="204"/>
      </rPr>
      <t>,11</t>
    </r>
    <r>
      <rPr>
        <sz val="10"/>
        <rFont val="Arial Cyr"/>
        <charset val="204"/>
      </rPr>
      <t xml:space="preserve"> (2-х кварт.)</t>
    </r>
  </si>
  <si>
    <r>
      <t>Кемеровская область, Таштагольский район, пос.Усть-Кабырза, ул.Болотная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</si>
  <si>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пгт.Спасск, ул.Увальная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</si>
  <si>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пос.Усть-Анзасс, ул.Мира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</si>
  <si>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ул.Ленина</t>
    </r>
    <r>
      <rPr>
        <sz val="10"/>
        <color theme="0"/>
        <rFont val="Arial Cyr"/>
        <charset val="204"/>
      </rPr>
      <t>,26</t>
    </r>
  </si>
  <si>
    <r>
      <t>Кемеровская область, г.Таштагол, ул.Ленина</t>
    </r>
    <r>
      <rPr>
        <sz val="10"/>
        <color theme="0"/>
        <rFont val="Arial Cyr"/>
        <charset val="204"/>
      </rPr>
      <t xml:space="preserve">,18 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</si>
  <si>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</si>
  <si>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пгт.Темиртау, ул.России</t>
    </r>
    <r>
      <rPr>
        <sz val="10"/>
        <color theme="0"/>
        <rFont val="Arial Cyr"/>
        <charset val="204"/>
      </rPr>
      <t>,1</t>
    </r>
  </si>
  <si>
    <r>
      <t>Кемеровская область, г.Новокузнецк, Новоильинский район, ул.Рокоссовского</t>
    </r>
    <r>
      <rPr>
        <sz val="10"/>
        <color theme="0"/>
        <rFont val="Arial Cyr"/>
        <charset val="204"/>
      </rPr>
      <t>,27</t>
    </r>
  </si>
  <si>
    <r>
      <t>Кемеровская область, Таштагольский район, пгт.Мундыбаш, ул.Ленина</t>
    </r>
    <r>
      <rPr>
        <sz val="10"/>
        <color theme="0"/>
        <rFont val="Arial Cyr"/>
        <charset val="204"/>
      </rPr>
      <t>,31</t>
    </r>
    <r>
      <rPr>
        <sz val="10"/>
        <rFont val="Arial Cyr"/>
        <charset val="204"/>
      </rPr>
      <t xml:space="preserve"> (кв.№1-7,9-18,20,23,24,27, 28, 31,32,36-39,41,43-45,48,50,55- 57,59,60)</t>
    </r>
  </si>
  <si>
    <t xml:space="preserve">  42-42-12/014/2009-083  </t>
  </si>
  <si>
    <t xml:space="preserve">42-42-12/014/2009-085 </t>
  </si>
  <si>
    <t xml:space="preserve">42-42-12/006/2009-090 </t>
  </si>
  <si>
    <t>42-42-12/006/2009-349</t>
  </si>
  <si>
    <t xml:space="preserve">42-42-12/006/2009-348 </t>
  </si>
  <si>
    <r>
      <t>Кемеровская область, г.Таштагол, ул. Коммунистическая</t>
    </r>
    <r>
      <rPr>
        <sz val="10"/>
        <color theme="0"/>
        <rFont val="Arial Cyr"/>
        <charset val="204"/>
      </rPr>
      <t>,2</t>
    </r>
  </si>
  <si>
    <r>
      <t>Кемеровская область, г.Таштагол, ул. Артема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</si>
  <si>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п.Алгаин (Амзасс), ул. Почтовая</t>
    </r>
    <r>
      <rPr>
        <sz val="10"/>
        <color theme="0"/>
        <rFont val="Arial Cyr"/>
        <charset val="204"/>
      </rPr>
      <t>,41</t>
    </r>
  </si>
  <si>
    <r>
      <t>Кемеровская область, г.Таштагол, ул. Коммунистическая</t>
    </r>
    <r>
      <rPr>
        <sz val="10"/>
        <color theme="0"/>
        <rFont val="Arial Cyr"/>
        <charset val="204"/>
      </rPr>
      <t>,3</t>
    </r>
  </si>
  <si>
    <t>1.1.790.12</t>
  </si>
  <si>
    <t xml:space="preserve">  42:34:0114008:95</t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</si>
  <si>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,33</t>
    </r>
  </si>
  <si>
    <r>
      <t>Кемеровская область, Таштагольский район, пгт. Темиртау, ул. Центральная</t>
    </r>
    <r>
      <rPr>
        <sz val="10"/>
        <color theme="0"/>
        <rFont val="Arial Cyr"/>
        <charset val="204"/>
      </rPr>
      <t xml:space="preserve">,34 </t>
    </r>
  </si>
  <si>
    <r>
      <t>Кемеровская область, Таштагольский район, пгт. Каз, ул. Токарева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</si>
  <si>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,21/1</t>
    </r>
  </si>
  <si>
    <r>
      <t>Кемеровская область, г. Таштагол, ул. Кислородная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</si>
  <si>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,10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</si>
  <si>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,20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</si>
  <si>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,1а</t>
    </r>
  </si>
  <si>
    <r>
      <rPr>
        <sz val="10"/>
        <rFont val="Arial"/>
        <family val="2"/>
        <charset val="204"/>
      </rPr>
      <t xml:space="preserve">1 этаж   </t>
    </r>
    <r>
      <rPr>
        <i/>
        <sz val="10"/>
        <rFont val="Arial"/>
        <family val="2"/>
        <charset val="204"/>
      </rPr>
      <t xml:space="preserve">         </t>
    </r>
  </si>
  <si>
    <r>
      <t>Кемеровская область, Таштагольский район, пгт. Мундыбаш, уп. Кабалевского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</si>
  <si>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 Темиртау, ул. Центральная</t>
    </r>
    <r>
      <rPr>
        <sz val="10"/>
        <color theme="0"/>
        <rFont val="Arial Cyr"/>
        <charset val="204"/>
      </rPr>
      <t xml:space="preserve">,22 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</si>
  <si>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</si>
  <si>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пгт.Мундыбаш, ул.Рабочая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</si>
  <si>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 ул.Рабочая</t>
    </r>
    <r>
      <rPr>
        <sz val="10"/>
        <color theme="0"/>
        <rFont val="Arial Cyr"/>
        <charset val="204"/>
      </rPr>
      <t>,6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</si>
  <si>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</si>
  <si>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 Шерегеш, ул. Кирова</t>
    </r>
    <r>
      <rPr>
        <sz val="10"/>
        <color theme="0"/>
        <rFont val="Arial Cyr"/>
        <charset val="204"/>
      </rPr>
      <t>,5а</t>
    </r>
  </si>
  <si>
    <r>
      <t>Кемеровская область, г. Таштагол, ул. Матросова,</t>
    </r>
    <r>
      <rPr>
        <sz val="10"/>
        <color theme="0"/>
        <rFont val="Arial Cyr"/>
        <charset val="204"/>
      </rPr>
      <t>42</t>
    </r>
    <r>
      <rPr>
        <sz val="10"/>
        <rFont val="Arial Cyr"/>
        <charset val="204"/>
      </rPr>
      <t xml:space="preserve"> (специализированный жилищный фонд)</t>
    </r>
  </si>
  <si>
    <r>
      <t>Кемеровская область,                          г. Таштагол, ул. Нестерова</t>
    </r>
    <r>
      <rPr>
        <sz val="10"/>
        <color theme="0"/>
        <rFont val="Arial Cyr"/>
        <charset val="204"/>
      </rPr>
      <t>,26а</t>
    </r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</si>
  <si>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,20/1</t>
    </r>
  </si>
  <si>
    <r>
      <t>Кемеровская область, Таштагольский район, пгт.Мундыбаш,ул.Рабочая</t>
    </r>
    <r>
      <rPr>
        <sz val="10"/>
        <color theme="0"/>
        <rFont val="Arial Cyr"/>
        <charset val="204"/>
      </rPr>
      <t>,11а</t>
    </r>
  </si>
  <si>
    <r>
      <t>Кемеровская область, Таштагольский район, пгт.Мундыбаш,ул.Рабочая</t>
    </r>
    <r>
      <rPr>
        <sz val="10"/>
        <color theme="0"/>
        <rFont val="Arial Cyr"/>
        <charset val="204"/>
      </rPr>
      <t>,13а</t>
    </r>
  </si>
  <si>
    <r>
      <t>Кемеровская область, г. Таштагол, ул.Советская</t>
    </r>
    <r>
      <rPr>
        <sz val="10"/>
        <color theme="0"/>
        <rFont val="Arial Cyr"/>
        <charset val="204"/>
      </rPr>
      <t>,2б</t>
    </r>
  </si>
  <si>
    <t>квартира-специлиз. жилищ.фонд</t>
  </si>
  <si>
    <r>
      <t xml:space="preserve">42:34:0112002:89            </t>
    </r>
    <r>
      <rPr>
        <sz val="8"/>
        <rFont val="Arial Cyr"/>
        <charset val="204"/>
      </rPr>
      <t xml:space="preserve"> 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</si>
  <si>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,6а</t>
    </r>
  </si>
  <si>
    <r>
      <t>Кемеровская область, Таштагольский район, пгт.Темиртау,ул.Красный Маяк</t>
    </r>
    <r>
      <rPr>
        <sz val="10"/>
        <color theme="0"/>
        <rFont val="Arial Cyr"/>
        <charset val="204"/>
      </rPr>
      <t>,6а</t>
    </r>
  </si>
  <si>
    <r>
      <t>Кемеровская область, Таштагольский район, пгт.Темиртау,ул.Красный Маяк</t>
    </r>
    <r>
      <rPr>
        <sz val="10"/>
        <color theme="0"/>
        <rFont val="Arial Cyr"/>
        <charset val="204"/>
      </rPr>
      <t>,6б</t>
    </r>
  </si>
  <si>
    <r>
      <t>Кемеровская область, Таштагольский  район,  пгт. Шерегеш, ул. Кирова</t>
    </r>
    <r>
      <rPr>
        <sz val="10"/>
        <color theme="0"/>
        <rFont val="Arial Cyr"/>
        <charset val="204"/>
      </rPr>
      <t>,7А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</si>
  <si>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>,1</t>
    </r>
    <r>
      <rPr>
        <sz val="10"/>
        <rFont val="Arial Cyr"/>
        <charset val="204"/>
      </rPr>
      <t xml:space="preserve"> </t>
    </r>
  </si>
  <si>
    <r>
      <t>Кемеровская область, Таштагольское городское поселение, г.Таштагол, ул.Нестерова</t>
    </r>
    <r>
      <rPr>
        <sz val="10"/>
        <color theme="0"/>
        <rFont val="Arial Cyr"/>
        <charset val="204"/>
      </rPr>
      <t>,28а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</si>
  <si>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>,2</t>
    </r>
    <r>
      <rPr>
        <sz val="10"/>
        <rFont val="Arial Cyr"/>
        <charset val="204"/>
      </rPr>
      <t xml:space="preserve"> 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</si>
  <si>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 xml:space="preserve">,3 </t>
    </r>
  </si>
  <si>
    <r>
      <t>Кемеровская область, Таштагольское городское поселение, г. Таштагол, ул.Коммунистическая</t>
    </r>
    <r>
      <rPr>
        <sz val="10"/>
        <color theme="0"/>
        <rFont val="Arial Cyr"/>
        <charset val="204"/>
      </rPr>
      <t>,11а</t>
    </r>
  </si>
  <si>
    <r>
      <t>Кемеровская область, Таштагольское городское поселение, г. Таштагол, ул.Кислородная</t>
    </r>
    <r>
      <rPr>
        <sz val="10"/>
        <color theme="0"/>
        <rFont val="Arial Cyr"/>
        <charset val="204"/>
      </rPr>
      <t>,10а</t>
    </r>
  </si>
  <si>
    <r>
      <t>Кемеровская область, Таштагольский район, пгт.Каз,ул.Школьная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</si>
  <si>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пгт.Каз,ул.Школьная</t>
    </r>
    <r>
      <rPr>
        <sz val="10"/>
        <color theme="0"/>
        <rFont val="Arial Cyr"/>
        <charset val="204"/>
      </rPr>
      <t>,6а</t>
    </r>
  </si>
  <si>
    <r>
      <t>Кемеровская область, Таштагольское городское поселение, г.Таштагол, ул.Ленина</t>
    </r>
    <r>
      <rPr>
        <sz val="10"/>
        <color theme="0"/>
        <rFont val="Arial Cyr"/>
        <charset val="204"/>
      </rPr>
      <t>,52а</t>
    </r>
  </si>
  <si>
    <r>
      <t>Кемеровская область, Мундыбашское городское поселение, пгт.Мундыбаш, ул.Октябрьская</t>
    </r>
    <r>
      <rPr>
        <sz val="10"/>
        <color theme="0"/>
        <rFont val="Arial Cyr"/>
        <charset val="204"/>
      </rPr>
      <t>,38а</t>
    </r>
  </si>
  <si>
    <r>
      <t>Кемеровская область,  Шерегешское городское поселение, пгт. Шерегеш, ул. Дзержинского</t>
    </r>
    <r>
      <rPr>
        <sz val="10"/>
        <color theme="0"/>
        <rFont val="Arial Cyr"/>
        <charset val="204"/>
      </rPr>
      <t>,20а</t>
    </r>
  </si>
  <si>
    <t>1.1.851.5</t>
  </si>
  <si>
    <t>42:12:0102004:1048</t>
  </si>
  <si>
    <r>
      <t>Кемеровская область,  Шерегешское городское поселение, пгт. Шерегеш, ул. Дзержинского</t>
    </r>
    <r>
      <rPr>
        <sz val="10"/>
        <color theme="0"/>
        <rFont val="Arial Cyr"/>
        <charset val="204"/>
      </rPr>
      <t>,20а/1</t>
    </r>
  </si>
  <si>
    <r>
      <t>Кемеровская область, Таштагольский район, пос.Чулеш,  ул.Кузнечная</t>
    </r>
    <r>
      <rPr>
        <sz val="10"/>
        <color theme="0"/>
        <rFont val="Arial Cyr"/>
        <charset val="204"/>
      </rPr>
      <t>,3а</t>
    </r>
  </si>
  <si>
    <t>Земельный участок  для использования : Для индивидуального жилищного строительства</t>
  </si>
  <si>
    <t>1.4.26.1229</t>
  </si>
  <si>
    <t>42:12:0102015:1944</t>
  </si>
  <si>
    <t>1.4.26.1230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</si>
  <si>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Цветочная,20</t>
  </si>
  <si>
    <t>42:12:0102015:1953</t>
  </si>
  <si>
    <t>1.4.26.1231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</si>
  <si>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Шахтеров,143</t>
  </si>
  <si>
    <t>42:12:0102015:1972</t>
  </si>
  <si>
    <t>1.4.26.1233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</si>
  <si>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Шахтеров,145</t>
  </si>
  <si>
    <t>42:12:0102015:1969</t>
  </si>
  <si>
    <t>1.4.26.1236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</si>
  <si>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Цветочная,16</t>
  </si>
  <si>
    <t>42:12:0102015:2053</t>
  </si>
  <si>
    <t>1.4.26.1237</t>
  </si>
  <si>
    <t>Земельный участок  для использования : под жилищное строительство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</si>
  <si>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Славянская,151</t>
  </si>
  <si>
    <t>42:12:0102015:2026</t>
  </si>
  <si>
    <t>1.4.26.1238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</si>
  <si>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Славянская,152</t>
  </si>
  <si>
    <t>42:12:0102015:2027</t>
  </si>
  <si>
    <t>1.4.26.1239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</si>
  <si>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Славянская,153</t>
  </si>
  <si>
    <t>42:12:0102015:2028</t>
  </si>
  <si>
    <t>1.4.26.1240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</si>
  <si>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Славянская,154</t>
  </si>
  <si>
    <t>42:12:0102015:2033</t>
  </si>
  <si>
    <t>1.4.26.1241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</si>
  <si>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Славянская,155</t>
  </si>
  <si>
    <t>42:12:0102015:2030</t>
  </si>
  <si>
    <t>1.4.26.1243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</si>
  <si>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Славянская,157</t>
  </si>
  <si>
    <t>42:12:0102015:2032</t>
  </si>
  <si>
    <t>1.4.26.1244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</si>
  <si>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Славянская,158</t>
  </si>
  <si>
    <t>42:12:0102015:2029</t>
  </si>
  <si>
    <t>1.4.26.1246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</si>
  <si>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Цветочная,18</t>
  </si>
  <si>
    <t>42:12:0102015:2062</t>
  </si>
  <si>
    <t>1.4.26.1249</t>
  </si>
  <si>
    <t>Российская Федерация, Кемеровская область-Кузбасс, Таштагольский муниципальный район, Шерегешское городское поселение, пгт. Шерегеш</t>
  </si>
  <si>
    <t>42:12:0102015:2065</t>
  </si>
  <si>
    <t>1.4.26.1251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</si>
  <si>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Славянская,51</t>
  </si>
  <si>
    <t>42:12:0102015:2017</t>
  </si>
  <si>
    <t>1.4.26.1252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</si>
  <si>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Шахтеров,123</t>
  </si>
  <si>
    <t>42:12:0102015:2059</t>
  </si>
  <si>
    <t>1.4.26.1253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</si>
  <si>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Шахтеров,124</t>
  </si>
  <si>
    <t>42:12:0102015:2058</t>
  </si>
  <si>
    <t>1.4.26.1257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</si>
  <si>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Шахтеров,45 </t>
  </si>
  <si>
    <t>42:12:0102015:1954</t>
  </si>
  <si>
    <t>1.4.26.1258</t>
  </si>
  <si>
    <t>42:12:0102015:1943</t>
  </si>
  <si>
    <t>1.4.26.1259</t>
  </si>
  <si>
    <t>Российская Федерация, Кемеровская область-Кузбасс, Таштагольский муниципальный р-н, Шерегешское городское поселение, пгт. Шерегеш, ул. Снежная,8/3</t>
  </si>
  <si>
    <t>42:12:0102015:2041</t>
  </si>
  <si>
    <t>1.4.26.1260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</si>
  <si>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Шахтеров,129 </t>
  </si>
  <si>
    <t>42:12:0102015:2079</t>
  </si>
  <si>
    <t>1.4.26.1262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</si>
  <si>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Шахтеров,71</t>
  </si>
  <si>
    <t>42:12:0102015:2078</t>
  </si>
  <si>
    <t>1.4.26.1263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</si>
  <si>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Шахтеров,91</t>
  </si>
  <si>
    <t>42:12:0102015:2077</t>
  </si>
  <si>
    <t>Хоккейный корт</t>
  </si>
  <si>
    <t>Кемеровская область, г. Таштагол, ул. Поспелова,8</t>
  </si>
  <si>
    <t>1.1.855</t>
  </si>
  <si>
    <t>42:34:0101070:124</t>
  </si>
  <si>
    <t>1.3.216</t>
  </si>
  <si>
    <t>Кемеровская область, Таштагольский район,п. Калары, ул.Луначарского,48, помещение 1</t>
  </si>
  <si>
    <t>42:12:0108001:373</t>
  </si>
  <si>
    <t xml:space="preserve">Российская Федерация, Кемеровская область, Таштагольский муниципальный район, Таштагольское городское поселение, г. Таштагол, ул. Поспелова, 20, помещение 2 </t>
  </si>
  <si>
    <t xml:space="preserve">Российская Федерация, Кемеровская область, Таштагольский муниципальный район, Таштагольское городское поселение, г. Таштагол, ул. Поспелова,20, помещение 2 </t>
  </si>
  <si>
    <t xml:space="preserve">В безвозмездном пользованим ГАУ «УМФЦ по Кемеровской области» </t>
  </si>
  <si>
    <t>В аренде Кемеровского РФ АО "Россельхозбанк"</t>
  </si>
  <si>
    <t>В аренде Лазаревской Т.С. (на 30 календарных дней)</t>
  </si>
  <si>
    <t>1.2.115.7</t>
  </si>
  <si>
    <t>Встроенное нежилое помещение                                     ("Спортивная стрельба")</t>
  </si>
  <si>
    <t>1.2.115.8</t>
  </si>
  <si>
    <t>Встроенное нежилое помещение                                     ("Спортивный туризм")</t>
  </si>
  <si>
    <t>3-х этажное, кирпичное (1-2 этажи)</t>
  </si>
  <si>
    <t>Кемеровская область, Таштагольский район, пгт.Каз, ул.Зеленая,4а</t>
  </si>
  <si>
    <t xml:space="preserve">Кемеровская область, Таштагольский район, пгт.Каз </t>
  </si>
  <si>
    <t>1.3.13.2</t>
  </si>
  <si>
    <t>В аренде ООО "Таштагольская электрическая компания"</t>
  </si>
  <si>
    <t>В арендном пользовании ИП Кивелевой Н.А.</t>
  </si>
  <si>
    <t>1.3.62.1</t>
  </si>
  <si>
    <t xml:space="preserve">Распр. админстр. Таштагол.муниц. района  от 22.01.2020 №12-р; договор безвоз. польз. </t>
  </si>
  <si>
    <t>Кемеровская область, Таштагольский район, г. Таштагол, ул. Суворова,7</t>
  </si>
  <si>
    <t>1.3.73.4</t>
  </si>
  <si>
    <t>Встроенное нежилое помещение подвала</t>
  </si>
  <si>
    <t>Распр. Админстр. Таштагол.муниц. района  от 11.09.2019 г. №349-р; договор безвозмездного пользования от 11.10.2019 №1625; распр. Админстр. Таштагол.муниц. района  от 27.11.2019 г. №468-р</t>
  </si>
  <si>
    <t xml:space="preserve">Распр. Админстр. Таштагол.муниц. района  от 11.09.2019 г. №349-р; договор безвозмездного пользования от 11.10.2019 №1625; распр. Админстр. Таштагол.муниц. района  от 27.11.2019 г. №468-р; распр. Админстр. Таштагол.муниц. района  от 14.04.2020 г. №113-р-прием 162,6 кв.м </t>
  </si>
  <si>
    <t>В оперативном управлении МАУ "Редакция газеты "Красная Шория"</t>
  </si>
  <si>
    <t>Распр. КУМИ  №403 от 05.09.2011 г.</t>
  </si>
  <si>
    <t>Распр. Админстр. Таштагол.муниц. района  от 27.11.2019 г. №468-р; договор безвозмездного пользования ;</t>
  </si>
  <si>
    <t xml:space="preserve">Распр. Админстр. Таштагол.муниц. района  от 27.11.2019 г. №468-р; договор безвозмездного пользования </t>
  </si>
  <si>
    <t>1.3.74.1</t>
  </si>
  <si>
    <t>В арендном пользовании ООО "Росток"</t>
  </si>
  <si>
    <t>В аренде ИП Костиной О.Ю.</t>
  </si>
  <si>
    <t>1.3.76.1</t>
  </si>
  <si>
    <t>В аренде ИП Остроухова А.В.</t>
  </si>
  <si>
    <t>В безвозмездном пользовании ГКУ "Центр занятости населения города Таштагола"</t>
  </si>
  <si>
    <t>1.5.205.1</t>
  </si>
  <si>
    <t>Сооружение: Канализационные сети от КНС ул.Калинина до канализационного колодца в районе дома №1 по ул.Ленина</t>
  </si>
  <si>
    <t>42:34:0000000:475</t>
  </si>
  <si>
    <t xml:space="preserve"> сталь, d=133 мм</t>
  </si>
  <si>
    <t>протяж. 990 м</t>
  </si>
  <si>
    <t xml:space="preserve">  ООО "Тепло"</t>
  </si>
  <si>
    <r>
      <t>Российская Федерация, Кемероская область, Таштагольский муниципальный район, Таштагольское городское поселение, г. Таштагол, ул. Матросова</t>
    </r>
    <r>
      <rPr>
        <sz val="10"/>
        <color theme="0"/>
        <rFont val="Arial Cyr"/>
        <charset val="204"/>
      </rPr>
      <t>,43</t>
    </r>
    <r>
      <rPr>
        <sz val="11"/>
        <color theme="1"/>
        <rFont val="Calibri"/>
        <family val="2"/>
        <charset val="204"/>
        <scheme val="minor"/>
      </rPr>
      <t/>
    </r>
  </si>
  <si>
    <t>1.1.169.13</t>
  </si>
  <si>
    <t>1.1.169.14</t>
  </si>
  <si>
    <t>42:34:0101037:37</t>
  </si>
  <si>
    <t>42:34:0101037:74</t>
  </si>
  <si>
    <t>1.1.179.5</t>
  </si>
  <si>
    <t>1.1.179.6</t>
  </si>
  <si>
    <t>42:34:0101021:37</t>
  </si>
  <si>
    <t>42:34:0101021:40</t>
  </si>
  <si>
    <t>В аренде  ООО Частная охранная организация "Беркут"</t>
  </si>
  <si>
    <t>1.2.40.3.2.1</t>
  </si>
  <si>
    <t>1.2.40.3.2.2</t>
  </si>
  <si>
    <t>Кемеровская область, г.Таштагол, ул.Поспелова,20,помещение 218/1</t>
  </si>
  <si>
    <t>Кемеровская область, г.Таштагол, ул.Поспелова,20,помещение 218/2</t>
  </si>
  <si>
    <t>В аренде  ООО Частная охранная организация "Дружина"</t>
  </si>
  <si>
    <t>В аренде  ООО Частная охранная организация "Кузбасская Городская Безопасность"</t>
  </si>
  <si>
    <t>1.2.40.5.5</t>
  </si>
  <si>
    <t>В арендном пользовании  Зиновьевой С. В.</t>
  </si>
  <si>
    <t>1.2.175.1</t>
  </si>
  <si>
    <t>42:12:0110001:1805</t>
  </si>
  <si>
    <t>42:12:0115001:815</t>
  </si>
  <si>
    <t>42:12:0115001:816</t>
  </si>
  <si>
    <t>Жилой дом (ранее Административное здание)</t>
  </si>
  <si>
    <t xml:space="preserve">Российская Федерация, Кемеровская область-Кузбасс, Таштагольский муниципальный  район, Усть-Кабырзинское сельское поселение, п. Чилису-Анзас, ул.Кедровая, дом 30
</t>
  </si>
  <si>
    <t>42:12:0113001:204</t>
  </si>
  <si>
    <t xml:space="preserve">  Из прочих материалов </t>
  </si>
  <si>
    <t>В арендном пользовании ООО "Чистый город"</t>
  </si>
  <si>
    <t>В безвоз. пользовании  МБУ  «Губернский центр горнолыжного спорта и сноуборда»</t>
  </si>
  <si>
    <t>1.3.62.2</t>
  </si>
  <si>
    <t>1.4.26.1266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</si>
  <si>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Шахтеров,80</t>
  </si>
  <si>
    <t>42:12:0102015:2084</t>
  </si>
  <si>
    <t>1.4.26.1267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</si>
  <si>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161</t>
  </si>
  <si>
    <t>42:12:0102015:2095</t>
  </si>
  <si>
    <t>1.4.26.1268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</si>
  <si>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162</t>
  </si>
  <si>
    <t>42:12:0102015:2094</t>
  </si>
  <si>
    <t>1.4.26.1269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</si>
  <si>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163</t>
  </si>
  <si>
    <t>42:12:0102015:2093</t>
  </si>
  <si>
    <t>1.4.200</t>
  </si>
  <si>
    <t>Земельный участок, использование: Под многоквартирный жилой дом</t>
  </si>
  <si>
    <t>Кемеровская область, г.Таштагол, ул.Коммунистическая,5</t>
  </si>
  <si>
    <t>42:34:0114014:106</t>
  </si>
  <si>
    <t>1.4.201</t>
  </si>
  <si>
    <t>Земельный участок, использование: Под жилую застройку Малоэтажную</t>
  </si>
  <si>
    <t>Кемеровская область,Таштагольский р-н, г.Таштагол, ул.Коммунистическая,9</t>
  </si>
  <si>
    <t>42:34:0114014:19</t>
  </si>
  <si>
    <t>1.4.202</t>
  </si>
  <si>
    <t>Земельный участок, использование: под многоквартирный жилой дом</t>
  </si>
  <si>
    <t>Кемеровская область, г.Таштагол, ул.Коммунистическая,21</t>
  </si>
  <si>
    <t>42:34:0114016:91</t>
  </si>
  <si>
    <t>1.4.203</t>
  </si>
  <si>
    <t>Земельный участок, использование: коммунальное обслуживание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</si>
  <si>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Садовая,51 </t>
  </si>
  <si>
    <t>42:34:0115012:75</t>
  </si>
  <si>
    <t>1.4.204</t>
  </si>
  <si>
    <t>Кемеровская область, г.Таштагол, ул.Коммунистическая,17</t>
  </si>
  <si>
    <t>42:34:0114016:89</t>
  </si>
  <si>
    <t>1.4.26.1272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</si>
  <si>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Шахтеров,103</t>
  </si>
  <si>
    <t>42:12:0102015:2238</t>
  </si>
  <si>
    <t>1.4.26.1273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</si>
  <si>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Шахтеров,104</t>
  </si>
  <si>
    <t>42:12:0102015:2239</t>
  </si>
  <si>
    <t>1.4.205</t>
  </si>
  <si>
    <t xml:space="preserve">42:12:0106002:978  </t>
  </si>
  <si>
    <t>Встроенные помещения в административном здании Управления</t>
  </si>
  <si>
    <t>42:12:0106002:4792</t>
  </si>
  <si>
    <t>Земельный участок, разрешенное использование: Для размещения иных объектов промышленности, энергетики, транспорта, связи, радиовещания, телевидения, информатики, обеспечения космической деятельности, обороны, безопасности и иного специального назначения</t>
  </si>
  <si>
    <t xml:space="preserve">Российская Федерация, Кемеровская область - Кузбасс, Таштагольский Муниципальный район, Шерегешское городское поселение, поселок городского типа Шерегеш, улица Гагарина, земельный участок 2А </t>
  </si>
  <si>
    <t xml:space="preserve">Аренда </t>
  </si>
  <si>
    <t>ООО "Водоканал"</t>
  </si>
  <si>
    <t>ООО "Тепло"</t>
  </si>
  <si>
    <t>1.4.26.1274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</si>
  <si>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167 </t>
  </si>
  <si>
    <t>42:12:0102015:2252</t>
  </si>
  <si>
    <t xml:space="preserve">Нежилое помещение, Пристроенное нежилое помещение склада </t>
  </si>
  <si>
    <t xml:space="preserve"> Российская Федерация, Кемеровская область - Кузбасс, Таштагольский Муниципальный район,Шерегешское городское поселение, поселок городского типа Шерегеш, улица Гагарина, здание 2А  
</t>
  </si>
  <si>
    <t>1.4.26.1276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</si>
  <si>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175</t>
  </si>
  <si>
    <t>42:12:0102015:2259</t>
  </si>
  <si>
    <t>1.4.26.1277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</si>
  <si>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177</t>
  </si>
  <si>
    <t xml:space="preserve">42:12:0102015:2257
</t>
  </si>
  <si>
    <t>1.4.26.1278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</si>
  <si>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178</t>
  </si>
  <si>
    <t>42:12:0102015:2254</t>
  </si>
  <si>
    <t>1.4.26.1279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</si>
  <si>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180</t>
  </si>
  <si>
    <t>42:12:0102015:2253</t>
  </si>
  <si>
    <t>1.4.26.1280</t>
  </si>
  <si>
    <t>42:12:0102015:2245</t>
  </si>
  <si>
    <t>1.4.26.1281</t>
  </si>
  <si>
    <t>42:12:0102015:2246</t>
  </si>
  <si>
    <t>1.4.26.1282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</si>
  <si>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Шахтеров,140 </t>
  </si>
  <si>
    <t>42:12:0102015:2249</t>
  </si>
  <si>
    <t>1.4.26.1283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</si>
  <si>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Ледовая,93</t>
  </si>
  <si>
    <t>42:12:0102015:2242</t>
  </si>
  <si>
    <t>1.4.26.1286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</si>
  <si>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176</t>
  </si>
  <si>
    <t>42:12:0102015:2260</t>
  </si>
  <si>
    <t>1.4.26.1287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</si>
  <si>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169</t>
  </si>
  <si>
    <t>42:12:0102015:2262</t>
  </si>
  <si>
    <t>1.4.26.1288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</si>
  <si>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171</t>
  </si>
  <si>
    <t>42:12:0102015:2263</t>
  </si>
  <si>
    <t>1.4.26.1290</t>
  </si>
  <si>
    <t>42:12:0102015:2269</t>
  </si>
  <si>
    <t>1.4.26.1291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</si>
  <si>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180 </t>
  </si>
  <si>
    <t>42:12:0102015:2268</t>
  </si>
  <si>
    <t>1.4.26.1292</t>
  </si>
  <si>
    <t>Земельный участок  для использования : для индивидуального жилищного строительства</t>
  </si>
  <si>
    <t>42:12:0102015:2272</t>
  </si>
  <si>
    <t>1.4.26.1293</t>
  </si>
  <si>
    <t>42:12:0102015:2274</t>
  </si>
  <si>
    <t>1.4.26.1294</t>
  </si>
  <si>
    <t>42:12:0102015:2279</t>
  </si>
  <si>
    <t>1.4.26.1295</t>
  </si>
  <si>
    <t>42:12:0102015:2280</t>
  </si>
  <si>
    <t>1.1.814.25</t>
  </si>
  <si>
    <t xml:space="preserve">42:34:0114008:101 </t>
  </si>
  <si>
    <t>Здание (Нежилое здание, Здание)  (почта-99,9 кв.м; сбербанк-83,9 кв.м-в собственности)</t>
  </si>
  <si>
    <t xml:space="preserve">Кемеровская область - Кузбасс, Таштагольский район, пгт. Мундыбаш, ул. Ленина, д.22 </t>
  </si>
  <si>
    <t>3-х этажное, кирпичное  (с цокольным этажом)-цокол. этаж ( банкомат)</t>
  </si>
  <si>
    <t>/2911,0/</t>
  </si>
  <si>
    <t>/16007734,55/</t>
  </si>
  <si>
    <t>В аренде Шабалиной М.И.</t>
  </si>
  <si>
    <t xml:space="preserve">В аренде Абдулиной Е.А.  </t>
  </si>
  <si>
    <t>1.2.157.22</t>
  </si>
  <si>
    <t>В безвозмездном пользовании МАУ "Многофункциональный центр"</t>
  </si>
  <si>
    <t>В безвозмезд. польз.  МАУ "Многофункциональный центр"</t>
  </si>
  <si>
    <t>1.1.462.4</t>
  </si>
  <si>
    <t>42:12:0104005:365</t>
  </si>
  <si>
    <t>1.1.850.56</t>
  </si>
  <si>
    <t>1.1.850.57</t>
  </si>
  <si>
    <t>42:12:0106002:4466</t>
  </si>
  <si>
    <t>42:12:0106002:4467</t>
  </si>
  <si>
    <t>1.1.846.19</t>
  </si>
  <si>
    <t>42:12:0105002:3401</t>
  </si>
  <si>
    <t>1.1.825.27</t>
  </si>
  <si>
    <t>42:12:0104001:3623</t>
  </si>
  <si>
    <t>1.4.207</t>
  </si>
  <si>
    <t>Кемеровская область, г. Таштагол, ул. Ленина, д. 16</t>
  </si>
  <si>
    <t>1.4.208</t>
  </si>
  <si>
    <t xml:space="preserve">Кемеровская область, г. Таштагол, ул. Ленина, д. 20 </t>
  </si>
  <si>
    <t>1.4.209</t>
  </si>
  <si>
    <t xml:space="preserve">Кемеровская область, Таштагольский район, пгт.Темиртау, ул.Центральная,29  </t>
  </si>
  <si>
    <t>42:12:0105002:72</t>
  </si>
  <si>
    <t xml:space="preserve">МБУ ДО «Школа искусств №64» 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</si>
  <si>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119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</si>
  <si>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117</t>
  </si>
  <si>
    <t>1.4.26.1298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</si>
  <si>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18</t>
  </si>
  <si>
    <t>42:12:0102015:2299</t>
  </si>
  <si>
    <t>1.4.210</t>
  </si>
  <si>
    <t>Земельный участок, использование: Коммунальное обслуживание</t>
  </si>
  <si>
    <t>42:34:0114013:187</t>
  </si>
  <si>
    <t xml:space="preserve"> Российская Федерация, Кемеровская область-Кузбасс, Таштагольский муниципальный район,
Шерегешское городское поселение, пгт. Шерегеш, ул.Шахтеров, земельный участок №96</t>
  </si>
  <si>
    <t>1.4.26.1301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</si>
  <si>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Ледовая,200 </t>
  </si>
  <si>
    <t>42:12:0102015:2293</t>
  </si>
  <si>
    <t>1.4.26.1302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</si>
  <si>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ул.Строителей, 56/1 </t>
  </si>
  <si>
    <t>42:12:0102015:2297</t>
  </si>
  <si>
    <t>Земельный участок, использование: Религиозное использование,для размещения культовых зданий</t>
  </si>
  <si>
    <t>1.3.217</t>
  </si>
  <si>
    <t>Кемеровская область, Таштагольский район, пгт.Темиртау, ул.Центральная,24</t>
  </si>
  <si>
    <t>42:12:0105002:3694</t>
  </si>
  <si>
    <t>1.1.179.8</t>
  </si>
  <si>
    <t>1.1.179.9</t>
  </si>
  <si>
    <t>1.1.179.10</t>
  </si>
  <si>
    <t>42:34:0101021:45</t>
  </si>
  <si>
    <t>42:34:0101021:41</t>
  </si>
  <si>
    <t>42:34:0101021:38</t>
  </si>
  <si>
    <t>42:34:0101021:47</t>
  </si>
  <si>
    <t>1.4.26.1303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</si>
  <si>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Шахтеров,113</t>
  </si>
  <si>
    <t>42:12:0102015:2306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</si>
  <si>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ул.Шахтеров, земельный участок 95</t>
  </si>
  <si>
    <t>1.4.26.1304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</si>
  <si>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д. 217</t>
  </si>
  <si>
    <t>42:12:0102015:2327</t>
  </si>
  <si>
    <t>42:12:0104001:4353</t>
  </si>
  <si>
    <t>42:12:0106002:4261</t>
  </si>
  <si>
    <t>1.1.857</t>
  </si>
  <si>
    <t>42:12:0102006:1802</t>
  </si>
  <si>
    <t>1.4.211</t>
  </si>
  <si>
    <t>42:12:0106002:4804</t>
  </si>
  <si>
    <t>1.1.858</t>
  </si>
  <si>
    <t>25/4</t>
  </si>
  <si>
    <t>42:34:0000000:603</t>
  </si>
  <si>
    <t>Двухэтажное,ж/б блоки</t>
  </si>
  <si>
    <t>1.1.858.1</t>
  </si>
  <si>
    <t>42:34:0000000:608</t>
  </si>
  <si>
    <t>1.1.858.2</t>
  </si>
  <si>
    <t>42:34:0000000:609</t>
  </si>
  <si>
    <t>1.1.858.3</t>
  </si>
  <si>
    <t>42:34:0000000:610</t>
  </si>
  <si>
    <t>1.1.858.4</t>
  </si>
  <si>
    <t>42:34:0000000:611</t>
  </si>
  <si>
    <t>1.1.858.5</t>
  </si>
  <si>
    <t>42:34:0000000:613</t>
  </si>
  <si>
    <t>1.1.858.6</t>
  </si>
  <si>
    <t>42:34:0000000:614</t>
  </si>
  <si>
    <t>1.1.766.70</t>
  </si>
  <si>
    <t>42:34:0106002:1052  (ранее- 42:34:000000:0000:5828/1:0039/А)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</si>
  <si>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Рябиновая,123 </t>
  </si>
  <si>
    <t>42:12:0102015:2310</t>
  </si>
  <si>
    <t>1.4.26.1309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</si>
  <si>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ул.Ледовая,25 </t>
  </si>
  <si>
    <t>42:12:0102015:2298</t>
  </si>
  <si>
    <t>1.4.26.1307</t>
  </si>
  <si>
    <t>1.1.833.25</t>
  </si>
  <si>
    <t>1.1.833.26</t>
  </si>
  <si>
    <t>42:12:0106002:4259</t>
  </si>
  <si>
    <t>1.1.859</t>
  </si>
  <si>
    <t>25/1</t>
  </si>
  <si>
    <t>42:34:0114017:283</t>
  </si>
  <si>
    <t>1.1.859.1</t>
  </si>
  <si>
    <t>42:34:0114017:288</t>
  </si>
  <si>
    <t>1.1.859.2</t>
  </si>
  <si>
    <t>42:34:0114017:289</t>
  </si>
  <si>
    <t>1.1.859.3</t>
  </si>
  <si>
    <t>42:34:0114017:290</t>
  </si>
  <si>
    <t>1.1.859.4</t>
  </si>
  <si>
    <t>42:34:0114017:291</t>
  </si>
  <si>
    <t>1.1.859.5</t>
  </si>
  <si>
    <t>42:34:0114017:292</t>
  </si>
  <si>
    <t>1.1.859.6</t>
  </si>
  <si>
    <t>42:34:0114017:293</t>
  </si>
  <si>
    <t>1.1.859.7</t>
  </si>
  <si>
    <t>42:34:0114017:294</t>
  </si>
  <si>
    <t>1.1.859.8</t>
  </si>
  <si>
    <t>42:34:0114017:295</t>
  </si>
  <si>
    <t>1.1.859.9</t>
  </si>
  <si>
    <t>42:34:0114017:285</t>
  </si>
  <si>
    <t>1.1.860</t>
  </si>
  <si>
    <t>25/2</t>
  </si>
  <si>
    <t>42:34:0114017:257</t>
  </si>
  <si>
    <t>1.1.860.1</t>
  </si>
  <si>
    <t>42:34:0114017:262</t>
  </si>
  <si>
    <t>1.1.860.2</t>
  </si>
  <si>
    <t>42:34:0114017:263</t>
  </si>
  <si>
    <t>1.1.860.3</t>
  </si>
  <si>
    <t>42:34:0114017:264</t>
  </si>
  <si>
    <t>1.1.860.4</t>
  </si>
  <si>
    <t>42:34:0114017:265</t>
  </si>
  <si>
    <t>1.1.860.5</t>
  </si>
  <si>
    <t>42:34:0114017:266</t>
  </si>
  <si>
    <t>1.1.860.6</t>
  </si>
  <si>
    <t>42:34:0114017:267</t>
  </si>
  <si>
    <t>1.1.860.7</t>
  </si>
  <si>
    <t>42:34:0114017:268</t>
  </si>
  <si>
    <t>1.1.861</t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</si>
  <si>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,25/3</t>
    </r>
  </si>
  <si>
    <t>25/3</t>
  </si>
  <si>
    <t>42:34:0114017:270</t>
  </si>
  <si>
    <t>1.1.861.1</t>
  </si>
  <si>
    <t>42:34:0114017:275</t>
  </si>
  <si>
    <t>1.1.861.2</t>
  </si>
  <si>
    <t>42:34:0114017:276</t>
  </si>
  <si>
    <t>1.1.861.3</t>
  </si>
  <si>
    <t>42:34:0114017:277</t>
  </si>
  <si>
    <t>1.1.861.4</t>
  </si>
  <si>
    <t>42:34:0114017:278</t>
  </si>
  <si>
    <t>1.1.861.5</t>
  </si>
  <si>
    <t>42:34:0114017:279</t>
  </si>
  <si>
    <t>1.1.861.6</t>
  </si>
  <si>
    <t>42:34:0114017:280</t>
  </si>
  <si>
    <t>1.1.861.7</t>
  </si>
  <si>
    <t>42:34:0114017:281</t>
  </si>
  <si>
    <t>1.1.861.8</t>
  </si>
  <si>
    <t>42:34:0114017:282</t>
  </si>
  <si>
    <t>1.1.861.9</t>
  </si>
  <si>
    <t>42:34:0114017:259</t>
  </si>
  <si>
    <t>1.1.858.7</t>
  </si>
  <si>
    <t>42:34:0000000:612</t>
  </si>
  <si>
    <t>1.1.858.8</t>
  </si>
  <si>
    <t>42:34:0000000:615</t>
  </si>
  <si>
    <t>1.1.860.8</t>
  </si>
  <si>
    <t>42:34:0114017:271</t>
  </si>
  <si>
    <r>
      <t>Кемеровская область, Таштагольский район, пос.Амзасс (Алгаин), ул.Станционная</t>
    </r>
    <r>
      <rPr>
        <sz val="10"/>
        <rFont val="Arial Cyr"/>
        <charset val="204"/>
      </rPr>
      <t>,2</t>
    </r>
  </si>
  <si>
    <r>
      <t>Кемеровская область, Таштагольский район, пос.Амзас (Алгаин), ул.Станционная</t>
    </r>
    <r>
      <rPr>
        <sz val="10"/>
        <rFont val="Arial Cyr"/>
        <charset val="204"/>
      </rPr>
      <t>,3</t>
    </r>
  </si>
  <si>
    <r>
      <t>Кемеровская область, Таштагольский район, пос.Амзас (Алгаин), ул.Станционная</t>
    </r>
    <r>
      <rPr>
        <sz val="10"/>
        <rFont val="Arial Cyr"/>
        <charset val="204"/>
      </rPr>
      <t>,6</t>
    </r>
  </si>
  <si>
    <r>
      <t>Кемеровская область, Таштагольский район, пгт.Каз,ул.Горноспасательная</t>
    </r>
    <r>
      <rPr>
        <sz val="10"/>
        <rFont val="Arial Cyr"/>
        <charset val="204"/>
      </rPr>
      <t>,1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</si>
  <si>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,28</t>
    </r>
  </si>
  <si>
    <t>1.3.193.6</t>
  </si>
  <si>
    <t>В аренде ООО «Кадастровый инженер»       (Кузьмин М.В.)</t>
  </si>
  <si>
    <t>В арендном пользовании Сумочаковой М.В.</t>
  </si>
  <si>
    <t>1.4.26.1310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</si>
  <si>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Шахтеров,земельный участок 94</t>
  </si>
  <si>
    <t>42:12:0102015:2366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</si>
  <si>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Школьная, земельный участок 40 </t>
  </si>
  <si>
    <t>400,8</t>
  </si>
  <si>
    <t>Частный нотариус  Фахретдинова Е.Р.</t>
  </si>
  <si>
    <t>Распр. админстр. Таштагол. муниц. района от 12.02.2019 г.№58-р; договор аренды №5/2019 от 31.03.2019; доп.согл. №1 к от 28.03.2019; распр КУМИ ТМР от 30.12.2019 №17; договор аренды №5 от 30.12.2019 (01.01.2020-30.01.2020)</t>
  </si>
  <si>
    <t>В аренде Масловой И.И.</t>
  </si>
  <si>
    <t>Россия, Кемеровская область-Кузбасс, Таштагольский муниципальный район, Таштагольское городское поселение, г. Таштагол, ул.8 Марта, 2, помещение 1</t>
  </si>
  <si>
    <t>Распр. КУМИ Таштагол.муниц. района  от 12.02.2020 г. №3 (на 30 дней); договор аренды №23 от 12.02.2020 (12.02.2020-12.03.2020); протокол открытого аукциона №2 от 13.04.2020: договор аренды №48 от 13.04.2020 (24.04.2020-23.04.2025)</t>
  </si>
  <si>
    <t>Распр. КУМИ Таштагол.муниц. района  от 25.02.2020 г. №8 (на 30 дней); договор аренды №29 от 25.02.2020 (04.03.2020-02.04.2020); распр. Админстр. Таштагол.муниц. района  от 267.11.2020 г. №407-р; договор аренды №49 от 13.04.2020 (24.04.2020-23.04.2025)</t>
  </si>
  <si>
    <t>Распр. админстр. Таштагол. муниц. района от 08.02.2017 г. №80-р; договор  аренды №50 от 20.04.2020 (23.03.2020-22.02.2021)</t>
  </si>
  <si>
    <t>Распр. КУМИ ТМР Таштагол.муниц. района  от 27.03.2020г. №13 (на 30 дней); договор аренды № 46 от 27.03.2020 (01.04.2020-30.04.2020); протокол открытого аукциона №3 от 21.05.2020: договор аренды №58 от 21.05.2020 (01.06.2020-31.05.2025)</t>
  </si>
  <si>
    <t>Ст.11.1 "Основы законадательства РФ о нотариате" от 11.02.1993 №4462-1; договор аренды №2 от 31.12.2019 (01.01.2020-30.12.2020)</t>
  </si>
  <si>
    <t>В аренде ООО «Кузбасские телефонные сети»</t>
  </si>
  <si>
    <t>п.7 ст. 17.1. ФЗ РФ от 26.07.2006 №135-ФЗ; договор аренды №20/334-2020 от 31.01.2020 г.  (01.01.2020-31.12.2020)</t>
  </si>
  <si>
    <t xml:space="preserve">ст. 17.1. ФЗ РФ от 26.07.2006 №135-ФЗ; договор аренды №28 от 28.02.2020 г.  (01.03.2020-28.02.2025); № 42:12:0106002:4495-42/012/2020-13  от 13.03.2020  (Аренда); № 42:12:0106002:4495-42/012/2020-15  от 08.04.2020  (Аренда) </t>
  </si>
  <si>
    <t>ст. 17.1. ФЗ РФ от 26.07.2006 №135-ФЗ; договор аренды №40 от  18.03.2020 г.  (07.03.2020-05.03.2021)</t>
  </si>
  <si>
    <t>ст. 17.1. ФЗ РФ от 26.07.2006 №135-ФЗ; договор аренды №53 от 24.04.2020 г.  (26.03.2020-24.03.2021)</t>
  </si>
  <si>
    <t>В арендном пользовании Серовой Е.А.</t>
  </si>
  <si>
    <t>Распр.КУМИ ТМР от 30.12.2019 №16 (на 30 календарных дней);  договор аренды №4 от 30.12.2019 г. (01.01.2020-30.12.2020);  ст. 17.1. ФЗ РФ от 26.07.2006 №135-ФЗ; договор аренды №66 от 01.06.2020 г. (21.05.2020-19.05.2021)</t>
  </si>
  <si>
    <t>ст. 17.1. ФЗ РФ от 26.07.2006 №135-ФЗ; договор аренды №72 от 09.06.2020 г.  ( 08.01.2020-06.01.2021)</t>
  </si>
  <si>
    <t>Распр. КУМИ ТМР от 01.07.2020 г. №25 (на 30 календарных дней); договор аренды №78 от 01.07.2020 (01.07.2020-30.07.2020)</t>
  </si>
  <si>
    <t>1.2.157.23</t>
  </si>
  <si>
    <t>п.7 ст. 17.1. ФЗ РФ от 26.07.2006 №135-ФЗ; договор аренды №80/2020/4-6  от 20.03.2020 г. (01.09.2020-31.07.2021)</t>
  </si>
  <si>
    <t>ст. 17.1. ФЗ РФ от 26.07.2006 №135-ФЗ; договор аренды №812 от 31.07.2020 г.  (31.07.2020-29.07.2021)</t>
  </si>
  <si>
    <t>В аренде ООО "Кадастровый центр"</t>
  </si>
  <si>
    <t>ст. 17.1. ФЗ РФ от 26.07.2006 №135-ФЗ; договор аренды №83 от 05.08.2020 г.  (30.05.2020-28.05.2021)</t>
  </si>
  <si>
    <t>ст. 17.1. ФЗ РФ от 26.07.2006 №135-ФЗ; договор аренды №84 от 10.08.2020 г. ( 31.07.2020-29.07.2021)</t>
  </si>
  <si>
    <t>В арендном пользовании Таштаголского государственного пассажирского автотранспортного предприятия Кузбасса</t>
  </si>
  <si>
    <t>п.7 ст. 17.1. ФЗ РФ от 26.07.2006 №135-ФЗ; договор аренды №90 от 24.08.2020 г.  (01.03.2020-31.01.2021)</t>
  </si>
  <si>
    <t>п.7 ст. 17.1. ФЗ РФ от 26.07.2006 №135-ФЗ; договор аренды №91 от 24.08.2020 г.  ( 01.03.2020-31.01.2021)</t>
  </si>
  <si>
    <t>п.7 ст. 17.1. ФЗ РФ от 26.07.2006 №135-ФЗ; договор аренды №92  от 24.08.2020 г. (01.07.2020-31.05.2021)</t>
  </si>
  <si>
    <t>Кемеровская область, г.Таштагол, ул.Поспелова,20,помещение 315/1</t>
  </si>
  <si>
    <t>1.2.40.4.15.1</t>
  </si>
  <si>
    <t>Кемеровская область, г.Таштагол, ул.Поспелова,20,помещение 315/2</t>
  </si>
  <si>
    <t>Распр. КУМИ Таштагол.муниц. района №19 от 27.05.2020 г.  (на 30 календарных дней); договор аренды №61 от 27.05.2020  (01.06.2020-30.06.2020); протокол открытого аукциона №5 от 04.09.2020: договор аренды №100 от 04.09.2020 (15.09.2020-13.09.2021)</t>
  </si>
  <si>
    <t xml:space="preserve">п.7 ст. 17.1. ФЗ РФ от 26.07.2006 №135-ФЗ; договор аренды №106 от 08.09.2020 г.  (05.08.2020-03.08.2021) </t>
  </si>
  <si>
    <t xml:space="preserve">№ 42-42-12/007/2010-187  от 29.06.2010  (Аренда); ст. 17.1. ФЗ РФ от 26.07.2006 №135-ФЗ; договор аренды  №107 от 08.09.2020 г. (21.05.2020-19.05.2021) </t>
  </si>
  <si>
    <t xml:space="preserve">Распр. КУМИ Таштагол. муниц. района от 19.06.2020 г. №23 (на 30 квлендарных дней); договор аренды №75 от 19.06.2020 (22.06.2020-21.07.2020); протокол открытого аукциона №7 от 09.10.2020: договор аренды №115 от 09.10.2020 (20.10.2020-18.10.2021) </t>
  </si>
  <si>
    <t>Встроенное нежилое помещение (магазин "Маленькая страна" )</t>
  </si>
  <si>
    <t>Распр.КУМИ ТМР от 06.10.2020 №36 (на 30 календарных дней); договор аренды №123 от 06.10.2020 (09.11.2020-08.12.2020) ; протокол открытого аукциона №8 от 28.12.2020: договор аренды №140 от 28.12.2020 (08.01.2021-06.01.2022)</t>
  </si>
  <si>
    <t>1.4.26.1311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</si>
  <si>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Рябиновая,143</t>
  </si>
  <si>
    <t>42:12:0102015:2344</t>
  </si>
  <si>
    <t>1.4.26.1312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</si>
  <si>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Рябиновая,144</t>
  </si>
  <si>
    <t>42:12:0102015:2341</t>
  </si>
  <si>
    <t>1.4.26.1314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</si>
  <si>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Рябиновая,151</t>
  </si>
  <si>
    <t>42:12:0102015:2372</t>
  </si>
  <si>
    <t>1.4.26.1315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</si>
  <si>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Рябиновая,152</t>
  </si>
  <si>
    <t>42:12:0102015:2373</t>
  </si>
  <si>
    <t>1.4.26.1316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</si>
  <si>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Рябиновая,153</t>
  </si>
  <si>
    <t>42:12:0102015:2368</t>
  </si>
  <si>
    <t>1.4.26.1317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</si>
  <si>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Ледовая,198</t>
  </si>
  <si>
    <t>42:12:0102015:2369</t>
  </si>
  <si>
    <t>1.4.26.1318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</si>
  <si>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Рябиновая,160 </t>
  </si>
  <si>
    <t>42:12:0102015:2365</t>
  </si>
  <si>
    <t>1.4.26.1319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</si>
  <si>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Ледовая,199 </t>
  </si>
  <si>
    <t xml:space="preserve">  42:12:0102015:2353</t>
  </si>
  <si>
    <t>1.4.26.1320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</si>
  <si>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Строителей, земельный участок 148 </t>
  </si>
  <si>
    <t>42:12:0102015:2362</t>
  </si>
  <si>
    <t>1.4.26.1322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</si>
  <si>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Рябиновая,161 </t>
  </si>
  <si>
    <t>42:12:0102015:2360</t>
  </si>
  <si>
    <t>1.4.26.1323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</si>
  <si>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Славянская, земельный участок 176</t>
  </si>
  <si>
    <t>42:12:0102015:2379</t>
  </si>
  <si>
    <t>1.4.26.1326</t>
  </si>
  <si>
    <t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157</t>
  </si>
  <si>
    <t>42:12:0102015:2345</t>
  </si>
  <si>
    <t>1.4.26.1327</t>
  </si>
  <si>
    <t xml:space="preserve">Российская Федерация, Кемеровская область-Кузбасс, Таштагольский муниципальный район, Шерегешское городскоке поселение, пгт. Шерегеш ул. Славянская,140 </t>
  </si>
  <si>
    <t>42:12:0102015:2374</t>
  </si>
  <si>
    <t>МКОУ "Основная общеобразовательная школа №26"</t>
  </si>
  <si>
    <t>МБОУ "Гимназия №2"</t>
  </si>
  <si>
    <t xml:space="preserve">Кемеровская область, Таштагольский муниципальный район, Кызыл-Шорское сельское поселение, п. Чулеш, ул. Приисковая,1Б </t>
  </si>
  <si>
    <t>Реорганизация МКОУ детский сад №5  «Петрушка» путем присоединения к ней  МБДОУ «Детский сад  №1 «Красная Шапочка»   -приказ МКУ "Управ. образования админ. Таштагол. муниц. района от 18.02.2019 г. №29.2</t>
  </si>
  <si>
    <t>ООО "ЮКЭК"</t>
  </si>
  <si>
    <t>МКУ "Управление по физической культуре и спорту администрации Таштагольского муниципального района"</t>
  </si>
  <si>
    <t xml:space="preserve">Муниципальное бюджетное общеобразовательное учреждение «Средняя общеобразовательная  школа №11» </t>
  </si>
  <si>
    <t>Муниципальное бюджетное образовательное учреждение дополнительного образования "Детско-юношеская спортивная школа"</t>
  </si>
  <si>
    <t xml:space="preserve">Кемеровская область, Таштагольский район, г Таштагол, ул Поспелова,20 </t>
  </si>
  <si>
    <t>42:34:0106003:14</t>
  </si>
  <si>
    <t>1.4.26.1328</t>
  </si>
  <si>
    <t>42:12:0102015:2389</t>
  </si>
  <si>
    <t>1.4.26.1329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</si>
  <si>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Шахтеров,109</t>
  </si>
  <si>
    <t>42:12:0102015:2390</t>
  </si>
  <si>
    <t>42:34:0114009:179</t>
  </si>
  <si>
    <t>1.4.26.1331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</si>
  <si>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Ореховая,122</t>
  </si>
  <si>
    <t>42:12:0102015:2392</t>
  </si>
  <si>
    <t>1.4.26.1332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</si>
  <si>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Ореховая,121</t>
  </si>
  <si>
    <t>42:12:0102015:2393</t>
  </si>
  <si>
    <t>1.4.26.1333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</si>
  <si>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124</t>
  </si>
  <si>
    <t>42:12:0102015:2394</t>
  </si>
  <si>
    <t>1.4.26.1334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</si>
  <si>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Орехова, д. 125</t>
  </si>
  <si>
    <t>42:12:0102015:2396</t>
  </si>
  <si>
    <t>1.4.26.1336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</si>
  <si>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Ореховая,127</t>
  </si>
  <si>
    <t>1.4.26.1.2</t>
  </si>
  <si>
    <t>1.4.26.1338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</si>
  <si>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126</t>
  </si>
  <si>
    <t>42:12:0102015:2407</t>
  </si>
  <si>
    <t>1.4.26.1340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</si>
  <si>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Славянская,172 </t>
  </si>
  <si>
    <t>42:12:0102015:2400</t>
  </si>
  <si>
    <t>1.4.26.1341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</si>
  <si>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Славянская,174 </t>
  </si>
  <si>
    <t>42:12:0102015:2401</t>
  </si>
  <si>
    <t>Протокол №3 по сообщению №141020/0150087/01 от 11.12.2020; концессионное соглашение №1 от 30.12.2020 г. (01.01.2021-31.12.2035 гг.)</t>
  </si>
  <si>
    <t>Распр. админстр. Таштагол. муниц. района от от 22.12.2020 г. №478-р: концессионное соглашение  от 30.12.2020 г. (01.01.2021-31.12.2031 гг.)</t>
  </si>
  <si>
    <t>1.4.212</t>
  </si>
  <si>
    <t>42:12:0111001:112</t>
  </si>
  <si>
    <t>1.4.213</t>
  </si>
  <si>
    <t>42:12:0106002:772</t>
  </si>
  <si>
    <t>1.4.214</t>
  </si>
  <si>
    <t>Земельный участок, использование: Под отдельно стоящее нежилое здание водонасосной станции</t>
  </si>
  <si>
    <t>42:12:0114002:780</t>
  </si>
  <si>
    <t>1.4.26.1342</t>
  </si>
  <si>
    <t>Кемеровская область, Таштагольский район, пгт. Шерегеш, ул. Славянская, д.178</t>
  </si>
  <si>
    <t>42:12:0102015:2415</t>
  </si>
  <si>
    <t>1.4.26.1345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</si>
  <si>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147</t>
  </si>
  <si>
    <t>42:12:0102015:2417</t>
  </si>
  <si>
    <t>1.4.26.1347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</si>
  <si>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Рябиновая,156 </t>
  </si>
  <si>
    <t>42:12:0102015:2387</t>
  </si>
  <si>
    <t>1.4.26.1348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</si>
  <si>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155 </t>
  </si>
  <si>
    <t>42:12:0102015:2418</t>
  </si>
  <si>
    <t>1.4.26.1349</t>
  </si>
  <si>
    <t>42:12:0102015:2422</t>
  </si>
  <si>
    <t>1.4.26.1350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</si>
  <si>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159 </t>
  </si>
  <si>
    <t>42:12:0102015:2423</t>
  </si>
  <si>
    <t>1.4.26.1351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</si>
  <si>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участок 199 </t>
  </si>
  <si>
    <t>42:12:0102015:2424</t>
  </si>
  <si>
    <t>Земельный участок  : Для размещения туристических баз, стационарных и палаточных туристско-оздоровительных лагерей, домов рыболова и охотника, детских туристических станций</t>
  </si>
  <si>
    <t xml:space="preserve">Российская Федерация, Кемеровская область-Кузбасс, Таштагольский муниципальный р-н, Шерегешское городское поселение, пгт. Шерегеш </t>
  </si>
  <si>
    <t>1.4.26.1353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</si>
  <si>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154</t>
  </si>
  <si>
    <t>42:12:0102015:2437</t>
  </si>
  <si>
    <t>1.4.26.1354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</si>
  <si>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158 </t>
  </si>
  <si>
    <t>42:12:0102015:2440</t>
  </si>
  <si>
    <t>1.4.26.1355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</si>
  <si>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187 </t>
  </si>
  <si>
    <t>42:12:0102015:2433</t>
  </si>
  <si>
    <t>1.4.26.1357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</si>
  <si>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142 </t>
  </si>
  <si>
    <t>42:12:0102015:2388</t>
  </si>
  <si>
    <t>1.4.26.1359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</si>
  <si>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уч. 94 </t>
  </si>
  <si>
    <t xml:space="preserve">  42:12:0102015:2376</t>
  </si>
  <si>
    <t>1.4.26.1360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</si>
  <si>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135 </t>
  </si>
  <si>
    <t xml:space="preserve">  42:12:0102015:2408</t>
  </si>
  <si>
    <t>1.4.26.1361</t>
  </si>
  <si>
    <t xml:space="preserve">  42:12:0102015:2441</t>
  </si>
  <si>
    <t>1.4.26.1362</t>
  </si>
  <si>
    <t>42:12:0102015:2435</t>
  </si>
  <si>
    <t>1.4.215</t>
  </si>
  <si>
    <t>1.4.219</t>
  </si>
  <si>
    <t>Земельный участок, использование: Для размещения промышленных объектов (Под промышленную зону)</t>
  </si>
  <si>
    <t xml:space="preserve">Российская Федерация, Кемеровская область-Кузбасс, Таштагольский муниципальный район, Мундыбашское городское поселение, пгт. Мундыбаш, ул. Октябрьская, земельный участок 33/2 </t>
  </si>
  <si>
    <t>42:12:0106002:4812</t>
  </si>
  <si>
    <t>1.4.220</t>
  </si>
  <si>
    <t>Российская Федерация, Кемеровская область-Кузбасс, Таштагольский муниципальный район, Мундыбашское городское поселение, пгт. Мундыбаш, ул. Октябрьская, земельный участок 33/1</t>
  </si>
  <si>
    <t>42:12:0106002:4811</t>
  </si>
  <si>
    <t>Здание/П12430006867</t>
  </si>
  <si>
    <t xml:space="preserve">Кемеровская область, р-н. Таштагольский, г. Таштагол, ул. Геологическая, д. № 8 </t>
  </si>
  <si>
    <t xml:space="preserve">  42:34:0104006:49</t>
  </si>
  <si>
    <t xml:space="preserve">1-но этажное, из прочих материалов </t>
  </si>
  <si>
    <t>1.4.26.1364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</si>
  <si>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Славянская,168</t>
  </si>
  <si>
    <t>42:12:0102015:2471</t>
  </si>
  <si>
    <t>1.4.26.1366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</si>
  <si>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162</t>
  </si>
  <si>
    <t>42:12:0102015:2475</t>
  </si>
  <si>
    <t>1.1.693.</t>
  </si>
  <si>
    <t>42:12:0111001:123</t>
  </si>
  <si>
    <t>1.4.26.1367</t>
  </si>
  <si>
    <t>1.4.26.1368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</si>
  <si>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163</t>
  </si>
  <si>
    <t>42:12:0102015:2479</t>
  </si>
  <si>
    <t>Российская Федерация, Кемеровская область-Кузбасс, Таштагольский муниципальный район,Шерегешское городское поселение, пгт Шерегеш, ул Славянская, земельный участок 164</t>
  </si>
  <si>
    <t>42:12:0102015:2481</t>
  </si>
  <si>
    <t>1.4.26.1369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</si>
  <si>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161</t>
  </si>
  <si>
    <t>42:12:0102015:2483</t>
  </si>
  <si>
    <t>1.4.26.1370</t>
  </si>
  <si>
    <t>1.4.26.1371</t>
  </si>
  <si>
    <t>1.4.26.1372</t>
  </si>
  <si>
    <t xml:space="preserve"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Ключевая, земельный участок 29/1 </t>
  </si>
  <si>
    <t>42:12:0102015:2461</t>
  </si>
  <si>
    <t>1.4.26.1373</t>
  </si>
  <si>
    <t xml:space="preserve">Российская Федерация, Кемеровская область-Кузбасс, Таштагольский муниципалный район, Шерегешское городское поселение, пгт. Шерегеш, ул. Рябиновая, земельный участок 167 </t>
  </si>
  <si>
    <t>42:12:0102015:2484</t>
  </si>
  <si>
    <t>1.4.26.1374</t>
  </si>
  <si>
    <t xml:space="preserve">Российская Федерация, Кемеровская область - Кузбасс, муниципальный район Таштагольский, городское поселение Шерегешское, поселок городского типа Шерегеш, улица Ореховая, земельный участок 115 </t>
  </si>
  <si>
    <t>42:12:0102015:2478</t>
  </si>
  <si>
    <t>1.4.26.1375</t>
  </si>
  <si>
    <t>42:12:0102015:2405</t>
  </si>
  <si>
    <t>1.4.26.1376</t>
  </si>
  <si>
    <t xml:space="preserve">Российская Федерация, Кемеровская область-Кузбасс, Таштагольский муниципальный район, Шерегшское городское поселение, пгт. Шерегеш, ул. Ореховая, земельный участок 49 </t>
  </si>
  <si>
    <t>42:12:0102015:2463</t>
  </si>
  <si>
    <t>1.4.26.1377</t>
  </si>
  <si>
    <t>Российская Федерация, Кемеровская область-Кузбасс, Таштагольский муниципальный район, Шерегшское городское поселение, пгт. Шерегеш, ул. Ореховая, земельный участок 39</t>
  </si>
  <si>
    <t>42:12:0102015:2465</t>
  </si>
  <si>
    <t>1.4.26.1378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</si>
  <si>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40 </t>
  </si>
  <si>
    <t>42:12:0102015:2468</t>
  </si>
  <si>
    <t>1.4.26.1379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</si>
  <si>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94 </t>
  </si>
  <si>
    <t>1.4.26.1380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</si>
  <si>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д. 106
</t>
  </si>
  <si>
    <t>1.4.27</t>
  </si>
  <si>
    <t>42:12:0114005:217</t>
  </si>
  <si>
    <t xml:space="preserve">Российская Федерация, Кемеровская область-Кузбасс, Таштагольский муниципальный район, Шерегешское городское поселение, гт. Шерегеш, ул. Рябиновая, земельный участок 197 </t>
  </si>
  <si>
    <t>42:12:0102015:2490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</si>
  <si>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177 </t>
  </si>
  <si>
    <t>42:12:0102015:2491</t>
  </si>
  <si>
    <t>1.1.90.15.1</t>
  </si>
  <si>
    <t>1.4.26.1381</t>
  </si>
  <si>
    <t>Российская Федерация, Кемеровская область-Кузбасс, Таштагольский муниципальный район,Шерегешское городское поселение, пгт Шерегеш, ул Славянская, земельный участок 166</t>
  </si>
  <si>
    <t>42:12:0102015:2497</t>
  </si>
  <si>
    <t>1.4.221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</si>
  <si>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Циолковского, земельный участок 81 </t>
  </si>
  <si>
    <t>42:34:0112013:186</t>
  </si>
  <si>
    <t>1.4.26.1384</t>
  </si>
  <si>
    <t>1.4.26.1385</t>
  </si>
  <si>
    <t>1.4.26.1386</t>
  </si>
  <si>
    <t>1.4.26.1388</t>
  </si>
  <si>
    <t>1.4.26.1389</t>
  </si>
  <si>
    <t>1.4.26.1390</t>
  </si>
  <si>
    <t>1.4.26.1391</t>
  </si>
  <si>
    <t>1.4.26.1392</t>
  </si>
  <si>
    <t>1.4.26.1394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</si>
  <si>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194 </t>
  </si>
  <si>
    <t xml:space="preserve">  42:12:0102015:2496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</si>
  <si>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ул.Славянская,125 </t>
  </si>
  <si>
    <t>42:12:0102015:2501</t>
  </si>
  <si>
    <t xml:space="preserve">Российская Федерация, Российская Федерация, Кемеровская область-Кузбасс, Таштагольский муниципальный район, Шерегешское городское поселение, пгт. Шерегеш, ул. Рябиновая,179 </t>
  </si>
  <si>
    <t>42:12:0102015:2504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</si>
  <si>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173 </t>
  </si>
  <si>
    <t>42:12:0102015:2505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</si>
  <si>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189 </t>
  </si>
  <si>
    <t>42:12:0102015:2506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</si>
  <si>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175 </t>
  </si>
  <si>
    <t>42:12:0102015:2508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</si>
  <si>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159 </t>
  </si>
  <si>
    <t>42:12:0102015:2507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</si>
  <si>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165 </t>
  </si>
  <si>
    <t>42:12:0102015:2510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</si>
  <si>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201</t>
  </si>
  <si>
    <t>42:12:0102015:2522</t>
  </si>
  <si>
    <t>1.4.26.1395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</si>
  <si>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 д. 92</t>
  </si>
  <si>
    <t>42:12:0102015:2521</t>
  </si>
  <si>
    <t>1.4.26.1396</t>
  </si>
  <si>
    <t>42:12:0102015:2520</t>
  </si>
  <si>
    <t>1.1.826.26</t>
  </si>
  <si>
    <t>42:12:0105002:3233</t>
  </si>
  <si>
    <t>1.1.307.14</t>
  </si>
  <si>
    <t>42:12:0102006:950</t>
  </si>
  <si>
    <t>1.1.307.15</t>
  </si>
  <si>
    <t>42:12:0102006:944</t>
  </si>
  <si>
    <t>1.1.307.16</t>
  </si>
  <si>
    <t>42:12:0102006:941</t>
  </si>
  <si>
    <t>цокол. этаж</t>
  </si>
  <si>
    <t>1.4.26.1397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</si>
  <si>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земельный участок 174</t>
  </si>
  <si>
    <t>42:12:0102015:2529</t>
  </si>
  <si>
    <t>1.4.26.1398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</si>
  <si>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203</t>
  </si>
  <si>
    <t>42:12:0102015:2530</t>
  </si>
  <si>
    <t>1.4.26.1399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</si>
  <si>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202</t>
  </si>
  <si>
    <t>42:12:0102015:2531</t>
  </si>
  <si>
    <t>1.4.26.1400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</si>
  <si>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Рябиновая,130</t>
  </si>
  <si>
    <t>42:12:0102015:2544</t>
  </si>
  <si>
    <t>1.4.26.1401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</si>
  <si>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51</t>
  </si>
  <si>
    <t>42:12:0102015:2539</t>
  </si>
  <si>
    <t>1.4.26.1402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</si>
  <si>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Ледовая, земельный участок 170</t>
  </si>
  <si>
    <t>42:12:0102015:2542</t>
  </si>
  <si>
    <t>1.4.26.1403</t>
  </si>
  <si>
    <t>Российская Федерация, Кемеровская область-Кузбасс, Таштагольский муниципальный район,Шерегешское городское поселение, пгт. Шерегеш, ул Славянская, земельный участок 184</t>
  </si>
  <si>
    <t>42:12:0102015:2538</t>
  </si>
  <si>
    <t>1.4.26.1405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</si>
  <si>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182</t>
  </si>
  <si>
    <t>42:12:0102015:2537</t>
  </si>
  <si>
    <t>Российская Федерация, Кемеровская область  -Кузбасс, Таштагольский мниципальный район, Шергешскоегородское поселение, пгт.Шерегеш, ул. Ледовая, земельный участок 164</t>
  </si>
  <si>
    <t>42:12:0102015:2532</t>
  </si>
  <si>
    <t>1.4.26.1408</t>
  </si>
  <si>
    <t>1.4.26.1409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</si>
  <si>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д. 188</t>
  </si>
  <si>
    <t>42:12:0102015:2546</t>
  </si>
  <si>
    <t>1.4.26.1410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</si>
  <si>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Ледовая,134</t>
  </si>
  <si>
    <t>42:12:0102015:2550</t>
  </si>
  <si>
    <t>1.4.26.1411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</si>
  <si>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Тихая,9</t>
  </si>
  <si>
    <t>42:12:0102015:2549</t>
  </si>
  <si>
    <t>1.4.26.1413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</si>
  <si>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Славянская, земельный участок 186</t>
  </si>
  <si>
    <t>42:12:0102015:2547</t>
  </si>
  <si>
    <t>1.4.26.1414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</si>
  <si>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д. 132</t>
  </si>
  <si>
    <t>42:12:0102015:2551</t>
  </si>
  <si>
    <t>1.4.26.1415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</si>
  <si>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193 </t>
  </si>
  <si>
    <t>42:12:0102015:2525</t>
  </si>
  <si>
    <t>1.4.26.1416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</si>
  <si>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191 </t>
  </si>
  <si>
    <t>42:12:0102015:2523</t>
  </si>
  <si>
    <t>1.4.26.1417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</si>
  <si>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192 </t>
  </si>
  <si>
    <t>42:12:0102015:2524</t>
  </si>
  <si>
    <t>1.4.26.1418</t>
  </si>
  <si>
    <t xml:space="preserve">Российская Федерация, Кемеровская область-Кузабсс, Таштагольский муниципальный район, Шерегешское городское поселение, пгт.Шерегеш, ул.Ледовая, земельный участок 189 </t>
  </si>
  <si>
    <t>42:12:0102015:2526</t>
  </si>
  <si>
    <t>1.4.26.1421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</si>
  <si>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Ледовая,133</t>
  </si>
  <si>
    <t>42:12:0102015:2555</t>
  </si>
  <si>
    <t>1.4.26.1422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</si>
  <si>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Рябиновая,195</t>
  </si>
  <si>
    <t>42:12:0102015:2557</t>
  </si>
  <si>
    <t>1.4.26.1424</t>
  </si>
  <si>
    <t>42:12:0102015:2562</t>
  </si>
  <si>
    <t>1.4.26.1425</t>
  </si>
  <si>
    <t>42:12:0102015:2563</t>
  </si>
  <si>
    <t>Российская Федерация, Кемеровская область-Кузбасс, Таштагольский муниципальный район,Шерегешское городское поселение, пгт.Шерегеш, ул.Рябиновая,115</t>
  </si>
  <si>
    <t>Российская Федерация, Кемеровская область-Кузбасс, Таштагольский муниципальный район,Шерегешское городское поселение, пгт.Шерегеш, ул.Рябиновая,119</t>
  </si>
  <si>
    <t>1.4.26.1426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</si>
  <si>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ул.Славянская,121</t>
  </si>
  <si>
    <t>42:12:0102015:2500</t>
  </si>
  <si>
    <t>1.4.26.1427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</si>
  <si>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ул.Ореховая, земельный участок 96</t>
  </si>
  <si>
    <t xml:space="preserve">42:12:0102015:2553  </t>
  </si>
  <si>
    <t>1.4.26.1428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</si>
  <si>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 125</t>
  </si>
  <si>
    <t>42:12:0102015:2583</t>
  </si>
  <si>
    <t>1.4.26.1429</t>
  </si>
  <si>
    <t>Российская Федерация, Кемеровская область-Кузбасс, Таштагольский муниципальный район,Шерегешское городское поселение, пгт Шерегеш, ул Ледовая, земельный участок 172</t>
  </si>
  <si>
    <t>42:12:0102015:2585</t>
  </si>
  <si>
    <t>1.4.26.1431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</si>
  <si>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128 </t>
  </si>
  <si>
    <t>42:12:0102015:2577</t>
  </si>
  <si>
    <t>1.4.26.1432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</si>
  <si>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Рябиновая,129</t>
  </si>
  <si>
    <t>42:12:0102015:2570</t>
  </si>
  <si>
    <t>1.4.26.1433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</si>
  <si>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191</t>
  </si>
  <si>
    <t>42:12:0102015:2578</t>
  </si>
  <si>
    <t>1.4.26.1434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</si>
  <si>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Звездная, земельный участок 38/1 </t>
  </si>
  <si>
    <t>42:12:0102015:2398</t>
  </si>
  <si>
    <t>1.4.26.1435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</si>
  <si>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Рябиновая,120 </t>
  </si>
  <si>
    <t>42:12:0102015:2558</t>
  </si>
  <si>
    <t>1.4.26.1436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</si>
  <si>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Рябиновая,135
</t>
  </si>
  <si>
    <t>42:12:0102015:2588</t>
  </si>
  <si>
    <t>1.4.26.1438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</si>
  <si>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168 </t>
  </si>
  <si>
    <t>42:12:0102015:2518</t>
  </si>
  <si>
    <t>1.4.26.1439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</si>
  <si>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166</t>
  </si>
  <si>
    <t>42:12:0102015:2566</t>
  </si>
  <si>
    <t>1.4.26.1442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</si>
  <si>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Славянская,141 </t>
  </si>
  <si>
    <t>42:12:0102015:2533</t>
  </si>
  <si>
    <t>1.4.26.1443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</si>
  <si>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ул.Славянская,197</t>
  </si>
  <si>
    <t>42:12:0102015:2590</t>
  </si>
  <si>
    <t>1.4.26.1444</t>
  </si>
  <si>
    <t>42:12:0102015:2591</t>
  </si>
  <si>
    <t>1.4.26.1445</t>
  </si>
  <si>
    <t>42:12:0102015:2594</t>
  </si>
  <si>
    <t>1.4.26.1446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</si>
  <si>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196 </t>
  </si>
  <si>
    <t>42:12:0102015:2598</t>
  </si>
  <si>
    <t>1.4.26.1447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</si>
  <si>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 земельный участок 187 </t>
  </si>
  <si>
    <t>42:12:0102015:2580</t>
  </si>
  <si>
    <t>1.4.26.1448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</si>
  <si>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185 </t>
  </si>
  <si>
    <t>42:12:0102015:2581</t>
  </si>
  <si>
    <t>1.4.26.1449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</si>
  <si>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188 </t>
  </si>
  <si>
    <t>42:12:0102015:2582</t>
  </si>
  <si>
    <t>1.4.26.1450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</si>
  <si>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Ледовая,211 </t>
  </si>
  <si>
    <t>42:12:0102015:2559</t>
  </si>
  <si>
    <t>1.4.26.1451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</si>
  <si>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92</t>
  </si>
  <si>
    <t>42:12:0102015:2571</t>
  </si>
  <si>
    <t>1.4.26.1452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</si>
  <si>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91</t>
  </si>
  <si>
    <t>42:12:0102015:2573</t>
  </si>
  <si>
    <t>1.4.26.1453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</si>
  <si>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89 </t>
  </si>
  <si>
    <t>42:12:0102015:2574</t>
  </si>
  <si>
    <t>1.4.26.1455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</si>
  <si>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102</t>
  </si>
  <si>
    <t>42:12:0102015:2586</t>
  </si>
  <si>
    <t>1.4.26.1456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</si>
  <si>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Шахтеров,93 </t>
  </si>
  <si>
    <t>42:12:0102015:2575</t>
  </si>
  <si>
    <t>1.4.26.1457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</si>
  <si>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Цветочная, д. 22 </t>
  </si>
  <si>
    <t>42:12:0102015:2527</t>
  </si>
  <si>
    <t>1.4.26.1458</t>
  </si>
  <si>
    <t>Российская Федерация, Кемеровская область-Кузбасс, Таштагольский муниципальный район, Шерегешское городское поселение, пгт Шерегеш, улица Цветочная,14</t>
  </si>
  <si>
    <t>42:12:0102015:2592</t>
  </si>
  <si>
    <t>1.4.26.1459</t>
  </si>
  <si>
    <t>Российская Федерация, Кемеровская область-Кузбасс, Таштагольский муниципальный район, Шерегешское городское поселение, пгт Шерегеш, улица Цветочная,12</t>
  </si>
  <si>
    <t>42:12:0102015:2595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</si>
  <si>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124</t>
  </si>
  <si>
    <t>42:12:0102015:2624</t>
  </si>
  <si>
    <t>1.4.26.1460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</si>
  <si>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126 </t>
  </si>
  <si>
    <t>42:12:0102015:2623</t>
  </si>
  <si>
    <t>1.4.26.1462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</si>
  <si>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 , ул. Славянская,146 </t>
  </si>
  <si>
    <t>42:12:0102015:2604</t>
  </si>
  <si>
    <t>1.4.26.1463</t>
  </si>
  <si>
    <t>Российская Федерация, Кемеровская область-Кузбасс, Таштагольский муниципальный район, Шерегешское городское поселение, пгт. Шерегеш , ул. Славянская,149</t>
  </si>
  <si>
    <t>42:12:0102015:2603</t>
  </si>
  <si>
    <t>1.4.26.1464</t>
  </si>
  <si>
    <t>Российская Федерация, Кемеровская область-Кузбасс, Таштагольский муниципальный район, Шерегешское городское поселение, пгт Шерегеш, ул Славянская, земельный участок 148</t>
  </si>
  <si>
    <t>42:12:0102015:2613</t>
  </si>
  <si>
    <t>1.4.26.1465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</si>
  <si>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195 </t>
  </si>
  <si>
    <t>42:12:0102015:2601</t>
  </si>
  <si>
    <t>1.4.26.1466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</si>
  <si>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193</t>
  </si>
  <si>
    <t>42:12:0102015:2608</t>
  </si>
  <si>
    <t>1.4.26.1467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</si>
  <si>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198 </t>
  </si>
  <si>
    <t>42:12:0102015:2609</t>
  </si>
  <si>
    <t>1.4.26.1468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</si>
  <si>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194 </t>
  </si>
  <si>
    <t>42:12:0102015:2602</t>
  </si>
  <si>
    <t>1.4.26.1470</t>
  </si>
  <si>
    <t xml:space="preserve">Российская Фдерация, Кемеровская область-Кузбасс, Таштагольский муниципальный район, Шерегешское городское поселение, пгт Шерегеш, ул Славянская, земельный участок 215 </t>
  </si>
  <si>
    <t>42:12:0102015:2610</t>
  </si>
  <si>
    <t>1.4.26.1471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</si>
  <si>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213 </t>
  </si>
  <si>
    <t>42:12:0102015:2611</t>
  </si>
  <si>
    <t>1.4.26.1473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</si>
  <si>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230 </t>
  </si>
  <si>
    <t>42:12:0102015:2625</t>
  </si>
  <si>
    <t>1.4.26.1474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</si>
  <si>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232 </t>
  </si>
  <si>
    <t>42:12:0102015:2626</t>
  </si>
  <si>
    <t>1.4.26.1475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</si>
  <si>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191 </t>
  </si>
  <si>
    <t>42:12:0102015:2627</t>
  </si>
  <si>
    <t>1.4.26.1476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</si>
  <si>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111 </t>
  </si>
  <si>
    <t>42:12:0102015:2629</t>
  </si>
  <si>
    <t>1.4.26.1477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</si>
  <si>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171 </t>
  </si>
  <si>
    <t>42:12:0102015:2630</t>
  </si>
  <si>
    <t>1.4.26.1479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</si>
  <si>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220</t>
  </si>
  <si>
    <t>42:12:0102015:2638</t>
  </si>
  <si>
    <t>1.4.26.1481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</si>
  <si>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ул.Славянская, земельный участок 189</t>
  </si>
  <si>
    <t>42:12:0102015:2641</t>
  </si>
  <si>
    <t>1.4.26.1482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</si>
  <si>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178 </t>
  </si>
  <si>
    <t>42:12:0102015:2643</t>
  </si>
  <si>
    <t>1.4.26.1483</t>
  </si>
  <si>
    <t xml:space="preserve">Российская Федерация, 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176 </t>
  </si>
  <si>
    <t>42:12:0102015:2644</t>
  </si>
  <si>
    <t>1.4.26.1484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</si>
  <si>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172</t>
  </si>
  <si>
    <t>42:12:0102015:2589</t>
  </si>
  <si>
    <t>1.4.26.1485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</si>
  <si>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190 </t>
  </si>
  <si>
    <t>42:12:0102015:2607</t>
  </si>
  <si>
    <t>1.4.26.1487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</si>
  <si>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106</t>
  </si>
  <si>
    <t>42:12:0102015:2620</t>
  </si>
  <si>
    <t>1.4.26.1489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</si>
  <si>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Рябиновая,114 </t>
  </si>
  <si>
    <t>42:12:0102015:2637</t>
  </si>
  <si>
    <t>1.4.26.1490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</si>
  <si>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234 </t>
  </si>
  <si>
    <t>42:12:0102015:2648</t>
  </si>
  <si>
    <t>1.1.322.1</t>
  </si>
  <si>
    <t>42:12:0102009:314</t>
  </si>
  <si>
    <t>Отдельно стоящее нежилое здание хозяйственного блока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</si>
  <si>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Ленина,36/1</t>
  </si>
  <si>
    <t>42:34:0101044:518</t>
  </si>
  <si>
    <t xml:space="preserve">1-но этажное, из бетонных блоков, облицовка-металлосайдинг </t>
  </si>
  <si>
    <t>1.4.26.1491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</si>
  <si>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211 </t>
  </si>
  <si>
    <t>42:12:0102015:2653</t>
  </si>
  <si>
    <t>1.4.26.1493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</si>
  <si>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198 </t>
  </si>
  <si>
    <t>42:12:0102015:2652</t>
  </si>
  <si>
    <t>1.1.718.16</t>
  </si>
  <si>
    <t>1.1.718.17</t>
  </si>
  <si>
    <t>1.1.718.18</t>
  </si>
  <si>
    <t>1.1.718.19</t>
  </si>
  <si>
    <t>42:34:0101051:39</t>
  </si>
  <si>
    <t>1.4.26.1497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</si>
  <si>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Ледовая, земельный участок 126</t>
  </si>
  <si>
    <t>42:12:0102015:2672</t>
  </si>
  <si>
    <t>1.4.26.1498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</si>
  <si>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Ореховая,75</t>
  </si>
  <si>
    <t>42:12:0102015:2671</t>
  </si>
  <si>
    <t>1.4.26.1499</t>
  </si>
  <si>
    <t>Российская Федерация, Кемеровская область-Кузбасс, Таштагольский муниципальный район,
Шерегешское городское поселение, пгт Шерегеш, ул Ледовая, земельный участок 128</t>
  </si>
  <si>
    <t>42:12:0102015:2687</t>
  </si>
  <si>
    <t>1.4.26.1500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</si>
  <si>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169 </t>
  </si>
  <si>
    <t>42:12:0102015:2584</t>
  </si>
  <si>
    <t>1.4.26.1501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</si>
  <si>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183 </t>
  </si>
  <si>
    <t>42:12:0102015:2649</t>
  </si>
  <si>
    <t>1.4.26.1502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</si>
  <si>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110 </t>
  </si>
  <si>
    <t>42:12:0102015:2651</t>
  </si>
  <si>
    <t>1.4.26.1505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</si>
  <si>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225</t>
  </si>
  <si>
    <t>42:12:0102015:2668</t>
  </si>
  <si>
    <t>1.4.26.1506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</si>
  <si>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170</t>
  </si>
  <si>
    <t>42:12:0102015:2669</t>
  </si>
  <si>
    <t>1.4.26.1507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</si>
  <si>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186 </t>
  </si>
  <si>
    <t>42:12:0102015:2673</t>
  </si>
  <si>
    <t>1.4.26.1508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</si>
  <si>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224</t>
  </si>
  <si>
    <t>42:12:0102015:2674</t>
  </si>
  <si>
    <t>1.4.26.1509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</si>
  <si>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222 </t>
  </si>
  <si>
    <t>42:12:0102015:2675</t>
  </si>
  <si>
    <t>1.4.26.1511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</si>
  <si>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221 </t>
  </si>
  <si>
    <t>42:12:0102015:2679</t>
  </si>
  <si>
    <t>1.4.26.1512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</si>
  <si>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Славянская,128 </t>
  </si>
  <si>
    <t>42:12:0102015:2683</t>
  </si>
  <si>
    <t>1.4.26.1513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</si>
  <si>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130 </t>
  </si>
  <si>
    <t>42:12:0102015:2695</t>
  </si>
  <si>
    <t>1.4.26.1515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</si>
  <si>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209</t>
  </si>
  <si>
    <t>42:12:0102015:2740</t>
  </si>
  <si>
    <t>обл. Кемеровская, р-н Таштагольский, пгт. Темиртау</t>
  </si>
  <si>
    <t>42:12:0105004:23</t>
  </si>
  <si>
    <t>1.4.223</t>
  </si>
  <si>
    <t>Земельный участок, разрешенное использование: под Спортивно-технический комплекс горных лыж и сноуборда</t>
  </si>
  <si>
    <t>Кемеровская область, г. Таштагол,  ул. Скворцова,42</t>
  </si>
  <si>
    <t>42:34:0102066:36</t>
  </si>
  <si>
    <t>1.4.224</t>
  </si>
  <si>
    <t>Земельный участок, разрешенное использование: под промышленную территорию</t>
  </si>
  <si>
    <t xml:space="preserve">Кемеровская область, Таштагольский р-н, пгт Темиртау, ул Кирова, д 1 </t>
  </si>
  <si>
    <t>42:12:0105004:35</t>
  </si>
  <si>
    <t>1.4.225</t>
  </si>
  <si>
    <t>1.4.226</t>
  </si>
  <si>
    <t>1.4.227</t>
  </si>
  <si>
    <t>1.4.228</t>
  </si>
  <si>
    <t>1.4.229</t>
  </si>
  <si>
    <t>Российская Федерация, Кемеровская область - Кузбасс, Таштагольский муниципальный район, Спасское городское поселение, поселок городского типа Спасск, улица Увальная, земельный участок 50/1</t>
  </si>
  <si>
    <t>Земельный участок, использование: под жилищное строительство</t>
  </si>
  <si>
    <t>42:12:0000000:876</t>
  </si>
  <si>
    <t>1.4.26.1516</t>
  </si>
  <si>
    <t>1.4.26.1517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</si>
  <si>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90 </t>
  </si>
  <si>
    <t>42:12:0102015:2711</t>
  </si>
  <si>
    <t>1.4.26.1519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</si>
  <si>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184 </t>
  </si>
  <si>
    <t>42:12:0102015:2712</t>
  </si>
  <si>
    <t>1.4.26.1520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</si>
  <si>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Славянская, земельный участок, 207</t>
  </si>
  <si>
    <t>42:12:0102015:2713</t>
  </si>
  <si>
    <t>1.4.26.1521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</si>
  <si>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210 </t>
  </si>
  <si>
    <t>42:12:0102015:2707</t>
  </si>
  <si>
    <t>1.4.26.1522</t>
  </si>
  <si>
    <t>42:12:0000000:1021</t>
  </si>
  <si>
    <t>1.4.17.3</t>
  </si>
  <si>
    <t>Земельный участок, разрешенное использование: Профилакторий</t>
  </si>
  <si>
    <t xml:space="preserve"> Российская Федерация, Кемеровская область-Кузбасс, Таштагольский муниципальный район, Таштагольское городское поселение, город Таштагол, улица Дальняя Каменушка-1, земельный участок 1/1</t>
  </si>
  <si>
    <t>42:34:0115013:125</t>
  </si>
  <si>
    <t>Земельный участок, использование: амбулаторно-поликлиническое обслуживание</t>
  </si>
  <si>
    <t xml:space="preserve">Российская Федерация, Кемеровская область-Кузбасс, Таштагольский муниципальный район, городское поселение Мундыбашское, пгт. Мундыбаш, ул. Строительная, земельный участок 5 </t>
  </si>
  <si>
    <t>42:12:0106002:4828</t>
  </si>
  <si>
    <t>1.1.179.11</t>
  </si>
  <si>
    <t>1.1.838.23</t>
  </si>
  <si>
    <t>42:12:0106002:4297</t>
  </si>
  <si>
    <t>В оперативном управлении МКОУ детский сад  №5 "Петрушка"</t>
  </si>
  <si>
    <t>Распоряжение АТМР от 10.09.2021 №322-р</t>
  </si>
  <si>
    <r>
      <t>Кемеровская область, Таштагольский район, г.Таштагол,ул.Садовая</t>
    </r>
    <r>
      <rPr>
        <sz val="10"/>
        <color theme="0"/>
        <rFont val="Arial Cyr"/>
        <charset val="204"/>
      </rPr>
      <t>,5</t>
    </r>
  </si>
  <si>
    <r>
      <t>Российская Федерация, Кемеровская область - Кузбасс, Таштагольский муниципальный район, Шерегешское городское поселение, пгт. Шерегеш, ул. Кирова</t>
    </r>
    <r>
      <rPr>
        <sz val="10"/>
        <color theme="0"/>
        <rFont val="Arial Cyr"/>
        <charset val="204"/>
      </rPr>
      <t>,14а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</si>
  <si>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,25/4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</si>
  <si>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,25/1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</si>
  <si>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,25/2</t>
    </r>
  </si>
  <si>
    <t>1.1.846.20</t>
  </si>
  <si>
    <t>42:12:0105002:3409</t>
  </si>
  <si>
    <t>1.1.826.27</t>
  </si>
  <si>
    <t>42:12:0105002:3235</t>
  </si>
  <si>
    <t>1.1.808.39</t>
  </si>
  <si>
    <t xml:space="preserve">42:12:0106002:3445             </t>
  </si>
  <si>
    <t>1.4.26.1523</t>
  </si>
  <si>
    <t>42:12:0102015:2710</t>
  </si>
  <si>
    <t>1.4.26.1524</t>
  </si>
  <si>
    <t>42:12:0102015:2741</t>
  </si>
  <si>
    <t>1.4.26.1525</t>
  </si>
  <si>
    <t>42:12:0102015:2749</t>
  </si>
  <si>
    <t>1.4.26.1527</t>
  </si>
  <si>
    <t>42:12:0102015:2697</t>
  </si>
  <si>
    <t>1.4.26.1528</t>
  </si>
  <si>
    <t>42:12:0102015:2724</t>
  </si>
  <si>
    <t>1.4.26.1529</t>
  </si>
  <si>
    <t>42:12:0102015:2728</t>
  </si>
  <si>
    <t>1.1.779.3</t>
  </si>
  <si>
    <t>42:12:0112001:340</t>
  </si>
  <si>
    <t>1.1.862</t>
  </si>
  <si>
    <t>42:12:0105002:2959</t>
  </si>
  <si>
    <t>1.4.26.1530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</si>
  <si>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Славянская,173</t>
  </si>
  <si>
    <t>42:12:0102015:2789</t>
  </si>
  <si>
    <t>1.4.26.1532</t>
  </si>
  <si>
    <t>: 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100</t>
  </si>
  <si>
    <t>42:12:0102015:2791</t>
  </si>
  <si>
    <t>1.4.26.1533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</si>
  <si>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181</t>
  </si>
  <si>
    <t>42:12:0102015:2785</t>
  </si>
  <si>
    <t>1.4.26.1534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</si>
  <si>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129</t>
  </si>
  <si>
    <t>42:12:0102015:2754</t>
  </si>
  <si>
    <t>1.4.26.1535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</si>
  <si>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145</t>
  </si>
  <si>
    <t>42:12:0102015:2769</t>
  </si>
  <si>
    <t>1.4.26.1537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</si>
  <si>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136</t>
  </si>
  <si>
    <t>42:12:0102015:2775</t>
  </si>
  <si>
    <t>1.4.26.1539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</si>
  <si>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Ледовая, 107</t>
  </si>
  <si>
    <t>42:12:0102015:2803</t>
  </si>
  <si>
    <t>обл. Кемеровская, р-н Таштагольский, пгт. Шерегеш</t>
  </si>
  <si>
    <t>42:12:0102001:58</t>
  </si>
  <si>
    <t>Земельный участок / П11430002004: Подсобное хозяйство</t>
  </si>
  <si>
    <t>Кемеровская область, р-н. Таштагольский, пгт. Шерегеш, ул. Весенняя, д. 9</t>
  </si>
  <si>
    <t>42:12:0102013:173</t>
  </si>
  <si>
    <t>Параметры, характеризующие физические свойства недвижимого имущества</t>
  </si>
  <si>
    <t>1.5.552.1</t>
  </si>
  <si>
    <t>стеклопластиковые борта на металлических рамах</t>
  </si>
  <si>
    <t>В аренде ООО "КУЗКАМ"</t>
  </si>
  <si>
    <t>Распр. КУМИ Таштагол. муниц. района от 06.10.2021 №13</t>
  </si>
  <si>
    <t>1-но этажное, из прочих материалов</t>
  </si>
  <si>
    <t>1.1.846.21</t>
  </si>
  <si>
    <t>42:12:0105002:3405</t>
  </si>
  <si>
    <t>1.1.780.21</t>
  </si>
  <si>
    <t>42:12:0105002:1239</t>
  </si>
  <si>
    <t>1.1.170.7</t>
  </si>
  <si>
    <t>42:34:0101042:271</t>
  </si>
  <si>
    <t>1.1.751.15</t>
  </si>
  <si>
    <t>1.1.751.16</t>
  </si>
  <si>
    <t>42:12:0106002:1127</t>
  </si>
  <si>
    <t>42:12:0106002:3871</t>
  </si>
  <si>
    <t>1.1.792.41</t>
  </si>
  <si>
    <t xml:space="preserve">42:12:0105002:1144 </t>
  </si>
  <si>
    <t>1.1.182.4</t>
  </si>
  <si>
    <t>42:34:0101010:75</t>
  </si>
  <si>
    <t>В оперативном управлении, распр. админстр. Таштагол.муниц. района  от 18.11.2021 г. №435-р</t>
  </si>
  <si>
    <t>1.1.176.</t>
  </si>
  <si>
    <t>1.1.175.7</t>
  </si>
  <si>
    <t>42:34:0101036:142</t>
  </si>
  <si>
    <t>1.1.175.8</t>
  </si>
  <si>
    <t>42:34:0101036:144</t>
  </si>
  <si>
    <t>1.4.26.1541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</si>
  <si>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182</t>
  </si>
  <si>
    <t xml:space="preserve"> 42:12:0102015:2801</t>
  </si>
  <si>
    <t>1.4.26.1542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</si>
  <si>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212</t>
  </si>
  <si>
    <t xml:space="preserve">42:12:0102015:2873 </t>
  </si>
  <si>
    <t>1.4.26.1543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</si>
  <si>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210</t>
  </si>
  <si>
    <t xml:space="preserve"> 42:12:0102015:2867</t>
  </si>
  <si>
    <t>1.4.26.1544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</si>
  <si>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109</t>
  </si>
  <si>
    <t>42:12:0102015:2835</t>
  </si>
  <si>
    <t>1.4.26.1545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</si>
  <si>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Рябиновая,118</t>
  </si>
  <si>
    <t>42:12:0102015:2836</t>
  </si>
  <si>
    <t>1.4.26.1546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</si>
  <si>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участок,133</t>
  </si>
  <si>
    <t>42:12:0102015:2781</t>
  </si>
  <si>
    <t>1.4.26.1548</t>
  </si>
  <si>
    <t>Российская Федерация, Кемеровская область-Кузбасс, Таштагольский муниципальный район, Шерегешское городское поселение, пгт.Шерегеш, ул. Рябиновая,174</t>
  </si>
  <si>
    <t>42:12:0102015:2860</t>
  </si>
  <si>
    <t>1.4.26.1549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</si>
  <si>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Рябиновая,163</t>
  </si>
  <si>
    <t>42:12:0102015:2813</t>
  </si>
  <si>
    <t>1.4.26.1550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</si>
  <si>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Рябиновая,162</t>
  </si>
  <si>
    <t>42:12:0102015:2833</t>
  </si>
  <si>
    <t>1.4.26.1551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</si>
  <si>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ул.Славянская,132</t>
  </si>
  <si>
    <t>42:12:0102015:2799</t>
  </si>
  <si>
    <t>1.4.26.1552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</si>
  <si>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122</t>
  </si>
  <si>
    <t>42:12:0102015:2805</t>
  </si>
  <si>
    <t>1.4.26.1553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</si>
  <si>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231</t>
  </si>
  <si>
    <t>42:12:0102015:2844</t>
  </si>
  <si>
    <t>1.4.26.1554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</si>
  <si>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ул.Славянская, земельный участок 214</t>
  </si>
  <si>
    <t>42:12:0102015:2818</t>
  </si>
  <si>
    <t>1.4.26.1555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</si>
  <si>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235</t>
  </si>
  <si>
    <t>42:12:0102015:2862</t>
  </si>
  <si>
    <t>1.4.26.1556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</si>
  <si>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Славянская,229</t>
  </si>
  <si>
    <t>42:12:0102015:2816</t>
  </si>
  <si>
    <t>1.4.26.1557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</si>
  <si>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Славянская,228</t>
  </si>
  <si>
    <t>42:12:0102015:2834</t>
  </si>
  <si>
    <t>1.1.80.5</t>
  </si>
  <si>
    <t>42:34:0102011:49</t>
  </si>
  <si>
    <t>1.1.170.8</t>
  </si>
  <si>
    <t>42:34:0101042:265</t>
  </si>
  <si>
    <t>1.1.170.9</t>
  </si>
  <si>
    <t>42:34:0101036:62</t>
  </si>
  <si>
    <t>1.1.177.9</t>
  </si>
  <si>
    <t>42:34:0101036:109</t>
  </si>
  <si>
    <t>1.1.177.10</t>
  </si>
  <si>
    <t>42:34:0101036:57</t>
  </si>
  <si>
    <t>1.1.175.9</t>
  </si>
  <si>
    <t>42:34:0101036:143</t>
  </si>
  <si>
    <t>1.1.171.12</t>
  </si>
  <si>
    <t>1.1.850.59</t>
  </si>
  <si>
    <t xml:space="preserve">  42:12:0106002:4453</t>
  </si>
  <si>
    <t>1.4.26.1558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</si>
  <si>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196</t>
  </si>
  <si>
    <t>42:12:0102015:2832</t>
  </si>
  <si>
    <t>1.1.846.22</t>
  </si>
  <si>
    <t>42:12:0105002:3394</t>
  </si>
  <si>
    <t>1.4.26.1560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</si>
  <si>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237</t>
  </si>
  <si>
    <t>42:12:0102015:2742</t>
  </si>
  <si>
    <t>1.1.783.41</t>
  </si>
  <si>
    <t>42:12:0106002:1134</t>
  </si>
  <si>
    <t>1.1.795.26</t>
  </si>
  <si>
    <t xml:space="preserve">42:12:0104001:1190 </t>
  </si>
  <si>
    <t>1.1.863</t>
  </si>
  <si>
    <t>Кемеровская область - Кузбасс, Таштагольский муниципальный район, пгт. Темиртау, ул. Суворова, 16А</t>
  </si>
  <si>
    <t>16А</t>
  </si>
  <si>
    <t>42:12:0105002:3707</t>
  </si>
  <si>
    <t>1.1.709.6</t>
  </si>
  <si>
    <t>42:12:0105002:3021</t>
  </si>
  <si>
    <t>1.1.719.5</t>
  </si>
  <si>
    <t>42:12:0104001:2431</t>
  </si>
  <si>
    <t>5  этаж</t>
  </si>
  <si>
    <t>1.1.170.10</t>
  </si>
  <si>
    <t>5/а</t>
  </si>
  <si>
    <t>42:34:0101036:61</t>
  </si>
  <si>
    <t>1.1.181.8</t>
  </si>
  <si>
    <t>42:34:0101021:32</t>
  </si>
  <si>
    <r>
      <t>Кемеровская область, Таштагольский район, пгт.Шерегеш, ул.В.Волошиной</t>
    </r>
    <r>
      <rPr>
        <sz val="10"/>
        <rFont val="Arial Cyr"/>
        <family val="2"/>
        <charset val="204"/>
      </rPr>
      <t>,8</t>
    </r>
  </si>
  <si>
    <r>
      <t>Кемеровская область, Таштагольский муниципальный район, поселок городского типа Темиртау, ул. Центральная</t>
    </r>
    <r>
      <rPr>
        <sz val="10"/>
        <rFont val="Arial Cyr"/>
        <charset val="204"/>
      </rPr>
      <t>,2</t>
    </r>
  </si>
  <si>
    <r>
      <rPr>
        <sz val="8"/>
        <rFont val="Arial Cyr"/>
        <charset val="204"/>
      </rPr>
      <t>реконструкция теплотрассы:</t>
    </r>
    <r>
      <rPr>
        <sz val="10"/>
        <rFont val="Arial Cyr"/>
        <charset val="204"/>
      </rPr>
      <t xml:space="preserve"> </t>
    </r>
    <r>
      <rPr>
        <sz val="8"/>
        <rFont val="Arial Cyr"/>
        <charset val="204"/>
      </rPr>
      <t xml:space="preserve">капитал. ремонт теплотрассы, устройство железобетонных колодцев, замена задвижек) </t>
    </r>
  </si>
  <si>
    <t>1.4.26.1562</t>
  </si>
  <si>
    <t>42:12:0102015:2965</t>
  </si>
  <si>
    <t>1.4.26.1313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</si>
  <si>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Рябиновая,145</t>
  </si>
  <si>
    <t>42:12:0102015:2343</t>
  </si>
  <si>
    <t>1.4.26.1563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</si>
  <si>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267(р) </t>
  </si>
  <si>
    <t>42:12:0102015:2973</t>
  </si>
  <si>
    <t>1.4.26.1564</t>
  </si>
  <si>
    <t>42:12:0102015:2974</t>
  </si>
  <si>
    <t>1.4.26.1565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</si>
  <si>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269(р)</t>
  </si>
  <si>
    <t>42:12:0102015:2975</t>
  </si>
  <si>
    <t>1.4.26.1566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</si>
  <si>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 254р</t>
  </si>
  <si>
    <t>42:12:0102015:2952</t>
  </si>
  <si>
    <t>1.4.26.1567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</si>
  <si>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242р</t>
  </si>
  <si>
    <t>42:12:0102015:2954</t>
  </si>
  <si>
    <t>1.4.26.1568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</si>
  <si>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240р</t>
  </si>
  <si>
    <t>42:12:0102015:2955</t>
  </si>
  <si>
    <t>1.4.26.1569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</si>
  <si>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участок,253 р</t>
  </si>
  <si>
    <t>42:12:0102015:2956</t>
  </si>
  <si>
    <t>1.4.26.1570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</si>
  <si>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Рябиновая, земельный участок 239р</t>
  </si>
  <si>
    <t>42:12:0102015:2960</t>
  </si>
  <si>
    <t>1.4.26.1571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</si>
  <si>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237р</t>
  </si>
  <si>
    <t>42:12:0102015:2962</t>
  </si>
  <si>
    <t>1.4.26.1572</t>
  </si>
  <si>
    <t>1.4.26.1573</t>
  </si>
  <si>
    <t>1.4.26.1574</t>
  </si>
  <si>
    <t>1.4.26.1577</t>
  </si>
  <si>
    <t>Российская Федерация, Кемеровская область - Кузбасс, Таштагольский муниципальный район, Шерегешское городское поселение, пгт Шерегеш, ул. Славянская , земельный участок,209 р</t>
  </si>
  <si>
    <t>42:12:0102015:2963</t>
  </si>
  <si>
    <t>1.4.26.1578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</si>
  <si>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Славянская , земельный участок,208 р</t>
  </si>
  <si>
    <t>42:12:0102015:2957</t>
  </si>
  <si>
    <t>1.4.26.1579</t>
  </si>
  <si>
    <t>42:12:0102015:2988</t>
  </si>
  <si>
    <t>1.4.26.1580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</si>
  <si>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235(р) </t>
  </si>
  <si>
    <t>42:12:0102015:3001</t>
  </si>
  <si>
    <t>1.4.26.1581</t>
  </si>
  <si>
    <t>42:12:0102015:3002</t>
  </si>
  <si>
    <t>1.4.26.1582</t>
  </si>
  <si>
    <t>42:12:0102015:3003</t>
  </si>
  <si>
    <t>1.4.26.1583</t>
  </si>
  <si>
    <t>42:12:0102015:3004</t>
  </si>
  <si>
    <t>1.4.26.1584</t>
  </si>
  <si>
    <t>42:12:0102015:3005</t>
  </si>
  <si>
    <t>1.4.26.1585</t>
  </si>
  <si>
    <t>42:12:0102015:3006</t>
  </si>
  <si>
    <t>1.4.26.1586</t>
  </si>
  <si>
    <t>42:12:0102015:3018</t>
  </si>
  <si>
    <t>1.4.26.1587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</si>
  <si>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земельный участок 257р</t>
  </si>
  <si>
    <t>42:12:0102015:3019</t>
  </si>
  <si>
    <t>1.4.26.1588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</si>
  <si>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Славянская,143</t>
  </si>
  <si>
    <t>42:12:0102015:3021</t>
  </si>
  <si>
    <t>1.4.26.1589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</si>
  <si>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Славянская,144 </t>
  </si>
  <si>
    <t>42:12:0102015:3022</t>
  </si>
  <si>
    <t>1.4.26.1590</t>
  </si>
  <si>
    <t>42:12:0102015:3020</t>
  </si>
  <si>
    <t>1.4.26.1591</t>
  </si>
  <si>
    <t>42:12:0102015:3023</t>
  </si>
  <si>
    <t>1.4.26.1592</t>
  </si>
  <si>
    <t>42:12:0102015:3024</t>
  </si>
  <si>
    <t>1.4.26.1594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</si>
  <si>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Ледовая,180(р) </t>
  </si>
  <si>
    <t>42:12:0102015:3028</t>
  </si>
  <si>
    <t>1.4.26.1595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</si>
  <si>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Ключевая,24/1</t>
  </si>
  <si>
    <t>42:12:0102015:2900</t>
  </si>
  <si>
    <t>1.4.26.1596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</si>
  <si>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Ледовая,181(р) </t>
  </si>
  <si>
    <t>42:12:0102015:3029</t>
  </si>
  <si>
    <t>1.4.26.1597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</si>
  <si>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Ледовая,182(р) </t>
  </si>
  <si>
    <t>42:12:0102015:3030</t>
  </si>
  <si>
    <t>1.4.26.1598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</si>
  <si>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261(р)</t>
  </si>
  <si>
    <t>42:12:0102015:3016</t>
  </si>
  <si>
    <t>1.4.26.1599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</si>
  <si>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262(р)</t>
  </si>
  <si>
    <t>42:12:0102015:3017</t>
  </si>
  <si>
    <t>1.4.26.1600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</si>
  <si>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257р</t>
  </si>
  <si>
    <t>1.4.26.1601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</si>
  <si>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250(р)</t>
  </si>
  <si>
    <t>42:12:0102015:3014</t>
  </si>
  <si>
    <t>1.4.26.1602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</si>
  <si>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233(р)</t>
  </si>
  <si>
    <t>42:12:0102015:3011</t>
  </si>
  <si>
    <t>1.4.26.1603</t>
  </si>
  <si>
    <t>1.4.26.1604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</si>
  <si>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252(р)</t>
  </si>
  <si>
    <t>42:12:0102015:3015</t>
  </si>
  <si>
    <t>1.4.26.1605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</si>
  <si>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236(р)</t>
  </si>
  <si>
    <t>42:12:0102015:3012</t>
  </si>
  <si>
    <t>1.4.26.1607</t>
  </si>
  <si>
    <t>Российская Федерация, Кемеровская область- Кузбасс, Таштагольский муниципальный район,
Шерегешское городское поселение, пгт Шерегеш, ул.Славянская, земельный участок, 207р</t>
  </si>
  <si>
    <t>42:12:0102015:3034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</si>
  <si>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Рябиновая, земельный участок 112</t>
  </si>
  <si>
    <t>42:12:0102015:3036</t>
  </si>
  <si>
    <t>1.4.26.1608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</si>
  <si>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110(р) </t>
  </si>
  <si>
    <t>42:12:0102015:3038</t>
  </si>
  <si>
    <t>1.4.26.1609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</si>
  <si>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111(р) </t>
  </si>
  <si>
    <t>42:12:0102015:3039</t>
  </si>
  <si>
    <t>1.4.26.1610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</si>
  <si>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275р </t>
  </si>
  <si>
    <t>42:12:0102015:3050</t>
  </si>
  <si>
    <t>1.4.26.1611</t>
  </si>
  <si>
    <t>Земельный участок  для использования : транспорт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</si>
  <si>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 </t>
  </si>
  <si>
    <t>42:12:0102015:3053</t>
  </si>
  <si>
    <t>1.4.26.1612</t>
  </si>
  <si>
    <t>42:12:0102015:3049</t>
  </si>
  <si>
    <t>1.4.26.1613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</si>
  <si>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Звездная</t>
  </si>
  <si>
    <t>42:12:0102015:3054</t>
  </si>
  <si>
    <t>1.4.26.1614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</si>
  <si>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Рябиновая, земельный участок 247р</t>
  </si>
  <si>
    <t>42:12:0102015:3052</t>
  </si>
  <si>
    <t>1.4.26.1616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</si>
  <si>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277р</t>
  </si>
  <si>
    <t>42:12:0102015:3060</t>
  </si>
  <si>
    <t>1.4.26.1617</t>
  </si>
  <si>
    <t>42:12:0102015:3059</t>
  </si>
  <si>
    <t>1.4.26.1618</t>
  </si>
  <si>
    <t>42:12:0102015:3062</t>
  </si>
  <si>
    <t>1.4.26.1620</t>
  </si>
  <si>
    <t>42:12:0102015:3067</t>
  </si>
  <si>
    <t>1.4.26.1621</t>
  </si>
  <si>
    <t>42:12:0102015:3070</t>
  </si>
  <si>
    <t>1.4.26.1622</t>
  </si>
  <si>
    <t>42:12:0102015:3073</t>
  </si>
  <si>
    <t>1.4.26.1623</t>
  </si>
  <si>
    <t>42:12:0102015:3075</t>
  </si>
  <si>
    <t>1.4.26.1624</t>
  </si>
  <si>
    <t>Российская Федерация, Кемеровская область-Кузбасс, Таштагольский муниципальный район,
Шерегешское городское поселение, пгт. Шерегеш, ул.Славянская, земельный участок 217р</t>
  </si>
  <si>
    <t>42:12:0102015:3078</t>
  </si>
  <si>
    <t>1.4.26.1625</t>
  </si>
  <si>
    <t>42:12:0102015:3080</t>
  </si>
  <si>
    <t>1.4.26.1626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</si>
  <si>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Славянская,18р</t>
  </si>
  <si>
    <t>42:12:0102015:3085</t>
  </si>
  <si>
    <t>1.4.26.1627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</si>
  <si>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земельный участок 226р</t>
  </si>
  <si>
    <t>42:12:0102015:3086</t>
  </si>
  <si>
    <t>1.4.26.1628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</si>
  <si>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21(р) </t>
  </si>
  <si>
    <t>42:12:0102015:3087</t>
  </si>
  <si>
    <t>1.4.26.1629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</si>
  <si>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219р</t>
  </si>
  <si>
    <t>42:12:0102015:3088</t>
  </si>
  <si>
    <t>1.4.26.1630</t>
  </si>
  <si>
    <t>42:12:0102015:3093</t>
  </si>
  <si>
    <t>1.4.26.1632</t>
  </si>
  <si>
    <t>Российская Федерация, Кемеровская область-Кузбасс, Таштагольский муниципальный район,
Шерегешское городское поселение, пгт.Шерегеш, ул.Ледовая, земельный участок 186р</t>
  </si>
  <si>
    <t>42:12:0102015:3095</t>
  </si>
  <si>
    <t>1.4.26.1633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</si>
  <si>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249(р)</t>
  </si>
  <si>
    <t>42:12:0102015:3097</t>
  </si>
  <si>
    <t>1.4.26.1634</t>
  </si>
  <si>
    <t>42:12:0102015:3099</t>
  </si>
  <si>
    <t>1.4.26.1635</t>
  </si>
  <si>
    <t>42:12:0102015:3100</t>
  </si>
  <si>
    <t>1.4.26.1636</t>
  </si>
  <si>
    <t>42:12:0102015:3102</t>
  </si>
  <si>
    <t>1.4.26.1637</t>
  </si>
  <si>
    <t>42:12:0102015:3103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</si>
  <si>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212</t>
  </si>
  <si>
    <t>42:12:0102015:2894</t>
  </si>
  <si>
    <t>1.4.26.1638</t>
  </si>
  <si>
    <t>42:12:0102015:3107</t>
  </si>
  <si>
    <t>1.4.26.1639</t>
  </si>
  <si>
    <t>42:12:0102015:3109</t>
  </si>
  <si>
    <t>1.4.26.1641</t>
  </si>
  <si>
    <t>42:12:0102015:3110</t>
  </si>
  <si>
    <t>1.4.26.1642</t>
  </si>
  <si>
    <t>42:12:0102015:3116</t>
  </si>
  <si>
    <t>1.4.26.1643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</si>
  <si>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266(р)</t>
  </si>
  <si>
    <t>42:12:0102015:3122</t>
  </si>
  <si>
    <t>1.4.26.1645</t>
  </si>
  <si>
    <t>42:12:0102015:3125</t>
  </si>
  <si>
    <t>1.4.26.1646</t>
  </si>
  <si>
    <t>42:12:0102015:3127</t>
  </si>
  <si>
    <t>1.4.26.1647</t>
  </si>
  <si>
    <t>42:12:0102015:3128</t>
  </si>
  <si>
    <t>1.4.26.1648</t>
  </si>
  <si>
    <t>42:12:0102015:3130</t>
  </si>
  <si>
    <t>1.4.26.1649</t>
  </si>
  <si>
    <t>42:12:0102015:3132</t>
  </si>
  <si>
    <t>1.4.26.1650</t>
  </si>
  <si>
    <t>42:12:0102015:3135</t>
  </si>
  <si>
    <t>1.4.26.1651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</si>
  <si>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 Шерегеш, ул. Рябиновая, земельный участок 270 р </t>
  </si>
  <si>
    <t>42:12:0102015:3133</t>
  </si>
  <si>
    <t>1.4.26.1653</t>
  </si>
  <si>
    <t>42:12:0102015:3138</t>
  </si>
  <si>
    <t>1.4.26.1654</t>
  </si>
  <si>
    <t>42:12:0102015:3148</t>
  </si>
  <si>
    <t>1.4.26.1655</t>
  </si>
  <si>
    <t>42:12:0102015:3149</t>
  </si>
  <si>
    <t>1.4.26.1656</t>
  </si>
  <si>
    <t>42:12:0102015:3152</t>
  </si>
  <si>
    <t>136145.36</t>
  </si>
  <si>
    <t>1.4.26.1657</t>
  </si>
  <si>
    <t>42:12:0102015:3154</t>
  </si>
  <si>
    <t>Земельный участок  для использования : Коммунальное обслуживание</t>
  </si>
  <si>
    <t>1.4.26.1659</t>
  </si>
  <si>
    <t>42:12:0102015:3159</t>
  </si>
  <si>
    <t>1.4.26.1660</t>
  </si>
  <si>
    <t>42:12:0102015:3160</t>
  </si>
  <si>
    <t>Земельный участок  для использования : ведение рекреационной деятельности</t>
  </si>
  <si>
    <t>1.4.26.1661</t>
  </si>
  <si>
    <t>42:12:0102015:3161</t>
  </si>
  <si>
    <t>1.4.26.1665</t>
  </si>
  <si>
    <t>42:12:0102015:3171</t>
  </si>
  <si>
    <t>100436,.96</t>
  </si>
  <si>
    <t>1.4.26.1666</t>
  </si>
  <si>
    <t>42:12:0102015:3170</t>
  </si>
  <si>
    <t>1.4.26.1667</t>
  </si>
  <si>
    <t>42:12:0102015:3178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</si>
  <si>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Ключевая,земельный участок 10/1 </t>
  </si>
  <si>
    <t>1.4.26.1668</t>
  </si>
  <si>
    <t>42:12:0102015:3187</t>
  </si>
  <si>
    <t>1.4.26.1669</t>
  </si>
  <si>
    <t>42:12:0102015:3198</t>
  </si>
  <si>
    <t>1.4.26.1670</t>
  </si>
  <si>
    <t>42:12:0102015:3204</t>
  </si>
  <si>
    <t>1.4.26.1671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</si>
  <si>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 земельный участок 154 </t>
  </si>
  <si>
    <t>42:12:0102015:3203</t>
  </si>
  <si>
    <t>1.4.26.1673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</si>
  <si>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Рябиновая,244(р)</t>
  </si>
  <si>
    <t>42:12:0102015:3214</t>
  </si>
  <si>
    <t>1.4.26.1674</t>
  </si>
  <si>
    <t>42:12:0102015:3210</t>
  </si>
  <si>
    <t>1.4.26.1677</t>
  </si>
  <si>
    <t>Российская Федерация, Кемеровская область-Кузбасс, муниципальный район Таштагольский, городское  поселение Шерегешское, поселок городского типа Шерегеш, улица Рябиновая, земельный участок No256р</t>
  </si>
  <si>
    <t>42:12:0102015:3224</t>
  </si>
  <si>
    <t>1.4.26.1678</t>
  </si>
  <si>
    <t>42:12:0102015:3229</t>
  </si>
  <si>
    <t>1.4.26.1679</t>
  </si>
  <si>
    <t>42:12:0102015:3233</t>
  </si>
  <si>
    <t>1.1.864</t>
  </si>
  <si>
    <t>часть жилого дома</t>
  </si>
  <si>
    <r>
      <t>Кемеровская область, Таштагольское городское поселение, г. Таштагол, ул. Ломоносова</t>
    </r>
    <r>
      <rPr>
        <sz val="10"/>
        <color theme="0"/>
        <rFont val="Arial Cyr"/>
        <charset val="204"/>
      </rPr>
      <t>,24а-1</t>
    </r>
  </si>
  <si>
    <t>24а-1</t>
  </si>
  <si>
    <t>42:34:0102014:70</t>
  </si>
  <si>
    <t>1 -2 этажи</t>
  </si>
  <si>
    <t>1.1.865</t>
  </si>
  <si>
    <r>
      <t>Российская Федерация, Кемеровская область - Кузбасс, Таштагольский муниципальный район, Мундыбашское городское поселение, пгт. Мундыбаш, ул. Октябрьская</t>
    </r>
    <r>
      <rPr>
        <sz val="10"/>
        <color theme="0"/>
        <rFont val="Arial Cyr"/>
        <charset val="204"/>
      </rPr>
      <t>,34</t>
    </r>
  </si>
  <si>
    <t>42:12:0106002:4842</t>
  </si>
  <si>
    <t>Теплоэффективные трехслойные блоки</t>
  </si>
  <si>
    <t>1.1.865.1</t>
  </si>
  <si>
    <t>42:12:0106002:4845</t>
  </si>
  <si>
    <t>1.1.865.3</t>
  </si>
  <si>
    <t>42:12:0106002:4847</t>
  </si>
  <si>
    <t>1.1.865.4</t>
  </si>
  <si>
    <t>42:12:0106002:4848</t>
  </si>
  <si>
    <t>1.1.865.5</t>
  </si>
  <si>
    <t>42:12:0106002:4849</t>
  </si>
  <si>
    <t>1.1.865.6</t>
  </si>
  <si>
    <t>42:12:0106002:4850</t>
  </si>
  <si>
    <t>1.1.865.7</t>
  </si>
  <si>
    <t>42:12:0106002:4851</t>
  </si>
  <si>
    <t>1.1.865.8</t>
  </si>
  <si>
    <t>Российская Федерация, Кемеровская область - Кузбасс, Таштагольский муниципальный район, Таштагольское городское поселение, город Таштагол, улица Островского, здание 10г/2</t>
  </si>
  <si>
    <t xml:space="preserve">Российска Федерация, Кемеровская область - Кузбасс, Таштагольский муниципальный район, Таштагольское городское поселение, город Таштагол, улица Геологическая, здание 68 </t>
  </si>
  <si>
    <t>Российская Федерация, Кемеровская область - Кузбасс, Таштагольский муниципальный район, городское поселение Таштагольское, город Таштагол, улица Ленина, здание 19а</t>
  </si>
  <si>
    <t>1.4.26.1682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</si>
  <si>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Ледовая,194 (р) </t>
  </si>
  <si>
    <t>42:12:0102015:3245</t>
  </si>
  <si>
    <t>1.4.26.1683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</si>
  <si>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Ледовая,184 (р) </t>
  </si>
  <si>
    <t>42:12:0102015:3250</t>
  </si>
  <si>
    <t>Кемеровская область, Таштагольский муниципальный район, Таштагольское городское поселение, г. Таштагол, ул. Матросова, 40/1</t>
  </si>
  <si>
    <t>42:34:0102050:197</t>
  </si>
  <si>
    <t>1.4.230</t>
  </si>
  <si>
    <t>Кемеровская область, Таштагольский район, пгт.Каз, ул.Токарева, №20а</t>
  </si>
  <si>
    <t>42:12:0104001:3787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</si>
  <si>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43 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</si>
  <si>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45</t>
  </si>
  <si>
    <t>1.2.499</t>
  </si>
  <si>
    <t>Гараж (инв.1013320171228001)</t>
  </si>
  <si>
    <t>Кемеровская область, Таштагольский муниципальный район, Таштагольское городское поселение, г. Таштагол, ул. Скворцова,42</t>
  </si>
  <si>
    <t>1.2.500</t>
  </si>
  <si>
    <t>Служебное помещение общего пользования (туалет)</t>
  </si>
  <si>
    <t>1.2.501</t>
  </si>
  <si>
    <t xml:space="preserve">Административное здание </t>
  </si>
  <si>
    <t>1.2.502</t>
  </si>
  <si>
    <t>Отдельно стоящее нежилое здание ЦТП</t>
  </si>
  <si>
    <t>42:34:0102050:322</t>
  </si>
  <si>
    <t>1.2.503</t>
  </si>
  <si>
    <t>Нежилое здание (гараж)</t>
  </si>
  <si>
    <t>Кемеровская область, Таштагольский район, пгт. Мундыбаш, ул. Григорьева, д.22</t>
  </si>
  <si>
    <t>42:12:0106003:1130</t>
  </si>
  <si>
    <t>1.2.504</t>
  </si>
  <si>
    <t>Российская Федерация, Кемеровская область - Кузбасс, Таштагольский муниципальный район,
Таштагольское городское поселение, г. Таштагол, ул. Урицкого, зд. 96/1</t>
  </si>
  <si>
    <t>42:34:0113034:33</t>
  </si>
  <si>
    <t>2-х этажное,  кирпичные</t>
  </si>
  <si>
    <t>1.2.505</t>
  </si>
  <si>
    <t xml:space="preserve">Отдельно стоящее нежилое здание скорой медицинской помощи </t>
  </si>
  <si>
    <t>Кемеровская область, Таштагольский район, пгт.Каз, ул.Токарева,20а</t>
  </si>
  <si>
    <t xml:space="preserve">42:12:0104001:3744 </t>
  </si>
  <si>
    <t>1-но этажное , кирпичное, шлакоблочное</t>
  </si>
  <si>
    <t>1.3.221</t>
  </si>
  <si>
    <t>Встроенное нежилое помещение / П13430003566</t>
  </si>
  <si>
    <t>Кемеровская область, Шерегешское городское поселение, пгт Шерегеш, ул. Дзержинского, д.2, пом. 67</t>
  </si>
  <si>
    <t>42:12:0102003:1194</t>
  </si>
  <si>
    <t>1.3.222</t>
  </si>
  <si>
    <t>Кемеровская область, Таштагольский район,пгт.Каз, ул.Токарева,14</t>
  </si>
  <si>
    <t xml:space="preserve">42:12:0104001:3735 </t>
  </si>
  <si>
    <t>1.4.26.1685</t>
  </si>
  <si>
    <t>1.4.26.1686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</si>
  <si>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улица Ледовая, 197(р)</t>
  </si>
  <si>
    <t>42:12:0102015:3256</t>
  </si>
  <si>
    <t>42:12:0102015:3255</t>
  </si>
  <si>
    <t>1.4.26.1687</t>
  </si>
  <si>
    <t>Российская Федерация, Кемеровская область-Кузбасс, Таштагольский муниципальный район, Шерегешское городское поселение, пгт Шерегеш, ул Ледовая, земельный участок 190р</t>
  </si>
  <si>
    <t>42:12:0102015:3268</t>
  </si>
  <si>
    <t>1.4.26.1688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</si>
  <si>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Ледовая, земельный участок 191р </t>
  </si>
  <si>
    <t>42:12:0102015:3269</t>
  </si>
  <si>
    <t xml:space="preserve">В безвозмезд. пользов. государственного казенного учреждения «Центр хозяйственного и материально-технического обеспечения мировых судей в Кузбассе» </t>
  </si>
  <si>
    <t xml:space="preserve">Распр. админ. Таштагол. муниц. района от 19.07.2022 года №320-р; договор безвоз.польз. </t>
  </si>
  <si>
    <t>В безвозм. польз. гос. казенноого учреждения «Центр хозяйственного и материально-технического обеспечения мировых судей в Кузбассе»</t>
  </si>
  <si>
    <t xml:space="preserve">Распр. админ. Таштагол. муниц. района от 08.06.2022 года №260-р-расторжение;  распр. админ. Таштагол. муниц. района от 19.07..2022 года №320-р; договор безвоз. польз. </t>
  </si>
  <si>
    <t>1.4.26.1690</t>
  </si>
  <si>
    <t>42:12:0102015:3296</t>
  </si>
  <si>
    <t>1.1.850.60</t>
  </si>
  <si>
    <t>42:12:0106002:4469</t>
  </si>
  <si>
    <t>1.1.838.24</t>
  </si>
  <si>
    <t>42:12:0106002:4308</t>
  </si>
  <si>
    <t>1.1.751.17</t>
  </si>
  <si>
    <t>42:12:0106002:3847</t>
  </si>
  <si>
    <t>1.1.507.4</t>
  </si>
  <si>
    <t>42:12:0105002:2496</t>
  </si>
  <si>
    <t>1.1.34.11</t>
  </si>
  <si>
    <t>42:34:0102064:321</t>
  </si>
  <si>
    <t>1.1.488.7</t>
  </si>
  <si>
    <t>42:12:0105004:124</t>
  </si>
  <si>
    <t>1.1.847.22</t>
  </si>
  <si>
    <t>42:12:0105002:3380</t>
  </si>
  <si>
    <t>1.1.499.11</t>
  </si>
  <si>
    <t>1.1.500.9</t>
  </si>
  <si>
    <t>42:12:0105002:3156</t>
  </si>
  <si>
    <t>42:12:0105002:3705</t>
  </si>
  <si>
    <t>1.1.780.22</t>
  </si>
  <si>
    <t>42:12:0105002:2197</t>
  </si>
  <si>
    <t>1.1.481.9</t>
  </si>
  <si>
    <t>42:12:0105002:2184</t>
  </si>
  <si>
    <t>1.1.825.28</t>
  </si>
  <si>
    <t>1.1.432.3</t>
  </si>
  <si>
    <t>42:12:0104001:2017</t>
  </si>
  <si>
    <t>1.1.416.3</t>
  </si>
  <si>
    <t>42:12:0104001:3116</t>
  </si>
  <si>
    <t>1.1.423.12</t>
  </si>
  <si>
    <t>42:12:0104001:1204</t>
  </si>
  <si>
    <t>1.1.192.8</t>
  </si>
  <si>
    <t>1.1.192.9</t>
  </si>
  <si>
    <t>42:34:0101020:51</t>
  </si>
  <si>
    <t>42:34:0101020:56</t>
  </si>
  <si>
    <t>1.1.290.6</t>
  </si>
  <si>
    <t>42:12:0102001:1634</t>
  </si>
  <si>
    <t>1.1.169.15</t>
  </si>
  <si>
    <t>42:34:0101037:75</t>
  </si>
  <si>
    <t>1.1.290.7</t>
  </si>
  <si>
    <t xml:space="preserve">42:12:0102001:1253 </t>
  </si>
  <si>
    <t>1.1.171.13</t>
  </si>
  <si>
    <t>1.1.181.9</t>
  </si>
  <si>
    <t xml:space="preserve">42:34:0101021:48 </t>
  </si>
  <si>
    <t>1.1.182.5</t>
  </si>
  <si>
    <t>1.1.182.6</t>
  </si>
  <si>
    <t>42:34:0101010:72</t>
  </si>
  <si>
    <t>42:34:0101010:74</t>
  </si>
  <si>
    <t>42:12:0112001:653</t>
  </si>
  <si>
    <t>42:12:0112001:491</t>
  </si>
  <si>
    <t>42:12:0112001:651</t>
  </si>
  <si>
    <t>Земельный участок, использование: Для объектов общественно-делового значения</t>
  </si>
  <si>
    <t>42:34:0105004:122</t>
  </si>
  <si>
    <t xml:space="preserve">2 этаж        </t>
  </si>
  <si>
    <t xml:space="preserve">3 этаж    </t>
  </si>
  <si>
    <t>В  аренде  ИП Колодько Л.А.</t>
  </si>
  <si>
    <t>ст. 17.1. ФЗ РФ от 26.07.2006 №135-ФЗ; договор аренды №61 от 29.04.2022 г.  (15.04.2021-14.04.2027)</t>
  </si>
  <si>
    <t>Распр. Админстр. Таштагол.муниц. района от 02.06.2015 г. №310-р; договор аренды №96 от 13.08.2016 г.</t>
  </si>
  <si>
    <t>В аренде ИП Болдышевой Н.Г.</t>
  </si>
  <si>
    <t>ст. 17.1. ФЗ РФ от 26.07.2006 №135-ФЗ; договор аренды №30 от 31.03.2021 г. (10.03.2021-08.03.2022); договор аренды №75 от 14.06.2021 г. (09.03.2022-07.03.2023)</t>
  </si>
  <si>
    <t>В аренде ИП Стеблянской О.В.</t>
  </si>
  <si>
    <t>В аренде Мусатовой М.В.</t>
  </si>
  <si>
    <t>В аренде Концевич М.А.</t>
  </si>
  <si>
    <t>ст. 17.1. ФЗ РФ от 26.07.2006 №135-ФЗ; договор аренды №21 от 21.01.2022 г.  (10.12.2021-09.12.2026)</t>
  </si>
  <si>
    <t xml:space="preserve"> В аренде ООО Частная охранная организация "Сибирь-СБ"</t>
  </si>
  <si>
    <t>ст. 17.1. ФЗ РФ от 26.07.2006 №135-ФЗ; договор аренды №27 от 21.01.2022 г. (10.12.2021-09.12.2022)</t>
  </si>
  <si>
    <t>В арендном пользовании Радченко Н.Н.</t>
  </si>
  <si>
    <t>ст. 17.1. ФЗ РФ от 26.07.2006 №135-ФЗ; договор аренды №32 от 26.01.2022 г. (26.01.2022-25.01.2027)</t>
  </si>
  <si>
    <t>В аренде ИП Казакова К.А.</t>
  </si>
  <si>
    <t>ст.17.1 №135-ФЗ от 26.07.2006;  договор аренды №34 от 26.01.2022 г. (28.12.2021-27.12.2026)</t>
  </si>
  <si>
    <t>ст. 17.1. ФЗ РФ от 26.07.2006 №135-ФЗ; договор аренды №24 от 21.01.2022г. ( 30.07.2021-28.07.2022); распр. АТМР от 19.01.2022 №35-р (о даче согласия на передачу в субаренду 3 кв.м); договор аренды №92 от 18.07.2022г. (29.07.2022-27.07.2023)</t>
  </si>
  <si>
    <t>ст. 17.1. ФЗ РФ от 26.07.2006 №135-ФЗ; договор аренды №25 от 21.01.2022 г. ( 30.07.2021-28.07.2022); договор аренды №93 от 18.07.2022г. (29.07.2022-27.07.2023)</t>
  </si>
  <si>
    <t>В аренде ООО "Аптекарский огород"</t>
  </si>
  <si>
    <t>1.3.36.2</t>
  </si>
  <si>
    <t>42:34:0106002:2000</t>
  </si>
  <si>
    <t>В оперативном управлении МАУ "Управление капитального строительства ТМР"</t>
  </si>
  <si>
    <t>Распр. админст. Таштагол.муниц. района  от 21.03.2022 г. №121-р-расторжение договора №16 безвоз.польз.; распр. админст. Таштагол.муниц. района  от 21.03.2022 г. №122-р; Оперативное управление, 42:34:0106002:2000-42/082/2022-2 от 06.04.2022</t>
  </si>
  <si>
    <t>В аренде индивидуального предпринимателя  Уткиной И.А.</t>
  </si>
  <si>
    <t xml:space="preserve"> № 42-42/012-42/107/013/2015-162/2  от 28.04.2015  (Аренда) ; Ст. 17.1. ФЗ РФ от 26.07.2006 №135-ФЗ;  договор аренды №50 от 01.04.2022 г.  (27.012.2021-26.12.2022)</t>
  </si>
  <si>
    <t>В аренде ИП Улагашевой В.Ю.</t>
  </si>
  <si>
    <t>ст. 17.1. ФЗ РФ от 26.07.2006 №135-ФЗ; договор аренды №55 от 28.04.2022 г.  (15.03.2022-14.03.2027)</t>
  </si>
  <si>
    <t xml:space="preserve">Распр. админстр. Таштагол.муниц. района  от 21.03.2022 №120-р; договор безвоз. польз. </t>
  </si>
  <si>
    <t>В арендном пользовании Вейсс Е.Г.</t>
  </si>
  <si>
    <t>ст. 17.1. ФЗ РФ от 26.07.2006 №135-ФЗ;  договор аренды №70 от 28.04.2022 г. (28.12.2021-26.12.2022)</t>
  </si>
  <si>
    <t>ст. 17.1. ФЗ РФ от 26.07.2006 №135-ФЗ;  договор аренды №71 от 14.07.2022 г. (11.12.2021-10.12.2026)</t>
  </si>
  <si>
    <t>ст. 17.1. ФЗ РФ от 26.07.2006 №135-ФЗ; договор аренды №20 от 21.01.2022 г.  (30.07.2021-28.07.2022); договор аренды №90 от 18.07.2022 г.  (29.07.2022-27.07.2023)</t>
  </si>
  <si>
    <t>ст. 17.1. ФЗ РФ от 26.07.2006 №135-ФЗ; договор аренды от №76 от 14.06.2022 (30.07.2021-28.07.2022); договор аренды от №87 от 11.07.2022 (29.07.2022-27.07.2023)</t>
  </si>
  <si>
    <t xml:space="preserve">Распр. админстр. Таштагол.муниц. района от 17.08.2022 г. №355-р; договор </t>
  </si>
  <si>
    <t>Распоряжение  КУМИ от 10.05.2011 г. №239; договор хозяйственного ведения от 10.05.2011 г.; № 42:12:0104001:3652-42/082/2022-1 08.02.2022 (Хозяйственное ведение)</t>
  </si>
  <si>
    <t>Протокол проведения открытого аукциона №1 от 17.01.2022; договор аренды №13 от 17.01.2022 (28.01.2022-26.01.2023)</t>
  </si>
  <si>
    <t>Протокол проведения открытого аукциона №1 от 17.01.2022; договор аренды №12 от 17.01.2022 (28.01.2022-26.01.2023)</t>
  </si>
  <si>
    <t>Распоряжение  КУМИ от 10.05.2011 г. №239; договор хозяйственного ведения от 10.05.2011 г.; №42:12:0105002:3275-42/082/2022-1 08.02.2022 (Хозяйственное ведение)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</si>
  <si>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104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</si>
  <si>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101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</si>
  <si>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102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</si>
  <si>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103</t>
  </si>
  <si>
    <t>№ 42-42-12/001/2010-099 от 05.02.2010  (Аренда); ст. 17.1. ФЗ РФ от 26.07.2006 №135-ФЗ; договор аренды №77  от 14.06.2022 (26.03.2022-25.03.2027)</t>
  </si>
  <si>
    <t>В аренде "ООО "Гермес"</t>
  </si>
  <si>
    <t>Протокол проведения открытого аукциона №2 от 18.01.2022; договор аренды №14 от 18.01.2022 (29.01.2022-27.01.2023)</t>
  </si>
  <si>
    <t>ст. 17.1. ФЗ РФ от 26.07.2006 №135-ФЗ; договор аренды №45 от 22.03.2022 г.  (16.09.2021-15.09.2026)</t>
  </si>
  <si>
    <t>ст. 17.1. ФЗ РФ от 26.07.2006 №135-ФЗ;  договор аренды №88 от 08.07.2022 г. (09.04.2022-08.04.2027)</t>
  </si>
  <si>
    <t>ст. 17.1. ФЗ РФ от 26.07.2006 №135-ФЗ;  договор аренды №65 от 27.05.2022 г. (24.05.2022-22.05.2023)</t>
  </si>
  <si>
    <t>ст. 17.1. ФЗ РФ от 26.07.2006 №135-ФЗ; договор аренды №63 от 27.05.2022 (09.05.2022-08.05.2027)</t>
  </si>
  <si>
    <t>п.7 ст. 17.1. ФЗ РФ от 26.07.2006 №135-ФЗ;  договор аренды №46 от 28.03.2022 г. (17.10.2021-15.10.2022)</t>
  </si>
  <si>
    <t>п.7 ст. 17.1. ФЗ РФ от 26.07.2006 №135-ФЗ;  договор аренды №36 от 25.02.2022 г. (06.03.2022-05.02.2023)</t>
  </si>
  <si>
    <t>п.7 ст. 17.1. ФЗ РФ от 26.07.2006 №135-ФЗ;  договор аренды №82 от 23.06.2022 г. (28.01.2022-26.01.2023)</t>
  </si>
  <si>
    <t>В аренде ООО "Расчетно-кассовый центр"</t>
  </si>
  <si>
    <t>ст. 17.1. ФЗ РФ от 26.07.2006 №135-ФЗ;  договор аренды №64 от 27.05.2022 г. (24.05.2022-22.05.2023)</t>
  </si>
  <si>
    <t xml:space="preserve">В оперативном управлении управления муниципальному автономному учреждению «Управление капитального строительства Таштагольского муниципального района» </t>
  </si>
  <si>
    <t>Распр. админстр. Таштагол.муниц. района от 17.08.2022 г. №356-р</t>
  </si>
  <si>
    <t>Распр. КУМИ Таштагол. муниц. района №13 от 14.02.2017 г. ; договор аренды №56 от 28.04.2022 г.  (09.02.2022-08.02.2027)</t>
  </si>
  <si>
    <t>ст. 17.1. ФЗ РФ от 26.07.2006 №135-ФЗ; договор аренды №22 от 21.01.2022 г. (16.09.2021-15.09.2026)</t>
  </si>
  <si>
    <t>Ст. 17.1. ФЗ РФ от 26.07.2006 №135-ФЗ; договор аренды №6  от 11.01.2022 г.  (01.01.2022-31.12.2022)</t>
  </si>
  <si>
    <t>Ст. 17.1. ФЗ РФ от 26.07.2006 №135-ФЗ; договор аренды №5  от 11.01.2022 г.  (01.01.2022-30.12.2022)</t>
  </si>
  <si>
    <t xml:space="preserve">42:34:0102050:339   </t>
  </si>
  <si>
    <t xml:space="preserve">42:34:0102050:337  </t>
  </si>
  <si>
    <t xml:space="preserve">42:34:0102050:338 </t>
  </si>
  <si>
    <t xml:space="preserve">42:34:0102050:340 </t>
  </si>
  <si>
    <t>42:34:0102050:341</t>
  </si>
  <si>
    <t>1.3.131</t>
  </si>
  <si>
    <t>свободное-коридор и тамбур</t>
  </si>
  <si>
    <t>42:12:0105002:3771</t>
  </si>
  <si>
    <t>42:12:0105002:3772</t>
  </si>
  <si>
    <t>ст. 17.1. ФЗ РФ от 26.07.2006 №135-ФЗ; договор аренды №41 от 22.03.2022 (24.10.2021-22.10.2022)</t>
  </si>
  <si>
    <t>Распр. админстр. Таштагол.муниц. района от 02.12.2019г. №479-р-в субаренде 3 кв.м; ст. 17.1. ФЗ РФ от 26.07.2006 №135-ФЗ; договор аренды №40 от 22.03.2022 (27.10.2021-25.10.2022)</t>
  </si>
  <si>
    <t>Распр. Админстр. Таштагол.муниц. района от 26.06.2015 г. №364-р; договор аренды №4 от 29.12.20210  (01.01.2022-30.12.2022)</t>
  </si>
  <si>
    <t>ст. 17.1. ФЗ РФ от 26.07.2006 №135-ФЗ; договор аренды  №62 от 27.05.2022 г. ( 21.05.2022-19.05.2023)</t>
  </si>
  <si>
    <t xml:space="preserve">Распр. админ. Таштагол. муниц. района от 08.06.2022 года №262-р; договор безвоз.польз.; распр. админ. Таштагол. муниц. района от 04.08.2022 года №344-р; договор безвоз.польз.  </t>
  </si>
  <si>
    <t>ст. 17.1. ФЗ РФ от 26.07.2006 №135-ФЗ;  договор аренды №67 от 10.06.2022 г. (11.06.2022-09.06.2023)</t>
  </si>
  <si>
    <t>Ст. 17.1. ФЗ РФ от 26.07.2006 №135-ФЗ;  договор аренды №49 от 18.03.2022 г.  (18.01.2022-16.01.2023)</t>
  </si>
  <si>
    <t>Договор безвозмезд. пользов. от 04.02.2014 г. №6, распр. Админстр. Таштагол.муниц. района  от 15.03.2013 №188-р; распр. Админстрации Таштагол.муниц. района от 12.04.2018 г. №249-р</t>
  </si>
  <si>
    <t>1.2.40.4.9.1</t>
  </si>
  <si>
    <t>В безвозмезд. пользов. муниципального бюджетного учреждения культуры «Централизованная клубная система Таштагольского муниципального района»</t>
  </si>
  <si>
    <t>Распр. Админстрации Таштагол. муниц. района от 13.05.2022 г. №204-р; распр. Админстрации Таштагол. муниц. района от 13.05.2022 г. №203-р;</t>
  </si>
  <si>
    <t>Распр. Админстрации Таштагол.муниц. района от 12.04.2018 г. №246-р; договор безвозмезд. пользов. от 12.04.2018 №6</t>
  </si>
  <si>
    <t>ст. 17.1. ФЗ РФ от 26.07.2006 №135-ФЗ; договор аренды №28 от 21.01.2022 г. (07.01.2022-05.01.2023)</t>
  </si>
  <si>
    <t>ст. 17.1. ФЗ РФ от 26.07.2006 №135-ФЗ; договор аренды №74 от 14.06.2022 г. (07.01.2022-05.01.2023)</t>
  </si>
  <si>
    <t>ст. 17.1. ФЗ РФ от 26.07.2006 №135-ФЗ; договор аренды №73 от 14.06.2022 г. (07.01.2022-05.01.2023)</t>
  </si>
  <si>
    <t>п.7 ст. 17.1. ФЗ РФ от 26.07.2006 №135-ФЗ; договор аренды №58 от 19.04.2022 г.  (19.04.2022-18.03.2023)</t>
  </si>
  <si>
    <t>В аренде Целищевой Т.В.</t>
  </si>
  <si>
    <t>Распр. Админстр. Таштагол.муниц. района  от 11.02.2014г. №44-р; государственный контракт №44 от 15.03.2022 г. (01.01.2022-30.12.2022)</t>
  </si>
  <si>
    <t>п.7 ст. 17.1. ФЗ РФ от 26.07.2006 №135-ФЗ; договор аренды  №8 от 29.12.2021 г. (05.01.2022-04.12.2022)</t>
  </si>
  <si>
    <t>В безвмездном пользовании Управления государственной инспекции по надзору за техническим состоянием самоходных машин и других видов техники Кузбасса</t>
  </si>
  <si>
    <t>В безвмездном пользовании территориальной избирательной комиссии Кемеровской области-Кузбасса</t>
  </si>
  <si>
    <t xml:space="preserve">Распр. Админстр. Таштагол.муниц. района  от 10.03.2021 №86-р; договор безвмез. польз. </t>
  </si>
  <si>
    <t>4-х этажное, кирпичное (3 этаж)</t>
  </si>
  <si>
    <t>В безвозмезд. польз. финансового управления по Таштагольскому муниципальному  району</t>
  </si>
  <si>
    <t>В безвозмезд. польз. КУМИ Таштагольского муниципального р-на</t>
  </si>
  <si>
    <t xml:space="preserve">Распр. Админстр. Таштагол.муниц. района  от 10.03.2021 №84-р; договор безвмез. польз. </t>
  </si>
  <si>
    <t>В безвмездном пользовании МКУ "Единая дежурно-диспетчерская служба "Ташт.муниц.р-на</t>
  </si>
  <si>
    <t>В безвмездном пользовании администрации Таштагольского муниципального района</t>
  </si>
  <si>
    <t>ст. 17.1. ФЗ РФ от 26.07.2006 №135-ФЗ; договор аренды №78 от 14.06.2022  (01.01.2022-31.12.2026)</t>
  </si>
  <si>
    <t>п.7 ст. 17.1. ФЗ РФ от 26.07.2006 №135-ФЗ; договор аренды №59 от 19.04.2022 г.  (19.04.2022-18.03.2023)</t>
  </si>
  <si>
    <t>В хозяйственном ведении МП"Темиртауское"</t>
  </si>
  <si>
    <t>МП"Темиртауское" № 42-42-12/007/2008-026  от 10.04.2008  (Хозяйственное ведение); ; распр. АТМР от 24.02.2022 года №89-р</t>
  </si>
  <si>
    <t>В хозяйственном ведении МП "Темиртауский хлебокомбинат"; №42:12:0105003:1190-42/082/2022-2 от 24.02.2022 (Хозяйственное ведение)</t>
  </si>
  <si>
    <t>Распр. администрации города Таштагола от 04.10.1995; №42:12:0105003:1178-42/082/2022-2 от 09.02.2022 (Хозяйственное ведение)</t>
  </si>
  <si>
    <t>Распр. администрации города Таштагола от 04.10.1995; №42:12:0105003:1179-42/082/2022-2 от 09.02.2022 (Хозяйственное ведение)</t>
  </si>
  <si>
    <t>42:12:0105003:1190</t>
  </si>
  <si>
    <t>42:12:0105003:1178</t>
  </si>
  <si>
    <t>42:12:0105003:1179</t>
  </si>
  <si>
    <t>1-но этажное, бет.блоки, кирпичное</t>
  </si>
  <si>
    <t>ст. 17.1. ФЗ РФ от 26.07.2006 №135-ФЗ; договор аренды №96 от 19.04.2022  (11.04.2021-10.04.2026)</t>
  </si>
  <si>
    <t>п.7 ст. 17.1. ФЗ РФ от 26.07.2006 №135-ФЗ; договор аренды №60 от 19.04.2022 г.  (19.04.2022-18.03.2023)</t>
  </si>
  <si>
    <t>1.2.157.24</t>
  </si>
  <si>
    <t>1.2.157.25</t>
  </si>
  <si>
    <t>1.2.157.26</t>
  </si>
  <si>
    <t>Встроенное нежилое помещение (совместно с администрацией Мундыбашского городского поселения )</t>
  </si>
  <si>
    <t>1.2.157.27</t>
  </si>
  <si>
    <t>3-х этажное с цокольным этажом, кирпичное-3 этаж</t>
  </si>
  <si>
    <t>3-х этажное, кирпичное  (с цокольным этажом)-3 этаж</t>
  </si>
  <si>
    <t>Распр. админстр. Таштагол.муниц. района от 19.12.2016 г. №1759-р; договор аренды от 20.09.2017 г. №118 (по 18.09.2018 г.)</t>
  </si>
  <si>
    <t>Распр. админстр. Таштагол.муниц. района от 19.02.2016 г. №106-р; договор безвозмездного пользования</t>
  </si>
  <si>
    <t>Договор безвозмездного пользования от 17.12.2012 г. №31 , расп. КУМИ №615 от 17.12.2012 г.</t>
  </si>
  <si>
    <t>ст. 17.1. ФЗ РФ от 26.07.2006 №135-ФЗ; договор аренды №110 от 08.10.2020 г.  (31.07.2020-29.07.2021); распр. админстр. Таштагол. муниц. района от 13.12.2021 г. №485-р; распр. админстр. Таштагол. муниц. района от 13.12.2021 г. №485-р; распр. админстр. Таштагол. муниц. района от 30.03.2022 г. №136-р</t>
  </si>
  <si>
    <t>Распр. КУМИ ТМР от 26.03.2021 г. №4 (на 30 календарных дней); договор аренды №28 от 26.03.2021 (01.04.2021-30.04.2021); распр. админстр. Таштагол. муниц. района от 13.12.2021 г. №485-р; распр. админстр. Таштагол.муниц. района от 30.03.2022 г. №136-р</t>
  </si>
  <si>
    <t>В арендном пользовании ; расп. №163 от 04.05.2010г.</t>
  </si>
  <si>
    <t xml:space="preserve">Распр. Админ. Таштагол. муниципал. района от 17.12.2015 г №888-р; договор аренды №135 от 28.12.2016 г. (по 26.12.2017 г.) </t>
  </si>
  <si>
    <t>Распр. админстр. Таштагол. муниц. района от 24.11.2016 г. №1660-р; договор аренды от 16.05.2018. №10 (01.01.2018-32.12.2018)</t>
  </si>
  <si>
    <t>п.7 ст. 17.1. ФЗ РФ от 26.07.2006 №135-ФЗ; договор аренды  №43 от 22.03.2022г. (23.03.2022-21.03.2023)</t>
  </si>
  <si>
    <t>Совет ветеранов</t>
  </si>
  <si>
    <t xml:space="preserve">В безвозмездном пользовании  государственного казенного учреждения «Центр хозяйственного и материально-технического обеспечения мировых судей в Кузбассе» </t>
  </si>
  <si>
    <t xml:space="preserve">Распр. админ. Таштагол. муниц. района от 09.07.2021  №240-р; договор  безвозм.польз. </t>
  </si>
  <si>
    <t>В безвоз. пользовании администрация Мундыбашского городского поселения</t>
  </si>
  <si>
    <t>Распр. админстр. Таштагол. муниц. района от 10.03.2021 г. №85-р; договор  безвозм.польз.</t>
  </si>
  <si>
    <t>Распр. админстр. Таштагол. муниц. района от 11.11.2020 г. №369-р; договор  безвозм.польз.</t>
  </si>
  <si>
    <t xml:space="preserve">п.7 ст. 17.1. ФЗ РФ от 26.07.2006 №135-ФЗ; договор аренды №3 от 29.12.2021  (01.01.2022-30.12.2022) </t>
  </si>
  <si>
    <t>ст. 17.1. ФЗ РФ от 26.07.2006 №135-ФЗ; договор аренды №72 от 27.09.2021 г.  (19.10.2021-17.10.2022) ;договор аренды №91 от 18.07.2022 г.  (18.07.2022-17.04.2027)</t>
  </si>
  <si>
    <t>В оперативном управлении МКУ «Детский дом - «Родник»</t>
  </si>
  <si>
    <t>ст. 17.1. ФЗ РФ от 26.07.2006 №135-ФЗ; договор аренды №30 от 26.01.2022 г. (18.10.2021-17.10.2022)</t>
  </si>
  <si>
    <t xml:space="preserve">В  безвозмездном пользовании Главного управления МЧС России по Кемеровской области – Кузбассу </t>
  </si>
  <si>
    <t>42:12:0105002:3775</t>
  </si>
  <si>
    <t>42:12:0105002:3774</t>
  </si>
  <si>
    <t>1.4.26.1691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</si>
  <si>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222р </t>
  </si>
  <si>
    <t>42:12:0102015:3344</t>
  </si>
  <si>
    <t>1.4.26.1692</t>
  </si>
  <si>
    <t>42:12:0102015:3357</t>
  </si>
  <si>
    <t>42:12:0102003:1450</t>
  </si>
  <si>
    <t>1.4.26.1693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</si>
  <si>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196р </t>
  </si>
  <si>
    <t>42:12:0102015:3361</t>
  </si>
  <si>
    <t>1.1.825.29</t>
  </si>
  <si>
    <t>42:12:0104001:3607</t>
  </si>
  <si>
    <t>1.1.783.42</t>
  </si>
  <si>
    <t>42:12:0106002:1157</t>
  </si>
  <si>
    <t>42:34:0101021:44</t>
  </si>
  <si>
    <t>1.1.179.12</t>
  </si>
  <si>
    <t>1.1.415.1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</si>
  <si>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,18</t>
    </r>
  </si>
  <si>
    <t>42:12:0104001:2760</t>
  </si>
  <si>
    <t>1.5.585</t>
  </si>
  <si>
    <t xml:space="preserve">Ограда металлическая  </t>
  </si>
  <si>
    <t>1.5.586</t>
  </si>
  <si>
    <t>Временное тепловое сооружение (амбар) ангар</t>
  </si>
  <si>
    <t>1.5.587</t>
  </si>
  <si>
    <t>Центральный тепловой пункт</t>
  </si>
  <si>
    <t>Кемеровская область-Кузбасс, Таштагольский муниципальный  район,  Таштагольское городское поселение, г.Таштагол, ул.Островского, 1а/7</t>
  </si>
  <si>
    <t>1.5.588</t>
  </si>
  <si>
    <t>Паропровод</t>
  </si>
  <si>
    <t>Кемеровская область-Кузбасс, Таштагольский муниципальный  район,  Таштагольское городское поселение, г.Таштагол, от центральной котельной до ул.Энергетиков</t>
  </si>
  <si>
    <t>протяж. 1256 м</t>
  </si>
  <si>
    <t>2021</t>
  </si>
  <si>
    <t>1.5.74.1</t>
  </si>
  <si>
    <t>Cети водопроводные стальные</t>
  </si>
  <si>
    <t>42:12:0000000:1071</t>
  </si>
  <si>
    <t>протяж. 5420 м</t>
  </si>
  <si>
    <t>42:12:0000000:1067</t>
  </si>
  <si>
    <t>протяж. 11243,0 м</t>
  </si>
  <si>
    <t>1.5.120.1</t>
  </si>
  <si>
    <t xml:space="preserve"> Сети водопроводные</t>
  </si>
  <si>
    <t>42:12:0000000:1068</t>
  </si>
  <si>
    <t>протяж.  1550 м</t>
  </si>
  <si>
    <t>42:12:0000000:1069</t>
  </si>
  <si>
    <t>протяж. 2628 м</t>
  </si>
  <si>
    <t>Кемеровская область, г. Таштагол,  ул. О.Дундича</t>
  </si>
  <si>
    <t>42:34:0000000:663</t>
  </si>
  <si>
    <t>протяж. 3200 м</t>
  </si>
  <si>
    <t>42:34:0105018:132</t>
  </si>
  <si>
    <t>42:34:0000000:669</t>
  </si>
  <si>
    <t>1.4.232</t>
  </si>
  <si>
    <t xml:space="preserve">Российская Федерация, Кемеровская область-Кузбасс, Таштагольский муниципальный район, городское поселение Шерегешское, пгт. Шерегеш, ул. Первомайская, земельный участок 3 </t>
  </si>
  <si>
    <t>42:12:0102007:496</t>
  </si>
  <si>
    <t>1.3.223</t>
  </si>
  <si>
    <t>1.5.532.1</t>
  </si>
  <si>
    <t>Тепловая сеть до УПК 8 в п. Мундыбаш</t>
  </si>
  <si>
    <t>42:12:0000000:1073</t>
  </si>
  <si>
    <t>в двухтрубном исполнении</t>
  </si>
  <si>
    <t>протяж. 1232 м</t>
  </si>
  <si>
    <t>42:12:0104001:4527</t>
  </si>
  <si>
    <t>1.1.866</t>
  </si>
  <si>
    <t>42:12:0105002:3305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</si>
  <si>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,10</t>
    </r>
  </si>
  <si>
    <t>1.1.493.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</si>
  <si>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,16</t>
    </r>
  </si>
  <si>
    <t>1.1.493.5</t>
  </si>
  <si>
    <t>42:12:0105002:2228</t>
  </si>
  <si>
    <t>1.1.564.4</t>
  </si>
  <si>
    <t>42:12:0106002:2386</t>
  </si>
  <si>
    <t>1.1.507.5</t>
  </si>
  <si>
    <t>1.1.507.6</t>
  </si>
  <si>
    <t>42:12:0105002:2527</t>
  </si>
  <si>
    <t>42:12:0105002:1095</t>
  </si>
  <si>
    <t>1.1.499.12</t>
  </si>
  <si>
    <t>42:12:0105002:2848</t>
  </si>
  <si>
    <t>1.1.506.4</t>
  </si>
  <si>
    <t xml:space="preserve">42:12:0105002:2978 </t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</si>
  <si>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,4</t>
    </r>
  </si>
  <si>
    <t>1.1.546.</t>
  </si>
  <si>
    <t>1.1.546.3</t>
  </si>
  <si>
    <t>42:12:0106002:2308</t>
  </si>
  <si>
    <t>1.1.709.7</t>
  </si>
  <si>
    <t>42:12:0105002:2327</t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</si>
  <si>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,16</t>
    </r>
  </si>
  <si>
    <t>1.1.435.1</t>
  </si>
  <si>
    <t xml:space="preserve">  42:12:0104001:1121</t>
  </si>
  <si>
    <t>1.1.553.3</t>
  </si>
  <si>
    <t>42:12:0106002:2481</t>
  </si>
  <si>
    <t>1.1.498.4</t>
  </si>
  <si>
    <t>42:12:0105002:2352</t>
  </si>
  <si>
    <t>1.1.491.1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</si>
  <si>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,13</t>
    </r>
  </si>
  <si>
    <t xml:space="preserve">42:12:0105002:2953 </t>
  </si>
  <si>
    <t>1.1.421.8</t>
  </si>
  <si>
    <t>42:12:0104001:1992</t>
  </si>
  <si>
    <t>1.1.780.23</t>
  </si>
  <si>
    <t xml:space="preserve">42:12:0105002:1240 </t>
  </si>
  <si>
    <t>1.1.170.11</t>
  </si>
  <si>
    <t>42:34:0101036:59</t>
  </si>
  <si>
    <t>1.1.174.6</t>
  </si>
  <si>
    <t>1.1.174.7</t>
  </si>
  <si>
    <t>42:34:0101037:112</t>
  </si>
  <si>
    <t>42:34:0101037:40</t>
  </si>
  <si>
    <t>1.1.182.7</t>
  </si>
  <si>
    <t>42:34:0101010:73</t>
  </si>
  <si>
    <t>1.1.177.11</t>
  </si>
  <si>
    <t>42:34:0101036:111</t>
  </si>
  <si>
    <t>1.1.192.10</t>
  </si>
  <si>
    <t>42:34:0101020:27</t>
  </si>
  <si>
    <t>1.1.429.3</t>
  </si>
  <si>
    <t>1.1.429.4</t>
  </si>
  <si>
    <t>1.1.429.5</t>
  </si>
  <si>
    <t>1.1.429.6</t>
  </si>
  <si>
    <t>42:12:0104001:2553</t>
  </si>
  <si>
    <t>42:12:0104001:3459</t>
  </si>
  <si>
    <t>2/2</t>
  </si>
  <si>
    <t>42:12:0104001:3195</t>
  </si>
  <si>
    <t>42:12:0104001:1138</t>
  </si>
  <si>
    <t>1.1.453.3</t>
  </si>
  <si>
    <t>42:12:0104001:3061</t>
  </si>
  <si>
    <t>1.1.516.3</t>
  </si>
  <si>
    <t>1.1.516.4</t>
  </si>
  <si>
    <t>1.1.516.5</t>
  </si>
  <si>
    <t>42:12:0105002:2872</t>
  </si>
  <si>
    <t>42:12:0105002:2342</t>
  </si>
  <si>
    <t>42:12:0105002:1087</t>
  </si>
  <si>
    <t>1.1.300.</t>
  </si>
  <si>
    <t>42:12:0102006:1045</t>
  </si>
  <si>
    <t>1.1.300.7</t>
  </si>
  <si>
    <t>1.1.300.8</t>
  </si>
  <si>
    <t>42:12:0102006:975</t>
  </si>
  <si>
    <t>42:12:0102006:968</t>
  </si>
  <si>
    <t>1.1.430.1</t>
  </si>
  <si>
    <t>1.1.430.2</t>
  </si>
  <si>
    <t>1.1.430.3</t>
  </si>
  <si>
    <t>42:12:0104001:2873</t>
  </si>
  <si>
    <t>42:12:0104001:2875</t>
  </si>
  <si>
    <t>42:12:0104001:2879</t>
  </si>
  <si>
    <t>1.1.535.1</t>
  </si>
  <si>
    <t>1.1.535.2</t>
  </si>
  <si>
    <r>
      <t>Кемеровская область, Таштагольский район, пгт.Темиртау,ул.Рудная</t>
    </r>
    <r>
      <rPr>
        <sz val="10"/>
        <color theme="0"/>
        <rFont val="Arial Cyr"/>
        <charset val="204"/>
      </rPr>
      <t>,1</t>
    </r>
  </si>
  <si>
    <t>42:12:0105002:1112</t>
  </si>
  <si>
    <t>42:12:0105002:2966</t>
  </si>
  <si>
    <t>1.1.462.5</t>
  </si>
  <si>
    <t>1.1.462.6</t>
  </si>
  <si>
    <t>1.1.462.7</t>
  </si>
  <si>
    <t>1.1.462.8</t>
  </si>
  <si>
    <t>42:12:0104005:201</t>
  </si>
  <si>
    <t>42:12:0104005:364</t>
  </si>
  <si>
    <t>42:12:0104005:398</t>
  </si>
  <si>
    <t>42:12:0104005:200</t>
  </si>
  <si>
    <t>1.1.485.3</t>
  </si>
  <si>
    <t>1.1.485.4</t>
  </si>
  <si>
    <t>1.1.485.5</t>
  </si>
  <si>
    <t>1.1.485.6</t>
  </si>
  <si>
    <t>1.1.485.7</t>
  </si>
  <si>
    <t>42:12:0105002:1113</t>
  </si>
  <si>
    <t>42:12:0105002:3029</t>
  </si>
  <si>
    <t>42:12:0105002:3030</t>
  </si>
  <si>
    <t>42:12:0105002:3031</t>
  </si>
  <si>
    <t>42:12:0105002:3503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</si>
  <si>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15/1</t>
  </si>
  <si>
    <t>1.4.233</t>
  </si>
  <si>
    <t>Российская Федерация, Кемеровская область - Кузбасс, Таштагольский муниципальный район, Шерегешское городское поселение, п. Усть-Анзас, ул. Советская, земельный участок 6А</t>
  </si>
  <si>
    <t>42:12:0109001:401</t>
  </si>
  <si>
    <t>1.4.234</t>
  </si>
  <si>
    <t>Российская Федерация, Кемеровская область-Кузбасс, Таштагольский муниципальный район, Шерегешское городское поселение, п. Усть-Анзас, ул. Советская, земельный участок 6Б</t>
  </si>
  <si>
    <t>42:12:0109001:402</t>
  </si>
  <si>
    <t>1.4.235</t>
  </si>
  <si>
    <t>Земельный участок, использование: Для размещения коммунальных, складских объектов</t>
  </si>
  <si>
    <t>Российская Федерация, Кемеровская область-Кузбасс, Таштагольский муниципальный район</t>
  </si>
  <si>
    <t>42:12:0000000:1072</t>
  </si>
  <si>
    <t>1.4.227.1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</si>
  <si>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Весенняя, земельный участок 9/1 </t>
  </si>
  <si>
    <t>42:12:0102013:3220</t>
  </si>
  <si>
    <t>1.4.227.2</t>
  </si>
  <si>
    <t>Земельный участок, использование: Гостиничное обслуживание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</si>
  <si>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Весенняя, земельный участок 9/2</t>
  </si>
  <si>
    <t>42:12:0102013:3221</t>
  </si>
  <si>
    <t>1.4.26.1694</t>
  </si>
  <si>
    <t>Кемеровская область - Кузбасс, Таштагольский муниципальный район, Шерегешское городское поселение, пгт Шерегеш, ул. Славянская, 136</t>
  </si>
  <si>
    <t>42:12:0102015:3429</t>
  </si>
  <si>
    <t>1.4.26.1695</t>
  </si>
  <si>
    <t>Кемеровская область - Кузбасс, Таштагольский муниципальный район, Шерегешское городское поселение, пгт Шерегеш, ул. Славянская, д. 138</t>
  </si>
  <si>
    <t>42:12:0102015:3333</t>
  </si>
  <si>
    <t>1.4.26.1696</t>
  </si>
  <si>
    <t>42:12:0102015:3129</t>
  </si>
  <si>
    <t>1.4.26.1697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</si>
  <si>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245 (р)</t>
  </si>
  <si>
    <t>42:12:0102015:3271</t>
  </si>
  <si>
    <t>1.4.26.1699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</si>
  <si>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246 (р)</t>
  </si>
  <si>
    <t>42:12:0102015:3346</t>
  </si>
  <si>
    <t>1.1.516.6</t>
  </si>
  <si>
    <t>42:12:0105002:3176</t>
  </si>
  <si>
    <t>Земельный участок, использование: культурное развитие</t>
  </si>
  <si>
    <t>1.4.236</t>
  </si>
  <si>
    <t>Земельный участок, использование:  Для размещения объектов физической культуры и спорта</t>
  </si>
  <si>
    <t>Российская Федерация, Кемеровская область-Кузбасс, Таштагольский муниципальный район, Каларское сельское поселение</t>
  </si>
  <si>
    <t>42:12:0103004:542</t>
  </si>
  <si>
    <t>1.4.237</t>
  </si>
  <si>
    <t>1.4.238</t>
  </si>
  <si>
    <t>1.4.239</t>
  </si>
  <si>
    <t>1.4.240</t>
  </si>
  <si>
    <t>1.4.241</t>
  </si>
  <si>
    <t>1.4.242</t>
  </si>
  <si>
    <t>1.4.243</t>
  </si>
  <si>
    <t>1.4.244</t>
  </si>
  <si>
    <t>Земельный участок, использование:  ритуальная деятельность</t>
  </si>
  <si>
    <t>42:12:0108001:500</t>
  </si>
  <si>
    <t>42:12:0108003:684</t>
  </si>
  <si>
    <t>Земельный участок, использование:  Земельные участки (территории) общего пользования</t>
  </si>
  <si>
    <t>Российская Федерация, Кемеровская область-Кузбасс, Таштагольский муниципальный район, Сельское поселение Коуринское, п. Алтамаш, ул. Терешковой,3а</t>
  </si>
  <si>
    <t>42:12:0115001:694</t>
  </si>
  <si>
    <t>Земельный участок, использование:  Для индивидуального жилищного строительства, обустройство спортивных и детских площадок,площадок отдыха</t>
  </si>
  <si>
    <t>Российская Федерация, Кемеровская область, Таштагольский муниципальный район, Усть-Кабырзинское сельское поселение, п. Усть-Кабырза, ул. Григорьева,11</t>
  </si>
  <si>
    <t>42:12:0110001:1638</t>
  </si>
  <si>
    <t>Российская Федерация, Кемеровская область, Таштагольский муниципальный район, Усть-Кабырзинское сельское поселение, п. Усть-Кабырза, ул. Григорьева,11а</t>
  </si>
  <si>
    <t>42:12:0110001:1662</t>
  </si>
  <si>
    <t>42:12:0110001:1691</t>
  </si>
  <si>
    <t>Земельный участок, использование:  Спорт</t>
  </si>
  <si>
    <t xml:space="preserve">Российская Федерация, Кемеровская область-Кузбасс, Таштагольский муниципальный район, сельское поселение Усть-Кабырзинское, п. Усть-Кабырза, ул. Арбачакова,17/1
</t>
  </si>
  <si>
    <t>№ 42-42-12/010/2009-209  от 03.11.2009  (Аренда); ст. 17.1. ФЗ РФ от 26.07.2006 №135-ФЗ; договор аренды №69  от 27.05.2022г. (19.05.2022-17.05.2023)</t>
  </si>
  <si>
    <t>ст. 17.1. ФЗ РФ от 26.07.2006 №135-ФЗ;  договор аренды  №31 от 26.01.2022 г. (30.06.2021-28.06.2022);  договор аренды  №66 от 14.06.2022 г. (29.06.2022-27.06.2023)</t>
  </si>
  <si>
    <t>1.2.385.3</t>
  </si>
  <si>
    <t>В арендном пользовании Кайдалова И.А.</t>
  </si>
  <si>
    <t xml:space="preserve">Распр. Адм. Таштагол. муниц. района  от 21.04.2022 г.№171-р; п.7 ст. 17.1. ФЗ РФ от 26.07.2006 №135-ФЗ; договор аренды №57 от 21.04.2022 г.  (01.05.2022-29.04.2023) </t>
  </si>
  <si>
    <t xml:space="preserve">п.7 ст. 17.1. ФЗ РФ от 26.07.2006 №135-ФЗ; договор аренды №52 от 28.04.2022 г.  (28.01.2022-27.01.2027) </t>
  </si>
  <si>
    <t>ст. 17.1. ФЗ РФ от 26.07.2006 №135-ФЗ; договор аренды №48 от 01.04.2022 г.  (10.12.2021-09.12.2026)</t>
  </si>
  <si>
    <t>Распр. КУМИ Таштагол.муниц. района от 14.02.2022 г. №1 (на 30 календарных дней); договор аренды №35 от 14.02.2022  (14.02.2022-15.03.2022)</t>
  </si>
  <si>
    <t>Контракт №2 от 21.01.2022  (01.01.2022-30.11.2022); Контракт №12 от 21.01.2022  (01.12.2022-31.12.2022)</t>
  </si>
  <si>
    <t>п.7 ст. 17.1. ФЗ РФ от 26.07.2006 №135-ФЗ; договор аренды  №7 от 29.12.2021 г.( 01.01.2022-30.11.2022)</t>
  </si>
  <si>
    <t>ст. 17.1. ФЗ РФ от 26.07.2006 №135-ФЗ; договор аренды №44 от 20.05.2021 (11.06.2021-09.06.2022); договор аренды №83 от 23.06.2022 (10.06.2022-08.06.2023)</t>
  </si>
  <si>
    <t>В аренде Акционерного общества "Почта России"</t>
  </si>
  <si>
    <t>п.7 ст. 17.1. ФЗ РФ от 26.07.2006 №135-ФЗ; договор аренды  №98/1600-2022 от 12.09.2022г. (12.09.2022-10.09.2023)</t>
  </si>
  <si>
    <t>ст. 17.1. ФЗ РФ от 26.07.2006 №135-ФЗ;  договор аренды №99 от 14.09.2022 г. (13.09.2022-11.09.2022)</t>
  </si>
  <si>
    <t>ст. 17.1. ФЗ РФ от 26.07.2006 №135-ФЗ; договор аренды №33 от 26.01.2022 г.  (25.09.2021-23.09.2022); договор аренды №100 от 09.09.2022 г.  (24.09.2022-22.09.2023)</t>
  </si>
  <si>
    <t>В аренде Гисс Т.И.</t>
  </si>
  <si>
    <t>Распр. КУМИ ТМР от 12.09.2022 №2; договор аренды№ 101 от 12.09.2022 г. (12.09.2022-11.10.2022)</t>
  </si>
  <si>
    <t>В аренде ООО "Гиппократ"</t>
  </si>
  <si>
    <t xml:space="preserve">Протокол рассмотрения заявок на участие в электроннном аукционе №22000030350000000004 ; договор аренды №102 от 12.09.2022 (23.09.2022-22.09.2027) </t>
  </si>
  <si>
    <t>ст.17.1 №135-ФЗ от 26.07.2006;  договор аренды №103 от 19.09.2022 г. (13.09.2022-11.09.2023)</t>
  </si>
  <si>
    <t>ст.17.1 №135-ФЗ от 26.07.2006;  договор аренды №104 от 19.09.2022 г. (13.09.2022-11.09.2023)</t>
  </si>
  <si>
    <t>П.32 ч.1 ст. 93. ФЗ РФ от 05.04.2013 №44-ФЗ; государственный контракт №1 от 24.12.2021 г.  (01.01.2022-30.11.2022); государственный контракт №106 от 24.11.2022 г.  (01.12.2022-31.12.2022)</t>
  </si>
  <si>
    <t>ст. 17.1. ФЗ РФ от 26.07.2006 №135-ФЗ; договор аренды №107 от 04.10.2022 г.  (23.10.2022-21.10.2023)</t>
  </si>
  <si>
    <t xml:space="preserve">Протокол открытого аукциона №7 от 09.10.2020; ст. 17.1. ФЗ РФ от 26.07.2006 №135-ФЗ; договор аренды  №26 от 21.01.2022 (19.10.2021-17.10.2022) ; договор аренды  №111 от 01.11.2022 (18.10.2022-16.10.2023) </t>
  </si>
  <si>
    <t>ст. 17.1. ФЗ РФ от 26.07.2006 №135-ФЗ; договор аренды №84 от 04.07.2022 ( 10.06.2022-08.06.2023); распр. КУМИ Таштагол.муниц. района от 28.11.2022 г. №5 (аренда на 30 дней); договор аренды №116 от 28.11.2022 ( 28.11.2022-27.12.2022)</t>
  </si>
  <si>
    <t>ст. 17.1. ФЗ РФ от 26.07.2006 №135-ФЗ; договор аренды №34  от 14.04.2021 г.  (14.04.2021-12.04.2022); договор аренды №118  от 29.11.2022г.  (13.04.2022-11.04.2023)</t>
  </si>
  <si>
    <t>1.1.485.8</t>
  </si>
  <si>
    <t>1.4.26.1700</t>
  </si>
  <si>
    <t>Российская Федерация, Кемеровская область- Кузбасс, Таштагольский муниципальный район,
Шерегешское городское поселение, пгт Шерегеш, ул. Рябиновая, земельный участок, 131</t>
  </si>
  <si>
    <t>42:12:0102015:3461</t>
  </si>
  <si>
    <t>135805.28</t>
  </si>
  <si>
    <t>42:12:0105002:3149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</si>
  <si>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234р</t>
  </si>
  <si>
    <t>1.2.506</t>
  </si>
  <si>
    <t xml:space="preserve">Дом паштыка </t>
  </si>
  <si>
    <t>Кемеровская область, Таштагольский район, пос.Усть-Анзасс, ул. Советская экомузей "Тазгол"</t>
  </si>
  <si>
    <t>42:12:0109001:413</t>
  </si>
  <si>
    <t>1.2.509</t>
  </si>
  <si>
    <t>Амбар</t>
  </si>
  <si>
    <t>42:12:0109001:406</t>
  </si>
  <si>
    <t>1.2.510</t>
  </si>
  <si>
    <t xml:space="preserve">Дом Иванова </t>
  </si>
  <si>
    <t>42:12:0109001:407</t>
  </si>
  <si>
    <t>1.2.511</t>
  </si>
  <si>
    <t>Избушка охотника</t>
  </si>
  <si>
    <t>42:12:0109001:408</t>
  </si>
  <si>
    <t>1.2.512</t>
  </si>
  <si>
    <t>Баня</t>
  </si>
  <si>
    <t>42:12:0109001:409</t>
  </si>
  <si>
    <t>1.2.513</t>
  </si>
  <si>
    <t>Амбар-мастерская</t>
  </si>
  <si>
    <t>42:12:0109001:410</t>
  </si>
  <si>
    <t>1.2.514</t>
  </si>
  <si>
    <t>Амбар хлебозапасный</t>
  </si>
  <si>
    <t>42:12:0109001:411</t>
  </si>
  <si>
    <t>1.2.515</t>
  </si>
  <si>
    <t>Кузница</t>
  </si>
  <si>
    <t>42:12:0109001:412</t>
  </si>
  <si>
    <t xml:space="preserve">712304,15
</t>
  </si>
  <si>
    <t>В оперативном управлении МБУК МУЗЕЙ-ЗАПОВЕДНИК ТРЁХРЕЧЬЕ ТАШТАГОЛЬСКОГО МУНИЦИПАЛЬНОГО РАЙОНА</t>
  </si>
  <si>
    <t>Распр. администр. Таштагол. муницип. р-на от 19.12.2022  г. №590-р</t>
  </si>
  <si>
    <t xml:space="preserve">Распр. админстр. Таштагол.муниц. района  от 11.01.2022 г.  №12-р; договор безвмез. польз.№1 </t>
  </si>
  <si>
    <t xml:space="preserve">п.7 ст. 17.1. ФЗ РФ от 26.07.2006 №135-ФЗ; договор аренды №29 от 26.01.2022 г.  (21.01.2022-19.01.2023); распр. админ. Таштагол. муниц. района от 20.10.2022  № 427-р; распр. админ. Таштагол. муниц. района от 19.12.2022  № 596-р    </t>
  </si>
  <si>
    <t>Земельный участок, использование:  Для общего пользования (уличная сеть)</t>
  </si>
  <si>
    <t>Российская Федерация, Кемеровская область-Кузбасс, Таштагольский муниципальный район, Сельское поселение Кызыл-Шорское, п. Чулеш, ул. Приисковая, 1В.</t>
  </si>
  <si>
    <t>42:12:0112004:294</t>
  </si>
  <si>
    <t>Земельный участок, использование:  Для индивидуального жилищного строительства, обустройство спортивных и детских площадок</t>
  </si>
  <si>
    <t>Кемеровская область, Таштагольский муниципальный район, Каларское сельское поселение, п. Базанча, ул. Комарова, 68а</t>
  </si>
  <si>
    <t>42:12:0108003:680</t>
  </si>
  <si>
    <t>1.4.245</t>
  </si>
  <si>
    <t>Кемеровская область, Таштагольский муниципальный район, Кызыл-Шорское сельское поселение, п. Ключевой, ул. Энтузиастов, 19А</t>
  </si>
  <si>
    <t>42:12:0112001:484</t>
  </si>
  <si>
    <t>1.4.246</t>
  </si>
  <si>
    <t>Российская Федерация, Кемеровская область-Кузбасс, Таштагольский муниципальный район, Каларское сельское поселение, п. Центральный, ул. Новая, 15а</t>
  </si>
  <si>
    <t>42:12:0108002:863</t>
  </si>
  <si>
    <t>1.4.247</t>
  </si>
  <si>
    <t>Российская Федерация, Кемеровская область-Кузбасс, Таштагольский муниципальный район, Кызыл-Шорское сельское поселение, п. Ключевой, ул. Мира, земельный участок 22А</t>
  </si>
  <si>
    <t>42:12:0112001:647</t>
  </si>
  <si>
    <t>1.4.248</t>
  </si>
  <si>
    <t>Российская Федерация, Кемеровская область - Кузбасс, Таштагольский муниципальный район, Коуринское сельское поселение, п. Нижний Сокол, ул. Береговая, земельный участок 9А</t>
  </si>
  <si>
    <t>42:12:0115002:236</t>
  </si>
  <si>
    <t>Администрация Кызыл-Шорского сельского поселения</t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</si>
  <si>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</si>
  <si>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пгт.Мундыбаш,ул.Ленина</t>
    </r>
    <r>
      <rPr>
        <sz val="10"/>
        <rFont val="Arial Cyr"/>
        <charset val="204"/>
      </rPr>
      <t>,11а</t>
    </r>
  </si>
  <si>
    <r>
      <t>Кемеровская область, Таштагольский район, пос.Мрассу,ул.Набережная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</si>
  <si>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 ул. Кислородная</t>
    </r>
    <r>
      <rPr>
        <sz val="10"/>
        <rFont val="Arial Cyr"/>
        <charset val="204"/>
      </rPr>
      <t>,1в</t>
    </r>
  </si>
  <si>
    <r>
      <rPr>
        <sz val="9"/>
        <rFont val="Arial Cyr"/>
        <charset val="204"/>
      </rPr>
      <t xml:space="preserve">42:34:0102050:323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</si>
  <si>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  </t>
    </r>
  </si>
  <si>
    <r>
      <rPr>
        <sz val="9"/>
        <rFont val="Arial Cyr"/>
        <charset val="204"/>
      </rPr>
      <t xml:space="preserve">42:34:0102050:324  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</si>
  <si>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>2 этаж</t>
    </r>
    <r>
      <rPr>
        <sz val="7.5"/>
        <rFont val="Arial Cyr"/>
        <family val="2"/>
        <charset val="204"/>
      </rPr>
      <t xml:space="preserve">        </t>
    </r>
  </si>
  <si>
    <r>
      <rPr>
        <sz val="9"/>
        <rFont val="Arial Cyr"/>
        <charset val="204"/>
      </rPr>
      <t xml:space="preserve">42:34:0102050:325  </t>
    </r>
    <r>
      <rPr>
        <sz val="10"/>
        <rFont val="Arial Cyr"/>
        <charset val="204"/>
      </rPr>
      <t xml:space="preserve">             </t>
    </r>
  </si>
  <si>
    <r>
      <rPr>
        <sz val="10"/>
        <rFont val="Arial Cyr"/>
        <charset val="204"/>
      </rPr>
      <t xml:space="preserve">2 этаж  </t>
    </r>
    <r>
      <rPr>
        <sz val="8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</si>
  <si>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42:34:0102050:326 </t>
    </r>
    <r>
      <rPr>
        <sz val="10"/>
        <rFont val="Arial Cyr"/>
        <charset val="204"/>
      </rPr>
      <t xml:space="preserve">                      </t>
    </r>
  </si>
  <si>
    <r>
      <rPr>
        <sz val="10"/>
        <rFont val="Arial Cyr"/>
        <charset val="204"/>
      </rPr>
      <t>2 этаж</t>
    </r>
    <r>
      <rPr>
        <sz val="8"/>
        <rFont val="Arial Cyr"/>
        <family val="2"/>
        <charset val="204"/>
      </rPr>
      <t xml:space="preserve">       </t>
    </r>
  </si>
  <si>
    <r>
      <rPr>
        <sz val="9"/>
        <rFont val="Arial Cyr"/>
        <charset val="204"/>
      </rPr>
      <t xml:space="preserve">42:34:0102050:327     </t>
    </r>
    <r>
      <rPr>
        <sz val="10"/>
        <rFont val="Arial Cyr"/>
        <charset val="204"/>
      </rPr>
      <t xml:space="preserve">                   </t>
    </r>
  </si>
  <si>
    <r>
      <rPr>
        <sz val="9"/>
        <rFont val="Arial Cyr"/>
        <charset val="204"/>
      </rPr>
      <t xml:space="preserve">42:34:0102050:328    </t>
    </r>
    <r>
      <rPr>
        <sz val="10"/>
        <rFont val="Arial Cyr"/>
        <charset val="204"/>
      </rPr>
      <t xml:space="preserve">                   </t>
    </r>
  </si>
  <si>
    <r>
      <rPr>
        <sz val="9"/>
        <rFont val="Arial Cyr"/>
        <charset val="204"/>
      </rPr>
      <t xml:space="preserve">42:34:0102050:329 </t>
    </r>
    <r>
      <rPr>
        <sz val="10"/>
        <rFont val="Arial Cyr"/>
        <charset val="204"/>
      </rPr>
      <t xml:space="preserve">     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</si>
  <si>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</si>
  <si>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42:34:0102050:330  </t>
    </r>
    <r>
      <rPr>
        <sz val="10"/>
        <rFont val="Arial Cyr"/>
        <charset val="204"/>
      </rPr>
      <t xml:space="preserve">              </t>
    </r>
  </si>
  <si>
    <r>
      <rPr>
        <sz val="9"/>
        <rFont val="Arial Cyr"/>
        <charset val="204"/>
      </rPr>
      <t xml:space="preserve">42:34:0102050:331 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</si>
  <si>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3 этаж     </t>
    </r>
    <r>
      <rPr>
        <sz val="7.5"/>
        <rFont val="Arial Cyr"/>
        <family val="2"/>
        <charset val="204"/>
      </rPr>
      <t xml:space="preserve">  </t>
    </r>
  </si>
  <si>
    <r>
      <rPr>
        <sz val="9"/>
        <rFont val="Arial Cyr"/>
        <charset val="204"/>
      </rPr>
      <t xml:space="preserve">42:34:0102050:334 </t>
    </r>
    <r>
      <rPr>
        <sz val="10"/>
        <rFont val="Arial Cyr"/>
        <charset val="204"/>
      </rPr>
      <t xml:space="preserve">                      </t>
    </r>
  </si>
  <si>
    <r>
      <rPr>
        <sz val="10"/>
        <rFont val="Arial Cyr"/>
        <charset val="204"/>
      </rPr>
      <t xml:space="preserve">2 этаж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</si>
  <si>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42:34:0102050:332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</si>
  <si>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3 этаж </t>
    </r>
    <r>
      <rPr>
        <sz val="7.5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</si>
  <si>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42:34:0102050:333 </t>
    </r>
    <r>
      <rPr>
        <sz val="10"/>
        <rFont val="Arial Cyr"/>
        <charset val="204"/>
      </rPr>
      <t xml:space="preserve">                </t>
    </r>
  </si>
  <si>
    <r>
      <rPr>
        <sz val="10"/>
        <rFont val="Arial Cyr"/>
        <charset val="204"/>
      </rPr>
      <t xml:space="preserve">2 этаж 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</si>
  <si>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42:34:0102050:335  </t>
    </r>
    <r>
      <rPr>
        <sz val="10"/>
        <rFont val="Arial Cyr"/>
        <charset val="204"/>
      </rPr>
      <t xml:space="preserve">                                               </t>
    </r>
  </si>
  <si>
    <r>
      <rPr>
        <sz val="10"/>
        <rFont val="Arial Cyr"/>
        <charset val="204"/>
      </rPr>
      <t>3 этаж</t>
    </r>
    <r>
      <rPr>
        <sz val="8"/>
        <rFont val="Arial Cyr"/>
        <family val="2"/>
        <charset val="204"/>
      </rPr>
      <t xml:space="preserve">       </t>
    </r>
  </si>
  <si>
    <r>
      <rPr>
        <sz val="10"/>
        <rFont val="Arial Cyr"/>
        <charset val="204"/>
      </rPr>
      <t xml:space="preserve">3 этаж 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</si>
  <si>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42:34:0102050:336    </t>
    </r>
    <r>
      <rPr>
        <sz val="10"/>
        <rFont val="Arial Cyr"/>
        <charset val="204"/>
      </rPr>
      <t xml:space="preserve">  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</si>
  <si>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</t>
    </r>
  </si>
  <si>
    <r>
      <rPr>
        <sz val="10"/>
        <rFont val="Arial Cyr"/>
        <charset val="204"/>
      </rPr>
      <t xml:space="preserve">3 этаж  </t>
    </r>
    <r>
      <rPr>
        <sz val="8"/>
        <rFont val="Arial Cyr"/>
        <family val="2"/>
        <charset val="204"/>
      </rPr>
      <t xml:space="preserve">     </t>
    </r>
  </si>
  <si>
    <r>
      <rPr>
        <sz val="10"/>
        <rFont val="Arial Cyr"/>
        <charset val="204"/>
      </rPr>
      <t xml:space="preserve">3 этаж </t>
    </r>
    <r>
      <rPr>
        <sz val="8"/>
        <rFont val="Arial Cyr"/>
        <family val="2"/>
        <charset val="204"/>
      </rPr>
      <t xml:space="preserve">    </t>
    </r>
  </si>
  <si>
    <r>
      <rPr>
        <sz val="10"/>
        <rFont val="Arial Cyr"/>
        <charset val="204"/>
      </rPr>
      <t xml:space="preserve">3 этаж    </t>
    </r>
    <r>
      <rPr>
        <sz val="8"/>
        <rFont val="Arial Cyr"/>
        <family val="2"/>
        <charset val="204"/>
      </rPr>
      <t xml:space="preserve">   </t>
    </r>
  </si>
  <si>
    <r>
      <rPr>
        <sz val="10"/>
        <rFont val="Arial Cyr"/>
        <charset val="204"/>
      </rPr>
      <t xml:space="preserve">3 этаж  </t>
    </r>
    <r>
      <rPr>
        <sz val="8"/>
        <rFont val="Arial Cyr"/>
        <charset val="204"/>
      </rPr>
      <t xml:space="preserve">     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</si>
  <si>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,5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</si>
  <si>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,7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</si>
  <si>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,9</t>
    </r>
  </si>
  <si>
    <r>
      <t>Кемеровская область, Таштагольский муниципальный район, Шерегешское городское поселение, пгт. Шерегеш, ул. 19 Партсъезда</t>
    </r>
    <r>
      <rPr>
        <sz val="10"/>
        <rFont val="Arial Cyr"/>
        <charset val="204"/>
      </rPr>
      <t>,6а</t>
    </r>
  </si>
  <si>
    <r>
      <t>Кемеровская область, Таштагольский район, пгт.Темиртау,ул.Суворова</t>
    </r>
    <r>
      <rPr>
        <sz val="10"/>
        <rFont val="Arial Cyr"/>
        <charset val="204"/>
      </rPr>
      <t>,18а</t>
    </r>
  </si>
  <si>
    <r>
      <t>Кемеровская область, Таштагольский район, пгт.Темиртау,ул.Суворова</t>
    </r>
    <r>
      <rPr>
        <sz val="10"/>
        <rFont val="Arial Cyr"/>
        <charset val="204"/>
      </rPr>
      <t>,19а</t>
    </r>
  </si>
  <si>
    <r>
      <t>Кемеровская область, г. Таштагол, ул. С.Лазо</t>
    </r>
    <r>
      <rPr>
        <sz val="10"/>
        <rFont val="Arial Cyr"/>
        <charset val="204"/>
      </rPr>
      <t xml:space="preserve">,4 </t>
    </r>
  </si>
  <si>
    <r>
      <t>Кемеровская область, Таштагольский район, г. Таштагол, ул.Островского</t>
    </r>
    <r>
      <rPr>
        <sz val="10"/>
        <rFont val="Arial Cyr"/>
        <charset val="204"/>
      </rPr>
      <t xml:space="preserve">,9 </t>
    </r>
  </si>
  <si>
    <r>
      <t>Российская Федерация, Кемеровская Область, Таштагольский муниципальный район, поселок городского типа Темиртау, улица Центральная</t>
    </r>
    <r>
      <rPr>
        <sz val="10"/>
        <rFont val="Arial Cyr"/>
        <charset val="204"/>
      </rPr>
      <t>,18-а</t>
    </r>
  </si>
  <si>
    <r>
      <t>Российская Федерация, Кемеровская область, Таштагольский муниципальный район, поселок городского типа Темиртау, улица Центральная</t>
    </r>
    <r>
      <rPr>
        <sz val="10"/>
        <rFont val="Arial Cyr"/>
        <charset val="204"/>
      </rPr>
      <t>,20а</t>
    </r>
  </si>
  <si>
    <r>
      <t>Кемеровская область, Таштагольское городское поселение, г.Таштагол, ул.Нестерова</t>
    </r>
    <r>
      <rPr>
        <sz val="10"/>
        <rFont val="Arial Cyr"/>
        <charset val="204"/>
      </rPr>
      <t xml:space="preserve">,30в </t>
    </r>
  </si>
  <si>
    <t>мусин</t>
  </si>
  <si>
    <t>1.4.26.1.1.2</t>
  </si>
  <si>
    <t>Земельный участок  для использования: отдых (рекреация)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</si>
  <si>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 </t>
  </si>
  <si>
    <t>42:12:0102015:3489</t>
  </si>
  <si>
    <t>1.4.26.1.1.3</t>
  </si>
  <si>
    <t>42:12:0102015:3519</t>
  </si>
  <si>
    <t>1.4.26.1.1.4</t>
  </si>
  <si>
    <t>Земельный участок  для использования: улично-дорожная сеть</t>
  </si>
  <si>
    <t>42:12:0102015:3521</t>
  </si>
  <si>
    <t>1.4.26.1.1.5</t>
  </si>
  <si>
    <t>42:12:0102015:3540</t>
  </si>
  <si>
    <t>1.4.26.1.1.6</t>
  </si>
  <si>
    <t xml:space="preserve">Земельный участок  для использования: коммунальное обслуживание </t>
  </si>
  <si>
    <t>42:12:0102015:3541</t>
  </si>
  <si>
    <t>1.4.26.1.1.7</t>
  </si>
  <si>
    <t xml:space="preserve">Земельный участок  для использования: отдых (рекреация) </t>
  </si>
  <si>
    <t>42:12:0102015:3547</t>
  </si>
  <si>
    <t>1.4.26.1.1.8</t>
  </si>
  <si>
    <t>42:12:0102015:3548</t>
  </si>
  <si>
    <t>1.4.26.1.1.9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</si>
  <si>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</t>
  </si>
  <si>
    <t>42:12:0102015:3549</t>
  </si>
  <si>
    <t>1.4.26.1.1.10</t>
  </si>
  <si>
    <t xml:space="preserve">Земельный участок  для использования: туристическое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</si>
  <si>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 </t>
  </si>
  <si>
    <t>42:12:0102015:3486</t>
  </si>
  <si>
    <t>1.4.26.1.1.11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</si>
  <si>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1.1 </t>
  </si>
  <si>
    <t>42:12:0102015:3490</t>
  </si>
  <si>
    <t>1.4.26.1.1.12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</si>
  <si>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 </t>
  </si>
  <si>
    <t>42:12:0102015:3475</t>
  </si>
  <si>
    <t>1.4.26.1.1.13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</si>
  <si>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 </t>
  </si>
  <si>
    <t>42:12:0102015:3554</t>
  </si>
  <si>
    <t>1.4.26.1.1.14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</si>
  <si>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4 </t>
  </si>
  <si>
    <t>42:12:0102015:3469</t>
  </si>
  <si>
    <t>1.4.26.1.1.15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</si>
  <si>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5</t>
  </si>
  <si>
    <t>42:12:0102015:3481</t>
  </si>
  <si>
    <t>1.4.26.1.1.16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</si>
  <si>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6 </t>
  </si>
  <si>
    <t>42:12:0102015:3478</t>
  </si>
  <si>
    <t>1.4.26.1.1.17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</si>
  <si>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7 </t>
  </si>
  <si>
    <t>42:12:0102015:3484</t>
  </si>
  <si>
    <t>1.4.26.1.1.18</t>
  </si>
  <si>
    <t xml:space="preserve">Земельный участок  для использования: объекты торговли (торговые центры, торгово-развлекательные центры(комплексы)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</si>
  <si>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7.1 </t>
  </si>
  <si>
    <t>42:12:0102015:3483</t>
  </si>
  <si>
    <t>1.4.26.1.1.19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</si>
  <si>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8 </t>
  </si>
  <si>
    <t>42:12:0102015:3476</t>
  </si>
  <si>
    <t>1.4.26.1.1.20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</si>
  <si>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9</t>
  </si>
  <si>
    <t>42:12:0102015:3467</t>
  </si>
  <si>
    <t>1.4.26.1.1.21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</si>
  <si>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10 </t>
  </si>
  <si>
    <t>42:12:0102015:3468</t>
  </si>
  <si>
    <t>1.4.26.1.1.22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</si>
  <si>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11 </t>
  </si>
  <si>
    <t>42:12:0102015:3480</t>
  </si>
  <si>
    <t>1.4.26.1.1.23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</si>
  <si>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12, 16 </t>
  </si>
  <si>
    <t>42:12:0102015:3543</t>
  </si>
  <si>
    <t>1.4.26.1.1.24</t>
  </si>
  <si>
    <t>Земельный участок  для использования: развлекательные мероприятия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</si>
  <si>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13</t>
  </si>
  <si>
    <t>42:12:0102015:3487</t>
  </si>
  <si>
    <t>1.4.26.1.1.25</t>
  </si>
  <si>
    <t xml:space="preserve">Земельный участок  для использования: гостиничное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</si>
  <si>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14 </t>
  </si>
  <si>
    <t>42:12:0102015:3492</t>
  </si>
  <si>
    <t>1.4.26.1.1.26</t>
  </si>
  <si>
    <t>42:12:0102015:3493</t>
  </si>
  <si>
    <t>1.4.26.1.1.27</t>
  </si>
  <si>
    <t>42:12:0102015:3494</t>
  </si>
  <si>
    <t>1.4.26.1.1.28</t>
  </si>
  <si>
    <t>42:12:0102015:3495</t>
  </si>
  <si>
    <t>1.4.26.1.1.29</t>
  </si>
  <si>
    <t>42:12:0102015:3496</t>
  </si>
  <si>
    <t>1.4.26.1.1.30</t>
  </si>
  <si>
    <t>42:12:0102015:3497</t>
  </si>
  <si>
    <t>1.4.26.1.1.31</t>
  </si>
  <si>
    <t>42:12:0102015:3500</t>
  </si>
  <si>
    <t>1.4.26.1.1.32</t>
  </si>
  <si>
    <t>42:12:0102015:3502</t>
  </si>
  <si>
    <t>1.4.26.1.1.33</t>
  </si>
  <si>
    <t>42:12:0102015:3504</t>
  </si>
  <si>
    <t>1.4.26.1.1.34</t>
  </si>
  <si>
    <t>42:12:0102015:3505</t>
  </si>
  <si>
    <t>1.4.26.1.1.35</t>
  </si>
  <si>
    <t>42:12:0102015:3506</t>
  </si>
  <si>
    <t>1.4.26.1.1.36</t>
  </si>
  <si>
    <t>42:12:0102015:3507</t>
  </si>
  <si>
    <t>1.4.26.1.1.37</t>
  </si>
  <si>
    <t>42:12:0102015:3508</t>
  </si>
  <si>
    <t>1.4.26.1.1.38</t>
  </si>
  <si>
    <t>42:12:0102015:3509</t>
  </si>
  <si>
    <t>1.4.26.1.1.39</t>
  </si>
  <si>
    <t>42:12:0102015:3512</t>
  </si>
  <si>
    <t>1.4.26.1.1.40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</si>
  <si>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15</t>
  </si>
  <si>
    <t>42:12:0102015:3498</t>
  </si>
  <si>
    <t>1.4.26.1.1.41</t>
  </si>
  <si>
    <t>42:12:0102015:3501</t>
  </si>
  <si>
    <t>1.4.26.1.1.42</t>
  </si>
  <si>
    <t>42:12:0102015:3503</t>
  </si>
  <si>
    <t>1.4.26.1.1.43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</si>
  <si>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15 </t>
  </si>
  <si>
    <t>42:12:0102015:3511</t>
  </si>
  <si>
    <t>1.4.26.1.1.44</t>
  </si>
  <si>
    <t>Земельный участок  для использования: общественное питание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</si>
  <si>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17 </t>
  </si>
  <si>
    <t>42:12:0102015:3485</t>
  </si>
  <si>
    <t>1.4.26.1.1.45</t>
  </si>
  <si>
    <t xml:space="preserve">Земельный участок  для использования: развлекательные мероприятия 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</si>
  <si>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18.1</t>
  </si>
  <si>
    <t>42:12:0102015:3471</t>
  </si>
  <si>
    <t>1.4.26.1.1.46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</si>
  <si>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18.2 </t>
  </si>
  <si>
    <t>42:12:0102015:3534</t>
  </si>
  <si>
    <t>1.4.26.1.1.47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</si>
  <si>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18.3</t>
  </si>
  <si>
    <t>42:12:0102015:3513</t>
  </si>
  <si>
    <t>1.4.26.1.1.48</t>
  </si>
  <si>
    <t xml:space="preserve">Земельный участок  для использования: служебные гаражи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</si>
  <si>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19 </t>
  </si>
  <si>
    <t>42:12:0102015:3472</t>
  </si>
  <si>
    <t>1.4.26.1.1.49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</si>
  <si>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20</t>
  </si>
  <si>
    <t>42:12:0102015:3470</t>
  </si>
  <si>
    <t>1.4.26.1.1.50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</si>
  <si>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21 </t>
  </si>
  <si>
    <t>42:12:0102015:3491</t>
  </si>
  <si>
    <t>1.4.26.1.1.51</t>
  </si>
  <si>
    <t>Земельный участок  для использования: коммунальное обслуживание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</si>
  <si>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22,23 </t>
  </si>
  <si>
    <t>42:12:0102015:3537</t>
  </si>
  <si>
    <t>1.4.26.1.1.52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</si>
  <si>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24,25 </t>
  </si>
  <si>
    <t>42:12:0102015:3527</t>
  </si>
  <si>
    <t>1.4.26.1.1.53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</si>
  <si>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26 </t>
  </si>
  <si>
    <t>42:12:0102015:3536</t>
  </si>
  <si>
    <t>1.4.26.1.1.54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</si>
  <si>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28</t>
  </si>
  <si>
    <t>42:12:0102015:3533</t>
  </si>
  <si>
    <t>1.4.26.1.1.55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</si>
  <si>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29 </t>
  </si>
  <si>
    <t>42:12:0102015:3524</t>
  </si>
  <si>
    <t>1.4.26.1.1.56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</si>
  <si>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30 </t>
  </si>
  <si>
    <t>42:12:0102015:3522</t>
  </si>
  <si>
    <t>1.4.26.1.1.57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</si>
  <si>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31</t>
  </si>
  <si>
    <t>42:12:0102015:3531</t>
  </si>
  <si>
    <t>1.4.26.1.1.58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</si>
  <si>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32 </t>
  </si>
  <si>
    <t>42:12:0102015:3525</t>
  </si>
  <si>
    <t>1.4.26.1.1.59</t>
  </si>
  <si>
    <t xml:space="preserve">Земельный участок  для использования: общественное питание 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</si>
  <si>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33</t>
  </si>
  <si>
    <t>42:12:0102015:3530</t>
  </si>
  <si>
    <t>1.4.26.1.1.60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</si>
  <si>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34 </t>
  </si>
  <si>
    <t>42:12:0102015:3529</t>
  </si>
  <si>
    <t>1.4.26.1.1.61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</si>
  <si>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35 </t>
  </si>
  <si>
    <t>42:12:0102015:3518</t>
  </si>
  <si>
    <t>1.4.26.1.1.62</t>
  </si>
  <si>
    <t xml:space="preserve">Земельный участок  для использования: объекты торговли (торговые центры, торгово-развлекательные центры (комплексы)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</si>
  <si>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35.1 </t>
  </si>
  <si>
    <t>42:12:0102015:3516</t>
  </si>
  <si>
    <t>1.4.26.1.1.63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</si>
  <si>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36 </t>
  </si>
  <si>
    <t>42:12:0102015:3523</t>
  </si>
  <si>
    <t>1.4.26.1.1.64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</si>
  <si>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37</t>
  </si>
  <si>
    <t>42:12:0102015:3528</t>
  </si>
  <si>
    <t>1.4.26.1.1.65</t>
  </si>
  <si>
    <t xml:space="preserve">Земельный участок  для использования: туристические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</si>
  <si>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38 </t>
  </si>
  <si>
    <t>42:12:0102015:3514</t>
  </si>
  <si>
    <t>1.4.26.1.1.66</t>
  </si>
  <si>
    <t>42:12:0102015:3515</t>
  </si>
  <si>
    <t>1.4.26.1.1.67</t>
  </si>
  <si>
    <t>42:12:0102015:3542</t>
  </si>
  <si>
    <t>1.4.26.1.1.68</t>
  </si>
  <si>
    <t>42:12:0102015:3544</t>
  </si>
  <si>
    <t>1.4.26.1.1.69</t>
  </si>
  <si>
    <t>42:12:0102015:3545</t>
  </si>
  <si>
    <t>1.4.26.1.1.70</t>
  </si>
  <si>
    <t>Земельный участок  для использования: гостиничное обслуживание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</si>
  <si>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39 </t>
  </si>
  <si>
    <t>42:12:0102015:3550</t>
  </si>
  <si>
    <t>1.4.26.1.1.71</t>
  </si>
  <si>
    <t>42:12:0102015:3551</t>
  </si>
  <si>
    <t>1.4.26.1.1.72</t>
  </si>
  <si>
    <t>42:12:0102015:3552</t>
  </si>
  <si>
    <t>1.4.26.1.1.73</t>
  </si>
  <si>
    <t>42:12:0102015:3553</t>
  </si>
  <si>
    <t>1.4.26.1.1.74</t>
  </si>
  <si>
    <t>42:12:0102015:3555</t>
  </si>
  <si>
    <t>1.4.26.1.1.75</t>
  </si>
  <si>
    <t>42:12:0102015:3556</t>
  </si>
  <si>
    <t>1.4.26.1.1.76</t>
  </si>
  <si>
    <t>42:12:0102015:3557</t>
  </si>
  <si>
    <t>1.4.26.1.1.77</t>
  </si>
  <si>
    <t>42:12:0102015:3558</t>
  </si>
  <si>
    <t>1.4.26.1.1.78</t>
  </si>
  <si>
    <t>42:12:0102015:3559</t>
  </si>
  <si>
    <t>1.4.26.1.1.79</t>
  </si>
  <si>
    <t>42:12:0102015:3560</t>
  </si>
  <si>
    <t>1.4.26.1.1.80</t>
  </si>
  <si>
    <t>42:12:0102015:3561</t>
  </si>
  <si>
    <t>1.4.26.1.1.81</t>
  </si>
  <si>
    <t>42:12:0102015:3562</t>
  </si>
  <si>
    <t>1.4.26.1.1.82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</si>
  <si>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40,41 </t>
  </si>
  <si>
    <t>42:12:0102015:3538</t>
  </si>
  <si>
    <t>1.4.26.1.1.83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</si>
  <si>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А </t>
  </si>
  <si>
    <t>42:12:0102015:3539</t>
  </si>
  <si>
    <t>1.4.26.1.1.84</t>
  </si>
  <si>
    <t xml:space="preserve">Земельный участок  для использования: внеуличный транспорт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</si>
  <si>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М </t>
  </si>
  <si>
    <t>42:12:0102015:3520</t>
  </si>
  <si>
    <t>1.4.26.1.1.85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</si>
  <si>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Р </t>
  </si>
  <si>
    <t>42:12:0102015:3546</t>
  </si>
  <si>
    <t xml:space="preserve">Земельный участок  для использования: размещение автомобильных дорог </t>
  </si>
  <si>
    <t>42:12:0102015:3473</t>
  </si>
  <si>
    <t>42:12:0102015:3474</t>
  </si>
  <si>
    <t>42:12:0102015:3477</t>
  </si>
  <si>
    <t>42:12:0102015:3517</t>
  </si>
  <si>
    <t>Земельный участок  для использования: размещение автомобильных дорог</t>
  </si>
  <si>
    <t>42:12:0102015:3526</t>
  </si>
  <si>
    <t>42:12:0102015:3466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</si>
  <si>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Г </t>
  </si>
  <si>
    <t>42:12:0102015:3510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</si>
  <si>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Д </t>
  </si>
  <si>
    <t>42:12:0102015:3532</t>
  </si>
  <si>
    <t>42:12:0102015:3479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</si>
  <si>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Ж </t>
  </si>
  <si>
    <t>42:12:0102015:3499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</si>
  <si>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И </t>
  </si>
  <si>
    <t>42:12:0102015:3488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</si>
  <si>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П </t>
  </si>
  <si>
    <t>42:12:0102015:3535</t>
  </si>
  <si>
    <t>Номер квартиры</t>
  </si>
  <si>
    <t>1.4.249</t>
  </si>
  <si>
    <t>Российская Федерация, Кемеровская область, Таштагольский муниципальный район, Кызыл-Шорское сельское поселение, п. Ключевой, ул. Энтузиастов, 21</t>
  </si>
  <si>
    <t>42:12:0112001:490</t>
  </si>
  <si>
    <t>1.4.250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</si>
  <si>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Геологическая, земельный участок 68</t>
  </si>
  <si>
    <t>42:34:0104006:316</t>
  </si>
  <si>
    <t>п.7 ст. 17.1. ФЗ РФ от 26.07.2006 №135-ФЗ; договор аренды №51 от 28.04.2022 г. (02.05.2022-30.04.2023)</t>
  </si>
  <si>
    <t>В безвоз. польз. Администрации Мундыбашского городского поселения</t>
  </si>
  <si>
    <t>В безвозмезд. польз. отраслевого (функционального) органа АТМР - муниципального казенного учреждения "Управление социальной защиты населения  АТМР" (В.В. Мецкер)</t>
  </si>
  <si>
    <t>Договор безвозмезд. польз. от 09.12.2013 г. №2; распр. АТМР от 15.03.2013 №190-р; распр. АТМР  от 19.12.2022 №593-р-искоючение из договора №24 ; распр. АТМР  от 19.12.2022 №594-р; распр. АТМР от 16.01.2023 № 5-р; распр. АТМР от 16.01.2023 № 6-р</t>
  </si>
  <si>
    <t xml:space="preserve">Водозабор водохранилища без названия на ручье Мен (дамба насыпная, высота дамбы - 12,5 м)        </t>
  </si>
  <si>
    <t>1958/1995</t>
  </si>
  <si>
    <t>В оперативном управлении МКП "Водоканал"</t>
  </si>
  <si>
    <t>Приплотинный водозабор водохранилище р.Тельбес</t>
  </si>
  <si>
    <t>МКП "Водоканал"</t>
  </si>
  <si>
    <t>Кемеровская область, г.Таштагол, ул. Садовая, здание 51/2</t>
  </si>
  <si>
    <t xml:space="preserve">Отдельно стоящее нежилое здание фильтровальной станции </t>
  </si>
  <si>
    <t>Кемеровская область, г.Таштагол, ул. Садовая, зд.51</t>
  </si>
  <si>
    <t>2-этажное,  кирпичное</t>
  </si>
  <si>
    <t>1.2.59</t>
  </si>
  <si>
    <t>42:34:0115006:53</t>
  </si>
  <si>
    <t>1136,3</t>
  </si>
  <si>
    <t>42:34:0000000:167</t>
  </si>
  <si>
    <t>1971/1995</t>
  </si>
  <si>
    <t>В оперативном упраылении МКП "Водоканал"</t>
  </si>
  <si>
    <t>Кемеровская область, г.Таштагол, ул. Садовая, зд. 51/1</t>
  </si>
  <si>
    <t>1.2.61.2</t>
  </si>
  <si>
    <t>1.2.61.1.1</t>
  </si>
  <si>
    <t>Ковшевый водозабор на р.Кондома</t>
  </si>
  <si>
    <t>Кемеровская область, г.Таштагол, ул.Садовая</t>
  </si>
  <si>
    <t xml:space="preserve">Отдельно стоящее нежилое здание, водозабор Тельбес (комплекс) водопроводные очистные сооружения 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</si>
  <si>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ул.Водонасосная,15/1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</si>
  <si>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ул.Мира,3/1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</si>
  <si>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ул.Чехова,1/2</t>
  </si>
  <si>
    <t>1.2.319.1</t>
  </si>
  <si>
    <t>1.2.319.2</t>
  </si>
  <si>
    <t>1.2.319.3</t>
  </si>
  <si>
    <t>Резервуар чистой воды</t>
  </si>
  <si>
    <t>V=100 куб.м</t>
  </si>
  <si>
    <t>V=50 куб.м</t>
  </si>
  <si>
    <t>Нежилое здание насосной (на водоводах)</t>
  </si>
  <si>
    <t>Российская Федерация, Кемеровская область, Таштагольский муниципальный район, Таштагольское городское поселение, г. Таштагол, ул.Циолковского, здание 81</t>
  </si>
  <si>
    <t xml:space="preserve">Нежилое здание, Фильтровальная станция </t>
  </si>
  <si>
    <t>Отдельно стоящее нежилое здание насосной станции перекачки</t>
  </si>
  <si>
    <t>Кемеровская область, Таштагольский район, пгт. Мундыбаш, ул. Левонабережная, здание 1/1</t>
  </si>
  <si>
    <t>1974/2018</t>
  </si>
  <si>
    <t>Нежилое здание, Насосная силовой воды</t>
  </si>
  <si>
    <t>1.2.429</t>
  </si>
  <si>
    <t>1.2.434</t>
  </si>
  <si>
    <t>1.2.439</t>
  </si>
  <si>
    <t>Отдельно стоящее нежилое здание насосной станции (первого подъема)</t>
  </si>
  <si>
    <t>2015/2016</t>
  </si>
  <si>
    <t>В оперативном управлении "Водоканал"</t>
  </si>
  <si>
    <t>Распр. АТМР от 28.04.2023 г. №177-р оперативное управление</t>
  </si>
  <si>
    <t>1.5.60.1</t>
  </si>
  <si>
    <t>Резервуар чистой воды 1000 м3</t>
  </si>
  <si>
    <t>Кемеровская область - Кузбасс, м.р-н Таштагольский, г.п. Темиртауское, пгт Темиртау, район ул.Октябрьская</t>
  </si>
  <si>
    <t>V-1000 м3</t>
  </si>
  <si>
    <t>1.5.60.2</t>
  </si>
  <si>
    <t>Резервуар чистой воды  500 м3</t>
  </si>
  <si>
    <t>V-500 м3</t>
  </si>
  <si>
    <t xml:space="preserve">Водопроводные сети к жилому дому ул.Октябрьская (4-х кв.) </t>
  </si>
  <si>
    <t>1.5.122.1</t>
  </si>
  <si>
    <t>1.5.122.2</t>
  </si>
  <si>
    <t>1.5.122.3</t>
  </si>
  <si>
    <t>1.5.122.4</t>
  </si>
  <si>
    <t xml:space="preserve">Резервуар чистой воды  РЧВ на 100 куб.м. </t>
  </si>
  <si>
    <t xml:space="preserve">Резервуар чистой воды  РЧВ на 50 куб.м. </t>
  </si>
  <si>
    <t xml:space="preserve">Резервуар чистой воды  РЧВ на 25 куб.м. </t>
  </si>
  <si>
    <t>Кемеровская область,г.Таштагол, ул.Тельмана</t>
  </si>
  <si>
    <t>Кемеровская область,г.Таштагол, ул.Энергетиков</t>
  </si>
  <si>
    <t>42:34:0101021:53</t>
  </si>
  <si>
    <t>Площадь, кв.м./ Протяженность, м</t>
  </si>
  <si>
    <t>13,8</t>
  </si>
  <si>
    <t>42:34:0101021:55</t>
  </si>
  <si>
    <t>7,1</t>
  </si>
  <si>
    <t>42:34:0101021:54</t>
  </si>
  <si>
    <t>3,8</t>
  </si>
  <si>
    <t>42:34:0105015:62</t>
  </si>
  <si>
    <t>7,0</t>
  </si>
  <si>
    <t>Кемеровская область, г. Таштагол от насосной по ул. 18 Партсъезда до баков РЧВ-600 ул. Тельмана</t>
  </si>
  <si>
    <t>Кемеровская область,г. Таштагол, ул. Суворова до центральной котельной г. Таштагола</t>
  </si>
  <si>
    <t>1.5.126.11</t>
  </si>
  <si>
    <t>Кемеровская область, г. Таштагол от здания рудоуправления до зданий по ул. Ленина, 23,25</t>
  </si>
  <si>
    <t>капитальный ремонт - трубопровод холодной воды на участке стадион-пожарная часть</t>
  </si>
  <si>
    <t xml:space="preserve"> протяж. 583 м</t>
  </si>
  <si>
    <t>протяж. 70 м, д/трубы 00 мм</t>
  </si>
  <si>
    <t>1.5.126.12</t>
  </si>
  <si>
    <t>Сети водоснабжения до водозабора (в том числе реконструкция)</t>
  </si>
  <si>
    <t>1.5.126.13</t>
  </si>
  <si>
    <t>Сети водоснабжения  от насосной станции до баков РЧВ (реконструкция)</t>
  </si>
  <si>
    <t>Резервуар чистой воды на 25 куб.м</t>
  </si>
  <si>
    <t>1.5.131.1</t>
  </si>
  <si>
    <t>Резервуар чистой воды на 50 куб.м</t>
  </si>
  <si>
    <t>1.5.135</t>
  </si>
  <si>
    <t>1.5.134.1</t>
  </si>
  <si>
    <t>1.5.134.2</t>
  </si>
  <si>
    <t>1.5.134.3</t>
  </si>
  <si>
    <t>Кемеровская область, г.Таштагол, ул.Шевченко</t>
  </si>
  <si>
    <t>протяж.1552 п.м, d=60 мм.</t>
  </si>
  <si>
    <t>В оперативном пользовании МКП "Водоканал"</t>
  </si>
  <si>
    <t>1.5.203</t>
  </si>
  <si>
    <t>1.5.204</t>
  </si>
  <si>
    <t>протяж. 106 м</t>
  </si>
  <si>
    <t>1.5.305</t>
  </si>
  <si>
    <t>Водовод от водохранилища на р.Черничный ключ до НФС</t>
  </si>
  <si>
    <t>42:34:0000000:409</t>
  </si>
  <si>
    <t xml:space="preserve">протяж.  2460 м, д/ трубы 219мм </t>
  </si>
  <si>
    <t>Кемеровская область,  Таштагольский район,  г.Таштагол</t>
  </si>
  <si>
    <t>1.5.358</t>
  </si>
  <si>
    <t>Площадь зеркала водоема – 5,5 га</t>
  </si>
  <si>
    <t xml:space="preserve"> Распр. АТМР от 28.04.2023 г. №177-р оперативное управление</t>
  </si>
  <si>
    <t xml:space="preserve">Кемеровская область,г. Таштагол, ул. Советская от ж/д переезда ЦМК до баков РЧВ </t>
  </si>
  <si>
    <t>1.5.360</t>
  </si>
  <si>
    <t>Кемеровская область, г.Таштагол, от КНС №4 до очистных сооружений "Бахаревка"</t>
  </si>
  <si>
    <t xml:space="preserve">Кемеровская область, г. Таштагол,  ул. Партизанская, от д.№63 до д. №81 </t>
  </si>
  <si>
    <t xml:space="preserve">Кемеровская область, г. Таштагол,  ул. Партизанская, на территории очистных сооружений </t>
  </si>
  <si>
    <t>Кемеровская область, г. Таштагол,  ул. Партизанская, от д.№73 до д. №86</t>
  </si>
  <si>
    <t>4 кв.м.</t>
  </si>
  <si>
    <t>V= 1000мЗ                     2 кв.м</t>
  </si>
  <si>
    <t>1961/2010</t>
  </si>
  <si>
    <t>1.5.395.5.1</t>
  </si>
  <si>
    <t>Подающий трубопровод от насосной станции до резервуаров (сети водоснабжения)</t>
  </si>
  <si>
    <t>Сооружение: Сети водоснабжения</t>
  </si>
  <si>
    <t>диаметр 50 мм, 159 мм,1 00 мм</t>
  </si>
  <si>
    <t>Подающий трубопровод от насосной станции до потребителей (сети водоснабжения)</t>
  </si>
  <si>
    <t>Кемеровская область, г. Таштагол, ул.Менделеева</t>
  </si>
  <si>
    <t>Резервуар чистой воды (2-го подъема фильтровальной) на 100 м3</t>
  </si>
  <si>
    <t>обьем 100м3</t>
  </si>
  <si>
    <t>Резервуар чистой воды на 45 м3</t>
  </si>
  <si>
    <t>объем 45 м3</t>
  </si>
  <si>
    <t>Резервуар чистой воды й на 45 м3</t>
  </si>
  <si>
    <t>Российская Федерация, Кемеровская область - Кузбасс, Таштагольский муниципальный район, Мундыбашское городское поселение, пгт Мундыбаш, ул.Октябрьская, 33</t>
  </si>
  <si>
    <t>Кемеровская область, Таштагольский район, пгт. Мундыбаш, ул. Октябрьская, сооружение 40а/1с</t>
  </si>
  <si>
    <t>1.5.461.9</t>
  </si>
  <si>
    <t>1.5.461.10</t>
  </si>
  <si>
    <t>1.5.461.11</t>
  </si>
  <si>
    <t>бак мазута ем. 2000</t>
  </si>
  <si>
    <t>инв.ном. Ц0056937</t>
  </si>
  <si>
    <t>резервуар N1 емкость 350 м3</t>
  </si>
  <si>
    <t>Кемеровская область, Таштагольский район, пгт. Мундыбаш, ул. Октябрьская, сооружение 40а/2с</t>
  </si>
  <si>
    <t>инв.ном. Ц0056943</t>
  </si>
  <si>
    <t>резервуар чистовый воды, емкость 250 м3</t>
  </si>
  <si>
    <t>Кемеровская область, Таштагольский район, пгт. Мундыбаш, ул.Пионерская, сооружение 43а/1с</t>
  </si>
  <si>
    <t>Кемеровская обл., Таштагольский район, пгт.Шерегеш от 4 ключа до ул.Весенняя (2 нитка)</t>
  </si>
  <si>
    <t>Кемеровская обл., Таштагольский район, пгт.Шерегеш, ул.Весенняя (2 нитка)</t>
  </si>
  <si>
    <t>Кемеровская область, Таштагольский район, пгт. Шерегеш, ул.Весенняя до НФС (2 нитка)</t>
  </si>
  <si>
    <t>Кемеровская область, Таштагольский район, пгт. Шерегеш от 4 ключа до ул.Весенняя</t>
  </si>
  <si>
    <t>Кемеровская область, Таштагольский район, пгт. Шерегеш, от ул.Весенняя до НФС</t>
  </si>
  <si>
    <t>Кемеровская область, Таштагольский район, пгт. Шерегеш, ул.Советская до д/с №18</t>
  </si>
  <si>
    <t xml:space="preserve">Российская Федерация, Кемеровская область - Кузбасс, Таштагольский район, Казское  городское поселение, пгт Каз , водоотвод проходящий от 600 кубового бака по ул. Фабричная до здания промышленной котельной по ул. Зеленая пгт.Каз </t>
  </si>
  <si>
    <t>Российская Федерация, Кемеровская область - Кузбасс, Таштагольский  район, Казское городское поселение, пгт. Каз, водоотвод проходящий от Тельбесского водозабора в пгт. Каз по улицам Строительная, Победы, Фабричная до 1000 кубового бака по ул. Фабричная в пгт.Каз</t>
  </si>
  <si>
    <t>Водопровод от Тельбесской станции до 1000 куб.м бака жилого поселка</t>
  </si>
  <si>
    <t>1.5.478.2.1</t>
  </si>
  <si>
    <t>Резервуар для воды 100 м3</t>
  </si>
  <si>
    <t>Земляная плотина (Тельбес)</t>
  </si>
  <si>
    <t>Резервуар чистой воды 50 м3</t>
  </si>
  <si>
    <t>42:12:0000000:1070</t>
  </si>
  <si>
    <t>протяж. 4684 м</t>
  </si>
  <si>
    <t>Водозабор водохранилища IV ключ  - Плотина водозабора</t>
  </si>
  <si>
    <t>Водозабор водохранилища III ключ  - Земляная плотина для водозабора</t>
  </si>
  <si>
    <t>Водоснабжение жилых домов по ул. Романа Арефьева в г. Таштаголе</t>
  </si>
  <si>
    <t>Кемеровская область, г.Таштагол, ул. Романа Арефьева</t>
  </si>
  <si>
    <t>Колодцы для обслуживания системы водоснабжения, 3 шт</t>
  </si>
  <si>
    <t>Колодцы для подключения потребителей, 18 шт</t>
  </si>
  <si>
    <t>1.5.589</t>
  </si>
  <si>
    <t>Пассажирская кресельная канатная дорога с постоянно закрепленными на тяговом канате 4-х местными креслами</t>
  </si>
  <si>
    <t>Кемеровская область-Кузбасс, Таштагольский муниципальный  район,  Таштагольское городское поселение, г.Таштагол, гора Туманная</t>
  </si>
  <si>
    <t>42:34:0102066:176</t>
  </si>
  <si>
    <t>2023</t>
  </si>
  <si>
    <t>В безвозмездном пользовании МБУ «Губернский центр горнолыжного спорта и сноуборда»</t>
  </si>
  <si>
    <t>Концессия № 42:34:0105018:14-42/012/2017-7 от 01.01.2017; Аренда № 42:34:0105018:14-42/082/2022-11 от 01.08.2022</t>
  </si>
  <si>
    <t>Кемеровская область-Кузбасс, Таштагольский муниципальный район, Казское городское поселение, пгт. Каз, ул.Фабричная, земельный участок 101</t>
  </si>
  <si>
    <t>Кемеровская область-Кузбасс, Таштагольский муниципальный район, Казское городское поселение, пгт. Каз, ул.Фабричная, строение 101</t>
  </si>
  <si>
    <t>Кемеровская область-Кузбасс, Таштагольский муниципальный район, Казское городское поселение, пгт. Каз, ул.Фабричная, строение 101/1</t>
  </si>
  <si>
    <t>Кемеровская область-Кузбасс, Таштагольский муниципальный район, Казское городское поселение, пгт. Каз, ул. Строительная, здание 17А/1</t>
  </si>
  <si>
    <t>Кемеровская область-Кузбасс, Таштагольский муниципальный район, Казское городское поселение, пгт. Каз, ул. Строительная, здание 17А</t>
  </si>
  <si>
    <t>Российская Федерация, Кемеровская область-Кузбасс, Таштагольский муниципальный район, Казское городское поселение, пгт. Каз, ул.Строительная, 17А</t>
  </si>
  <si>
    <t>Кемеровская область-Кузбасс, Таштагольский муниципальный район, Казское городское поселение, пгт. Каз, ул.Нагорная, здание 9А</t>
  </si>
  <si>
    <t>1.4.251</t>
  </si>
  <si>
    <t>Земельный участок, использование: под строительство центрального теплового пункта</t>
  </si>
  <si>
    <t>Кемеровская область, г. Таштагол, ул. Островского, 1а/7</t>
  </si>
  <si>
    <t>42:34:0105018:14</t>
  </si>
  <si>
    <t>Казна</t>
  </si>
  <si>
    <t>1.4.252</t>
  </si>
  <si>
    <t>Земельный участок, использование: под станцией холодной перекачки</t>
  </si>
  <si>
    <t>Кемеровская область-Кузбасс, Таштагольский муниципальный район, Казское городское поселение, пгт.Каз, ул.Нагорная, земельный участок 9А</t>
  </si>
  <si>
    <t>42:12:0104001:72</t>
  </si>
  <si>
    <t>ст. 17.1. ФЗ РФ от 26.07.2006 №135-ФЗ; договор аренды №23/10/030/7507В от 21.01.2022 (28.12.2021-27.12.2026); Распр. АТМР от 28.04.2023 г. №177-р - оперативное управление</t>
  </si>
  <si>
    <t>Концессионное соглашение №3 от 25.12.2017 г. (2018-2032 гг.); Соглашение о расторжении концессионного соглашения от 25.04.2023 г.</t>
  </si>
  <si>
    <t>Распр. КУМИ Таштагол. муниц. района от 08.02.2018 г. №6; договор на 30 дней; распр. Админстр. Таштагол.муниц. района от 14.02.2018 г. №98-р</t>
  </si>
  <si>
    <r>
      <t>Концессионное соглашение №3 от 25.12.2017 г. (2018-2032 гг.);</t>
    </r>
    <r>
      <rPr>
        <u/>
        <sz val="8"/>
        <rFont val="Arial Cyr"/>
        <charset val="204"/>
      </rPr>
      <t xml:space="preserve"> </t>
    </r>
    <r>
      <rPr>
        <sz val="8"/>
        <rFont val="Arial Cyr"/>
        <family val="2"/>
        <charset val="204"/>
      </rPr>
      <t>Соглашение о расторжении концессионного соглашения от 25.04.2023 г.</t>
    </r>
  </si>
  <si>
    <t>Встроенное нежилое помещение /детский сад №5 "Петрушка"/</t>
  </si>
  <si>
    <t>В оперативном управлении  МБДОУ «Детский сад  №5 «Петрушка»</t>
  </si>
  <si>
    <t>В оперативном управлении  МБДОУ «Детский сад  №5 «Петрушка»;  Реорганизация МКДОУ детский сад №5 "Петрушка" путем присоединения к нему МБДОУ детский сад №7 "Подснежник" -  приказ МКУ "Управление образования администрации Таштагольского муниципального района от 27.03.2023 г. №38.3</t>
  </si>
  <si>
    <t xml:space="preserve">В оперативном управлении МБОУ "Основная общеобразовательная школа №15" </t>
  </si>
  <si>
    <t>В оперативном управлении МБОУ "Основная общеобразовательная школа №15"; приказ МКУ "Управ. образования АТМР от 27.03.2023 г. №38.1</t>
  </si>
  <si>
    <t>В оперативном управлении МБОУ "Основная общеобразовательная школа №8"</t>
  </si>
  <si>
    <t>1.1.253.38</t>
  </si>
  <si>
    <t>1.1.253.39</t>
  </si>
  <si>
    <t>46-А</t>
  </si>
  <si>
    <t>1.3.224</t>
  </si>
  <si>
    <t>Кемеровская область, Таштагольский район, пгт.Шерегеш, ул.Кирова,1</t>
  </si>
  <si>
    <t>42:12:0102006:1318</t>
  </si>
  <si>
    <t>1.1.170.12</t>
  </si>
  <si>
    <t>42:34:0101036:60</t>
  </si>
  <si>
    <t>1.1.171.14</t>
  </si>
  <si>
    <t>42:34:0101036:134</t>
  </si>
  <si>
    <t>1.1.174.8</t>
  </si>
  <si>
    <t>42:34:0101037:81</t>
  </si>
  <si>
    <t>1.1.174.9</t>
  </si>
  <si>
    <t>42:34:0101037:114</t>
  </si>
  <si>
    <t>1.1.175.10</t>
  </si>
  <si>
    <t>42:34:0101036:140</t>
  </si>
  <si>
    <t>1.1.179.13</t>
  </si>
  <si>
    <t>42:34:0101021:46</t>
  </si>
  <si>
    <t>1.1.181.10</t>
  </si>
  <si>
    <t>42:34:0101021:58</t>
  </si>
  <si>
    <t>1.1.181.11</t>
  </si>
  <si>
    <t>1.1.181.12</t>
  </si>
  <si>
    <t>1.1.181.13</t>
  </si>
  <si>
    <t>42:34:0101021:57</t>
  </si>
  <si>
    <t>42:34:0101021:50</t>
  </si>
  <si>
    <t>42:34:0101021:33</t>
  </si>
  <si>
    <t>1.1.182.8</t>
  </si>
  <si>
    <t>42:34:0101010:77</t>
  </si>
  <si>
    <t>1.1.192.11</t>
  </si>
  <si>
    <t>1.1.192.12</t>
  </si>
  <si>
    <t>42:34:0101020:57</t>
  </si>
  <si>
    <t>42:34:0101020:54</t>
  </si>
  <si>
    <t>1.1.513.3</t>
  </si>
  <si>
    <t>1.1.513.4</t>
  </si>
  <si>
    <t>1.1.513.5</t>
  </si>
  <si>
    <t>1.1.513.6</t>
  </si>
  <si>
    <t>1.1.513.7</t>
  </si>
  <si>
    <t>42:12:0105002:2715</t>
  </si>
  <si>
    <t>42:12:0105002:2713</t>
  </si>
  <si>
    <t>42:12:0105002:2714</t>
  </si>
  <si>
    <t>42:12:0105002:2716</t>
  </si>
  <si>
    <t>42:12:0105002:2717</t>
  </si>
  <si>
    <t>1.1.516.7</t>
  </si>
  <si>
    <t>1.1.516.8</t>
  </si>
  <si>
    <t>42:12:0105002:2341</t>
  </si>
  <si>
    <t>42:12:0105002:2337</t>
  </si>
  <si>
    <t>1.1.535.3</t>
  </si>
  <si>
    <t>42:12:0105002:3496</t>
  </si>
  <si>
    <t>1.1.867</t>
  </si>
  <si>
    <t>1.1.868</t>
  </si>
  <si>
    <t>Кемеровская область, Таштагольский район, пгт.Темиртау, ул.Рудная,5</t>
  </si>
  <si>
    <t>1.1.867.1</t>
  </si>
  <si>
    <t>1.1.867.2</t>
  </si>
  <si>
    <t>42:12:0105002:0:7</t>
  </si>
  <si>
    <t>42:12:0105002:2191</t>
  </si>
  <si>
    <t>42:12:0105002:2192</t>
  </si>
  <si>
    <t>1.1.868.1</t>
  </si>
  <si>
    <t>1.1.868.2</t>
  </si>
  <si>
    <t>Кемеровская область, Таштагольский район, пгт.Темиртау,ул.Красный Маяк,1</t>
  </si>
  <si>
    <t>42:12:0105002:2017</t>
  </si>
  <si>
    <t>42:12:0105002:2016</t>
  </si>
  <si>
    <t>42:12:0105002:1799</t>
  </si>
  <si>
    <t>Деревянное</t>
  </si>
  <si>
    <t>Рубленые</t>
  </si>
  <si>
    <t>1.1.449.1</t>
  </si>
  <si>
    <t>Кемеровская область, Таштагольский район, пгт.Каз,ул.Кирова,20</t>
  </si>
  <si>
    <t>42:12:0104001:2822</t>
  </si>
  <si>
    <r>
      <t>1.1.430</t>
    </r>
    <r>
      <rPr>
        <sz val="10"/>
        <rFont val="Arial Cyr"/>
        <charset val="204"/>
      </rPr>
      <t>.1</t>
    </r>
  </si>
  <si>
    <r>
      <t>1.1.430</t>
    </r>
    <r>
      <rPr>
        <sz val="10"/>
        <rFont val="Arial Cyr"/>
        <charset val="204"/>
      </rPr>
      <t>.2</t>
    </r>
    <r>
      <rPr>
        <sz val="11"/>
        <color theme="1"/>
        <rFont val="Calibri"/>
        <family val="2"/>
        <charset val="204"/>
        <scheme val="minor"/>
      </rPr>
      <t/>
    </r>
  </si>
  <si>
    <r>
      <t>1.1.430</t>
    </r>
    <r>
      <rPr>
        <sz val="10"/>
        <rFont val="Arial Cyr"/>
        <charset val="204"/>
      </rPr>
      <t>.3</t>
    </r>
    <r>
      <rPr>
        <sz val="11"/>
        <color theme="1"/>
        <rFont val="Calibri"/>
        <family val="2"/>
        <charset val="204"/>
        <scheme val="minor"/>
      </rPr>
      <t/>
    </r>
  </si>
  <si>
    <r>
      <t>1.1.430</t>
    </r>
    <r>
      <rPr>
        <sz val="10"/>
        <rFont val="Arial Cyr"/>
        <charset val="204"/>
      </rPr>
      <t>.4</t>
    </r>
    <r>
      <rPr>
        <sz val="11"/>
        <color theme="1"/>
        <rFont val="Calibri"/>
        <family val="2"/>
        <charset val="204"/>
        <scheme val="minor"/>
      </rPr>
      <t/>
    </r>
  </si>
  <si>
    <t>42:12:0104001:2874</t>
  </si>
  <si>
    <t>1.1.462.9</t>
  </si>
  <si>
    <t>1.1.462.10</t>
  </si>
  <si>
    <t>42:12:0104005:411</t>
  </si>
  <si>
    <t>42:12:0104005:420</t>
  </si>
  <si>
    <t>1.1.818</t>
  </si>
  <si>
    <t>1.1.818.2</t>
  </si>
  <si>
    <t>Кемеровская область, Таштагольский район, пгт.Каз,ул.Строительная,7</t>
  </si>
  <si>
    <t>42:12:0104001:2867</t>
  </si>
  <si>
    <t>1.1.307.17</t>
  </si>
  <si>
    <t>1.1.307.18</t>
  </si>
  <si>
    <t>42:12:0102006:945</t>
  </si>
  <si>
    <t>42:12:0102006:946</t>
  </si>
  <si>
    <t>1.1.300.9</t>
  </si>
  <si>
    <t>1.1.300.10</t>
  </si>
  <si>
    <t>42:12:0102006:970</t>
  </si>
  <si>
    <t>42:12:0102006:1049</t>
  </si>
  <si>
    <t>1.4.253</t>
  </si>
  <si>
    <t>Кемеровская область-Кузбасс, Таштагольский муниципальный район, Мундыбашское городское поселение, пгт.Мундыбаш, ул.Григорьева</t>
  </si>
  <si>
    <t>42:12:0106003:1515</t>
  </si>
  <si>
    <t>1.1.409</t>
  </si>
  <si>
    <t>1.1.409.3</t>
  </si>
  <si>
    <t>Кемеровская область, Таштагольский район, пгт.Каз,ул.Ленина,8</t>
  </si>
  <si>
    <t>42:12:0104001:2723</t>
  </si>
  <si>
    <t>1.1.506.5</t>
  </si>
  <si>
    <t>42:12:0105002:2562</t>
  </si>
  <si>
    <t>1.1.481.10</t>
  </si>
  <si>
    <t>42:12:0105002:2160</t>
  </si>
  <si>
    <t>1.1.500.10</t>
  </si>
  <si>
    <t>42:12:0105002:2452</t>
  </si>
  <si>
    <t>1.1.560.11</t>
  </si>
  <si>
    <t>32а</t>
  </si>
  <si>
    <t>42:12:0106002:2563</t>
  </si>
  <si>
    <t>1.1.816.19</t>
  </si>
  <si>
    <t>42:12:0102006:1142</t>
  </si>
  <si>
    <t>1.1.857.4</t>
  </si>
  <si>
    <t>1.1.718.20</t>
  </si>
  <si>
    <t>42:34:0101051:162</t>
  </si>
  <si>
    <t>42:12:0104002:225</t>
  </si>
  <si>
    <t>42:12:0104001:4570</t>
  </si>
  <si>
    <t>42:12:0000000:1116</t>
  </si>
  <si>
    <t>42:12:0105003:1204</t>
  </si>
  <si>
    <t>Кемеровская область - Кузбасс, м.р-н Таштагольский, г.п. Темиртауское, пгт Темиртау, район ул.8 Марта,30/1</t>
  </si>
  <si>
    <t>42:12:0104007:209</t>
  </si>
  <si>
    <t>42:12:0104007:210</t>
  </si>
  <si>
    <t>42:12:0106002:4872</t>
  </si>
  <si>
    <t>1.2.421.1</t>
  </si>
  <si>
    <t>Кемеровская область, Таштагольский район, пгт. Мундыбаш, ул.Левонабережная, сооружение 1/2с</t>
  </si>
  <si>
    <t>Ревервуар РЧВ №2</t>
  </si>
  <si>
    <t>42:12:0000000:1114</t>
  </si>
  <si>
    <t>500м3</t>
  </si>
  <si>
    <t>42:12:0000000:1117</t>
  </si>
  <si>
    <t>42:12:0000000:1115</t>
  </si>
  <si>
    <t>42:12:0000000:1113</t>
  </si>
  <si>
    <t xml:space="preserve">Российская Федерация, Кемеровская область - Кузбасс, Таштагольский муниципальный район, Мундыбашское городское поселение, пгт. Мундыбаш, ул.Левонабережная, земельный участок 1 </t>
  </si>
  <si>
    <t>42:34:0114017:298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</si>
  <si>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ул.Школьная, строение 40/1</t>
  </si>
  <si>
    <t>Адрес (местоположение)  имущества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</si>
  <si>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ул.Логовая, сооружение 1</t>
  </si>
  <si>
    <t>42:34:0110024:216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</si>
  <si>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ул.Центральная, сооружение 2</t>
  </si>
  <si>
    <t>42:34:0110018:177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</si>
  <si>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ул.Центральная, сооружение 3</t>
  </si>
  <si>
    <t>42:34:0110018:178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</si>
  <si>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ул.Центральная, сооружение 4</t>
  </si>
  <si>
    <t>42:34:0110018:179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</si>
  <si>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ул.Матросова, сооружение 52</t>
  </si>
  <si>
    <t>42:34:0000000:704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</si>
  <si>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ул.Школьная, строение 40/2</t>
  </si>
  <si>
    <t>42:34:0114017:299</t>
  </si>
  <si>
    <t>1.4.254</t>
  </si>
  <si>
    <t>Земельный участок, использование: земельные участки (территории) общего пользования</t>
  </si>
  <si>
    <t>Российская Федерация, Кемеровская область, Таштагольский муниципальный район, Усть-Кабырзинское сельское поселение, п. Усть-Кабырза</t>
  </si>
  <si>
    <t>42:12:0110001:1892</t>
  </si>
  <si>
    <t>1.4.255</t>
  </si>
  <si>
    <t>42:12:0102013:3479</t>
  </si>
  <si>
    <t>42:34:0000000:706</t>
  </si>
  <si>
    <t>42:12:0114002:2438</t>
  </si>
  <si>
    <t>Российская Федерация, Кемеровская область - Кузбасс, Таштагольский муниципальный район, ТСпасское городское поселение, пгт. Спасск, ул. Октябрьская, сооружение 1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</si>
  <si>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ул.Мичурина,сооружение 74</t>
  </si>
  <si>
    <t>42:12:0114002:2439</t>
  </si>
  <si>
    <t>42:12:0114002:2440</t>
  </si>
  <si>
    <t>Российская Федерация, Кемеровская область - Кузбасс, Таштагольский муниципальный район, Спасское городское поселение, пгт. Спасск, ул. Октябрьская, сооружение 2</t>
  </si>
  <si>
    <t>Российская Федерация, Кемеровская область - Кузбасс, Таштагольский муниципальный район, Спасское городское поселение, пгт. Спасск, ул. Октябрьская, сооружение 3</t>
  </si>
  <si>
    <t>42:34:0000000:710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</si>
  <si>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ул.Шевченко, строение 1</t>
  </si>
  <si>
    <t>Российская Федерация, Кемеровская область - Кузбасс, Таштагольский муниципальный район, Таштагольское городское поселение, г. Таштагол, ул.Баумана, строение 1</t>
  </si>
  <si>
    <t>42:34:0000000:709</t>
  </si>
  <si>
    <t>Российская Федерация, Кемеровская область - Кузбасс, Таштагольский муниципальный район, Таштагольское городское поселение, г. Таштагол, сооружение 1</t>
  </si>
  <si>
    <t>42:12:0000000:1128</t>
  </si>
  <si>
    <t>26,7</t>
  </si>
  <si>
    <t>1.4.256</t>
  </si>
  <si>
    <t>Земельный участок, использование: Водная станция №1</t>
  </si>
  <si>
    <t>Российская Федерация, Кемеровская область-Кузбасс, Таштагольский муниципальный район, Темиртауское городское поселение, пгт. Темиртау, ул.Водонасосная, земельный участок 15/1</t>
  </si>
  <si>
    <t>42:12:0105002:3171</t>
  </si>
  <si>
    <t>1.4.257</t>
  </si>
  <si>
    <t>Земельный участок, использование: Водная станция №2</t>
  </si>
  <si>
    <t>Российская Федерация, Кемеровская область-Кузбасс, Таштагольский муниципальный район, Темиртауское городское поселение, пгт. Темиртау, ул.Мира, земельный участок 3/1</t>
  </si>
  <si>
    <t>42:12:0105004:12</t>
  </si>
  <si>
    <t>1.4.258</t>
  </si>
  <si>
    <t>Российская Федерация, Кемеровская область-Кузбасс, Таштагольский муниципальный район, Темиртауское городское поселение, пгт. Темиртау, ул.Чехова, земельный участок 1/2</t>
  </si>
  <si>
    <t>Земельный участок, использование: Водная станция №4</t>
  </si>
  <si>
    <t>42:12:0105002:83</t>
  </si>
  <si>
    <t>МБОУ "Основная общеобразовательная школа №8"</t>
  </si>
  <si>
    <t>1.4.259</t>
  </si>
  <si>
    <t>Земельный участок, использование: под хлораторную хозяйственно-питьевого водоснабжения</t>
  </si>
  <si>
    <t>Кемеровская область, р-н. Таштагольский, пгт. Мундыбаш, ул. Октябрьская, д. 40-А</t>
  </si>
  <si>
    <t>1.4.260</t>
  </si>
  <si>
    <t>Земельный участок, использование: Под водобаки промышленной воды</t>
  </si>
  <si>
    <t>42:12:0106002:85</t>
  </si>
  <si>
    <t>1.4.261</t>
  </si>
  <si>
    <t>Российская Федерация, Кемеровская область, Таштагольский муниципальный район, городское поселение Шерегешское, пгт. Шерегеш, ул. Советская,4Б</t>
  </si>
  <si>
    <t>42:12:0102002:2056</t>
  </si>
  <si>
    <t>1.4.262</t>
  </si>
  <si>
    <t>Кемеровская область, р-н. Таштагольский, г. Таштагол, ул. Поспелова,8</t>
  </si>
  <si>
    <t>42:34:0106002:102</t>
  </si>
  <si>
    <t>МБУ "СШ бокса имени Ю.С. Айларова"</t>
  </si>
  <si>
    <t>42:12:0106002:4891</t>
  </si>
  <si>
    <t>42:12:0106002:4890</t>
  </si>
  <si>
    <t>МБОУ "Основная общеобразовательная школа №15"</t>
  </si>
  <si>
    <t>42:12:0102001:2293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</si>
  <si>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1</t>
  </si>
  <si>
    <t>42:12:0102002:2390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</si>
  <si>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</si>
  <si>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3</t>
  </si>
  <si>
    <t>42:12:0102001:2294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</si>
  <si>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4</t>
  </si>
  <si>
    <t>42:12:0102001:2295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</si>
  <si>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5</t>
  </si>
  <si>
    <t>42:12:0102001:2296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</si>
  <si>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здание 53</t>
  </si>
  <si>
    <t>42:12:0102003:1462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</si>
  <si>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здание 53/1</t>
  </si>
  <si>
    <t>42:12:0102003:1463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</si>
  <si>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Заречная, сооружение 1</t>
  </si>
  <si>
    <t>42:12:0102006:1991</t>
  </si>
  <si>
    <t>42:12:0102006:1994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</si>
  <si>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Кирова, сооружение 1</t>
  </si>
  <si>
    <t>42:12:0000000:1142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</si>
  <si>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6</t>
  </si>
  <si>
    <t>42:12:0102001:2301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</si>
  <si>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Пирогова, сооружение 1</t>
  </si>
  <si>
    <t>42:12:0102002:2391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</si>
  <si>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7</t>
  </si>
  <si>
    <t>42:12:0102001:2298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</si>
  <si>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8</t>
  </si>
  <si>
    <t>42:12:0102001:2299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</si>
  <si>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Дзержинского, сооружение 1</t>
  </si>
  <si>
    <t>42:12:0000000:1143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</si>
  <si>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Дзержинского, сооружение 2</t>
  </si>
  <si>
    <t>42:12:0000000:1144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</si>
  <si>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Дзержинского, сооружение 3</t>
  </si>
  <si>
    <t>42:12:0102006:1993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</si>
  <si>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Зимовская, сооружение 1</t>
  </si>
  <si>
    <t>42:12:0102006:1990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</si>
  <si>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ул.40 лет Октября, сооружение 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</si>
  <si>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ул.40 лет Октября, сооружение 2</t>
  </si>
  <si>
    <t>42:12:0102006:1992</t>
  </si>
  <si>
    <t>42:12:0000000:1145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</si>
  <si>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ул.40 лет Октября, сооружение 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</si>
  <si>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сооружение 9</t>
  </si>
  <si>
    <t>42:12:0102001:2302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</si>
  <si>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Вокзальная, сооружение 1</t>
  </si>
  <si>
    <t>42:12:0102001:2303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</si>
  <si>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ул.Советская, сооружение 1</t>
  </si>
  <si>
    <t>42:12:0000000:1146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</si>
  <si>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ул.40 лет Октября, сооружение 4</t>
  </si>
  <si>
    <t>42:12:0102006:1989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</si>
  <si>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Гагарина, земельный участок 53</t>
  </si>
  <si>
    <t>42:12:0106002:4893</t>
  </si>
  <si>
    <t>42:12:0106002:4894</t>
  </si>
  <si>
    <t>42:12:0106006:287</t>
  </si>
  <si>
    <t>42:12:0106006:285</t>
  </si>
  <si>
    <t>42:12:0106006:286</t>
  </si>
  <si>
    <t>1.1.869</t>
  </si>
  <si>
    <t>Кемеровская область, Таштагольский район, пос.Чугунаш, ул.Станционная,14Б</t>
  </si>
  <si>
    <t>14Б</t>
  </si>
  <si>
    <t>1.3.225</t>
  </si>
  <si>
    <t>Кемеровская область, Таштагольский район, пгт.Мундыбаш, ул.Ленина,17</t>
  </si>
  <si>
    <t xml:space="preserve">42:12:0106002:4232 </t>
  </si>
  <si>
    <t>Распр. КУМИ Таштагол. муниц. района от 18.05.2018 г. №17; договор аренды от 18.05.2018 г. №85 (18.05.2018- 16.06.2018)</t>
  </si>
  <si>
    <t>Распоряжение Админстрации ТМР от 07.11.2023 №519-р "Одачче согласия на передачу в субаренду муниципального имущества" (9 кв.м.); ст. 17.1. ФЗ РФ от 26.07.2006 №135-ФЗ; договор аренды №42 от 22.03.2022 (11.08.2021-09.08.2022)</t>
  </si>
  <si>
    <t>1.1.721.6</t>
  </si>
  <si>
    <t>42:12:0104001:2406</t>
  </si>
  <si>
    <t>1.1.408.4</t>
  </si>
  <si>
    <t>42:12:0104001:2566</t>
  </si>
  <si>
    <t>1.1.850.61</t>
  </si>
  <si>
    <t>42:12:0106002:4443</t>
  </si>
  <si>
    <t>1.1.850.62</t>
  </si>
  <si>
    <t>42:12:0106002:4444</t>
  </si>
  <si>
    <t>1.1.559.7</t>
  </si>
  <si>
    <t>42:12:0106002:2643</t>
  </si>
  <si>
    <t>1.1.870.</t>
  </si>
  <si>
    <t>42:12:0106002:2854</t>
  </si>
  <si>
    <t>1.1.564.5</t>
  </si>
  <si>
    <t>42:12:0106002:2394</t>
  </si>
  <si>
    <t>1.1.506.6</t>
  </si>
  <si>
    <t>42:12:0105002:2554</t>
  </si>
  <si>
    <t>1.1.507.7</t>
  </si>
  <si>
    <t>42:12:0105002:2495</t>
  </si>
  <si>
    <t>1.1.507.8</t>
  </si>
  <si>
    <t>1.1.507.9</t>
  </si>
  <si>
    <t>42:12:0105002:2533</t>
  </si>
  <si>
    <t>42:12:0105002:1104</t>
  </si>
  <si>
    <t>1.1.871.</t>
  </si>
  <si>
    <t>1.1.871.1</t>
  </si>
  <si>
    <t>1.1.499.13</t>
  </si>
  <si>
    <t>42:12:0105002:3003</t>
  </si>
  <si>
    <t>42:12:0105002:1230</t>
  </si>
  <si>
    <t>1.1.835.20</t>
  </si>
  <si>
    <t xml:space="preserve">42:12:0102006:1437 </t>
  </si>
  <si>
    <t xml:space="preserve">42:12:0102006:1447 </t>
  </si>
  <si>
    <t>1.1.787.17</t>
  </si>
  <si>
    <t>42:34:0114008:45</t>
  </si>
  <si>
    <t>1.1.716.</t>
  </si>
  <si>
    <t>Кемеровская область, г.Таштагол,ул.Ленина,1</t>
  </si>
  <si>
    <t>1.1.716.1</t>
  </si>
  <si>
    <t>42:34:0101044:113</t>
  </si>
  <si>
    <t>1.1.814.26</t>
  </si>
  <si>
    <t>42:34:0114008:108</t>
  </si>
  <si>
    <r>
      <t>Кемеровская область, Таштагольский район, пгт.Мундыбаш, ул.Ленина</t>
    </r>
    <r>
      <rPr>
        <sz val="10"/>
        <color theme="0"/>
        <rFont val="Arial Cyr"/>
        <charset val="204"/>
      </rPr>
      <t>, 21</t>
    </r>
  </si>
  <si>
    <t>42:34:0101044:527</t>
  </si>
  <si>
    <t>1.1.871.2</t>
  </si>
  <si>
    <t>17</t>
  </si>
  <si>
    <t xml:space="preserve">42:34:0101044:534   </t>
  </si>
  <si>
    <t>6120648,6</t>
  </si>
  <si>
    <t>66,6</t>
  </si>
  <si>
    <t>887063,38</t>
  </si>
  <si>
    <t>1.1.810.22</t>
  </si>
  <si>
    <t>42:34:0114012:95</t>
  </si>
  <si>
    <t>1.1.810.23</t>
  </si>
  <si>
    <t>1.1.810.24</t>
  </si>
  <si>
    <t>42:34:0114012:79</t>
  </si>
  <si>
    <t>42:34:0114012:88</t>
  </si>
  <si>
    <t>1.1.834.14</t>
  </si>
  <si>
    <t>42:34:0103007:197</t>
  </si>
  <si>
    <t>1.1.848.8</t>
  </si>
  <si>
    <t>42:34:0103010:74</t>
  </si>
  <si>
    <t>1.1.774.</t>
  </si>
  <si>
    <t>1.1.774.1</t>
  </si>
  <si>
    <t>Кемеровская область, г.Таштагол, ул. Ноградская, 25</t>
  </si>
  <si>
    <t xml:space="preserve">42:34:0106004:293 </t>
  </si>
  <si>
    <t>1.1.9.26</t>
  </si>
  <si>
    <t>42:34:0106003:262</t>
  </si>
  <si>
    <t>1.1.90.20</t>
  </si>
  <si>
    <t xml:space="preserve">42:34:0102011:151 </t>
  </si>
  <si>
    <t>1.1.90.21</t>
  </si>
  <si>
    <t>42:34:0102011:131</t>
  </si>
  <si>
    <t>1.1.94.17</t>
  </si>
  <si>
    <t xml:space="preserve">42:34:0102011:77 </t>
  </si>
  <si>
    <t>1.1.684.4</t>
  </si>
  <si>
    <t>42:34:0112008:209</t>
  </si>
  <si>
    <t>квартира-социального использования</t>
  </si>
  <si>
    <t>1.1.174.10</t>
  </si>
  <si>
    <t>1.1.174.11</t>
  </si>
  <si>
    <t>1.1.174.12</t>
  </si>
  <si>
    <t>1.1.174.13</t>
  </si>
  <si>
    <t>42:34:0101037:106</t>
  </si>
  <si>
    <t>42:34:0101037:105</t>
  </si>
  <si>
    <t>42:34:0101037:79</t>
  </si>
  <si>
    <t>42:34:0101037:41</t>
  </si>
  <si>
    <t>1.1.177.12</t>
  </si>
  <si>
    <t>42:34:0101036:106</t>
  </si>
  <si>
    <t>1.1.181.14</t>
  </si>
  <si>
    <t>42:34:0101021:49</t>
  </si>
  <si>
    <t>1.1.182.9</t>
  </si>
  <si>
    <t>1.1.182.10</t>
  </si>
  <si>
    <t>42:34:0101010:78</t>
  </si>
  <si>
    <t>42:34:0101010:76</t>
  </si>
  <si>
    <t>1.1.192.13</t>
  </si>
  <si>
    <t>1.1.192.14</t>
  </si>
  <si>
    <t>42:34:0101020:52</t>
  </si>
  <si>
    <t>42:34:0101020:28</t>
  </si>
  <si>
    <t>1.1.787.18</t>
  </si>
  <si>
    <t xml:space="preserve">42:34:0114008:42 </t>
  </si>
  <si>
    <t>1.1.814.27</t>
  </si>
  <si>
    <t>42:34:0114008:107</t>
  </si>
  <si>
    <t>1.1.684.5</t>
  </si>
  <si>
    <t>42:34:0112008:100</t>
  </si>
  <si>
    <t>1.1.850.63</t>
  </si>
  <si>
    <t>42:12:0106002:4427</t>
  </si>
  <si>
    <t>1.1.516.9</t>
  </si>
  <si>
    <t>1.1.516.10</t>
  </si>
  <si>
    <t>1.1.516.11</t>
  </si>
  <si>
    <t>1.1.516.12</t>
  </si>
  <si>
    <t>42:12:0105002:2338</t>
  </si>
  <si>
    <t>42:12:0105002:2340</t>
  </si>
  <si>
    <t>42:12:0105002:1088</t>
  </si>
  <si>
    <t>42:12:0105002:2339</t>
  </si>
  <si>
    <t>1.1.868.3</t>
  </si>
  <si>
    <t>1.1.868.4</t>
  </si>
  <si>
    <t>42:12:0105002:2018</t>
  </si>
  <si>
    <t>42:12:0105002:2015</t>
  </si>
  <si>
    <t>1.1.499.14</t>
  </si>
  <si>
    <t>42:12:0105002:2106</t>
  </si>
  <si>
    <t>1.1.527.1</t>
  </si>
  <si>
    <t>42:12:0105002:3320</t>
  </si>
  <si>
    <t>1.1.867.3</t>
  </si>
  <si>
    <t>42:12:0105002:2193</t>
  </si>
  <si>
    <t>1.1.507.10</t>
  </si>
  <si>
    <t>42:12:0105002:2531</t>
  </si>
  <si>
    <t>1.1.307.19</t>
  </si>
  <si>
    <t>42:12:0102006:954</t>
  </si>
  <si>
    <t>1.1.467.1</t>
  </si>
  <si>
    <t>1.1.848.9</t>
  </si>
  <si>
    <t>42:34:0103010:70</t>
  </si>
  <si>
    <t>1.1.429.7</t>
  </si>
  <si>
    <t>1.1.429.8</t>
  </si>
  <si>
    <t>1.1.429.9</t>
  </si>
  <si>
    <t>42:12:0104001:2551</t>
  </si>
  <si>
    <t>2/1</t>
  </si>
  <si>
    <t>42:12:0104001:3194</t>
  </si>
  <si>
    <t>42:12:0104001:2552</t>
  </si>
  <si>
    <t>Кемеровская область, Таштагольский район, пгт.Каз,ул.Токарева,10</t>
  </si>
  <si>
    <r>
      <t>1.1.430</t>
    </r>
    <r>
      <rPr>
        <sz val="10"/>
        <rFont val="Arial Cyr"/>
        <charset val="204"/>
      </rPr>
      <t>.5</t>
    </r>
    <r>
      <rPr>
        <sz val="11"/>
        <color theme="1"/>
        <rFont val="Calibri"/>
        <family val="2"/>
        <charset val="204"/>
        <scheme val="minor"/>
      </rPr>
      <t/>
    </r>
  </si>
  <si>
    <r>
      <t>1.1.430</t>
    </r>
    <r>
      <rPr>
        <sz val="10"/>
        <rFont val="Arial Cyr"/>
        <charset val="204"/>
      </rPr>
      <t>.6</t>
    </r>
    <r>
      <rPr>
        <sz val="11"/>
        <color theme="1"/>
        <rFont val="Calibri"/>
        <family val="2"/>
        <charset val="204"/>
        <scheme val="minor"/>
      </rPr>
      <t/>
    </r>
  </si>
  <si>
    <r>
      <t>1.1.430</t>
    </r>
    <r>
      <rPr>
        <sz val="10"/>
        <rFont val="Arial Cyr"/>
        <charset val="204"/>
      </rPr>
      <t>.7</t>
    </r>
    <r>
      <rPr>
        <sz val="11"/>
        <color theme="1"/>
        <rFont val="Calibri"/>
        <family val="2"/>
        <charset val="204"/>
        <scheme val="minor"/>
      </rPr>
      <t/>
    </r>
  </si>
  <si>
    <r>
      <t>1.1.430</t>
    </r>
    <r>
      <rPr>
        <sz val="10"/>
        <rFont val="Arial Cyr"/>
        <charset val="204"/>
      </rPr>
      <t>.8</t>
    </r>
    <r>
      <rPr>
        <sz val="11"/>
        <color theme="1"/>
        <rFont val="Calibri"/>
        <family val="2"/>
        <charset val="204"/>
        <scheme val="minor"/>
      </rPr>
      <t/>
    </r>
  </si>
  <si>
    <t>42:12:0104001:2876</t>
  </si>
  <si>
    <t>42:12:0104001:2880</t>
  </si>
  <si>
    <t>42:12:0104001:2877</t>
  </si>
  <si>
    <t>42:12:0104001:2878</t>
  </si>
  <si>
    <t>1.1.461.2</t>
  </si>
  <si>
    <t>42:12:0104001:3080</t>
  </si>
  <si>
    <t>1.1.449.2</t>
  </si>
  <si>
    <t>42:12:0104001:1133</t>
  </si>
  <si>
    <t>1.1.818.3</t>
  </si>
  <si>
    <t>1.1.818.4</t>
  </si>
  <si>
    <t>42:12:0104001:2869</t>
  </si>
  <si>
    <t>42:12:0104001:2868</t>
  </si>
  <si>
    <t>1.1.236.9</t>
  </si>
  <si>
    <t>42:12:0102002:809</t>
  </si>
  <si>
    <t>1.1.292.8</t>
  </si>
  <si>
    <t>42:12:0102006:814</t>
  </si>
  <si>
    <t>1.1.237.6</t>
  </si>
  <si>
    <t>42:12:0102002:710</t>
  </si>
  <si>
    <t>1.1.293.9</t>
  </si>
  <si>
    <t>42:12:0102006:575</t>
  </si>
  <si>
    <t>1.1.252.15</t>
  </si>
  <si>
    <t>42:12:0102002:1257</t>
  </si>
  <si>
    <t>1.4.263</t>
  </si>
  <si>
    <t>Земельный участок, разрешенное использование: под индивидуальный жилой дом</t>
  </si>
  <si>
    <t>Кемеровская область, р-н Таштагольский, пгт. Мундыбаш, ул. Сухая, 41</t>
  </si>
  <si>
    <t>42:12:0106003:852</t>
  </si>
  <si>
    <t>В аренде Заирова Н.Т.</t>
  </si>
  <si>
    <t>пп.1 п.1 ст. 17.1. ФЗ РФ от 26.07.2006 №135-ФЗ</t>
  </si>
  <si>
    <t xml:space="preserve">
279912,00</t>
  </si>
  <si>
    <t>279912.00</t>
  </si>
  <si>
    <t xml:space="preserve">
273468,00</t>
  </si>
  <si>
    <t>273468.00</t>
  </si>
  <si>
    <t>273 468.00</t>
  </si>
  <si>
    <t>279 912.00</t>
  </si>
  <si>
    <t xml:space="preserve">
279012,00</t>
  </si>
  <si>
    <t xml:space="preserve">
2051770,60</t>
  </si>
  <si>
    <t>2805258, 40</t>
  </si>
  <si>
    <t>Кадастровый номер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</si>
  <si>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прекращения.</t>
  </si>
  <si>
    <t>Земельный участок, разрешенное использование: Здание РУ, теплицы, гостиницы</t>
  </si>
  <si>
    <t xml:space="preserve">Земельный участок, предназначенный для   индивидуальной жилой застройки
</t>
  </si>
  <si>
    <t xml:space="preserve">Российская Федерация, Кемеровская область - Кузбасс, Таштагольский муниципальный район, Темиртауское городское поселение, пгт Темиртау, ул Центральная, №39 </t>
  </si>
  <si>
    <t>Россия, Кемеровская область, Таштагольский район (Темиртау)</t>
  </si>
  <si>
    <t>Земельный участок,предназначенный для размещения промышленных объектов</t>
  </si>
  <si>
    <t>Земельный участок:  под жилищное строительство</t>
  </si>
  <si>
    <t>1.4.26.1.1.86</t>
  </si>
  <si>
    <t>1.4.26.1.1.87</t>
  </si>
  <si>
    <t>1.4.26.1.1.88</t>
  </si>
  <si>
    <t>1.4.26.1.1.89</t>
  </si>
  <si>
    <t>1.4.26.1.1.90</t>
  </si>
  <si>
    <t>1.4.26.1.1.91</t>
  </si>
  <si>
    <t>1.4.26.1.1.92</t>
  </si>
  <si>
    <t>1.4.26.1.1.93</t>
  </si>
  <si>
    <t>1.4.26.1.1.94</t>
  </si>
  <si>
    <t>1.4.26.1.1.95</t>
  </si>
  <si>
    <t>1.4.26.1.1.96</t>
  </si>
  <si>
    <t>1.4.26.1.1.97</t>
  </si>
  <si>
    <t>Российская Федерация, Кемеровская область-Кузбасс, Таштагольский муниципальный район, Шерегешское городское поселение, пгт. Шерегеш, ПС-35/6 кВ "Снежная", пгт.Шерегеш</t>
  </si>
  <si>
    <t>42:12:0102015:2346</t>
  </si>
  <si>
    <t>42:12:0102015:231</t>
  </si>
  <si>
    <t>42:12:0102015:499</t>
  </si>
  <si>
    <t>Россия, Кемеровская область, Таштагольский район, пгт. Шерегеш, ул. Ледовая,88</t>
  </si>
  <si>
    <t>Россия, Кемеровская область, Таштагольский район, пгт. Шерегеш, ул. Славянская,98</t>
  </si>
  <si>
    <t>42:12:0102015:1148</t>
  </si>
  <si>
    <t>Россия, Кемеровская область,  Таштагольский район,  пгт. Шерегеш, ул. Славянская,117</t>
  </si>
  <si>
    <t xml:space="preserve">  42:12:0102015:1158</t>
  </si>
  <si>
    <t>Общество с ограниченной ответственностью "Канатные дороги Шерегеша"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</si>
  <si>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Цветочная,10</t>
  </si>
  <si>
    <t>1.4.26.1234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</si>
  <si>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Шахтеров,63 </t>
  </si>
  <si>
    <t>42:12:0102015:2039</t>
  </si>
  <si>
    <t>Земельный участок  для использования : под жилищное строительство (Приказ Главного управления архитектуры и градостроительства Кузбасса от 22.06.2020 №09-12-1045-туристическое обслуживание)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</si>
  <si>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Березовая,4 </t>
  </si>
  <si>
    <t>Земельный участок  для использования : Для размещения коммунальных, складских объектов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</si>
  <si>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Славянская, земельный участок 179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</si>
  <si>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118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</si>
  <si>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</si>
  <si>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Шахтеров,106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</si>
  <si>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Рябиновая,124 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</si>
  <si>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ул.Ледовая,197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</si>
  <si>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ул.Ледовая,195 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</si>
  <si>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Рябиновая,116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</si>
  <si>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Славянская,200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</si>
  <si>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Славянская,199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</si>
  <si>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ул.Строителей,105/1 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</si>
  <si>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Славянская,226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</si>
  <si>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208</t>
  </si>
  <si>
    <t>Российская Федерация, Кемеровская область-Кузбасс, Таштагольский муницпальный район, Шерегешское городское поселение, пгт. Шерегеш, ул. Славянская, земельный участок 205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</si>
  <si>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Рябиновая,139</t>
  </si>
  <si>
    <t>Российская Федерация, Кемеровская область-Кузбасс, Таштагольский муниципальный район, Шерегешское городское поселение, пгт. Шерегеш, улица Рябиновая,132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</si>
  <si>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улица Рябиновая,134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</si>
  <si>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Звездная,41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</si>
  <si>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Рябиновая,268(р) 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</si>
  <si>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Рябиновая,269(р)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</si>
  <si>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Рябиновая,267(р)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</si>
  <si>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Славянская,239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</si>
  <si>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Рябиновая,271(р)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</si>
  <si>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Рябиновая,272(р)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</si>
  <si>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Рябиновая,273(р)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</si>
  <si>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Рябиновая,232(р)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</si>
  <si>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Рябиновая,264(р) 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</si>
  <si>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Ледовая,183(р)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</si>
  <si>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Славянская,12(р)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</si>
  <si>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251р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</si>
  <si>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Славянская,212(р)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</si>
  <si>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220р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</si>
  <si>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229р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</si>
  <si>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274р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</si>
  <si>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216р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</si>
  <si>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206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</si>
  <si>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258р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</si>
  <si>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16р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</si>
  <si>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Рябиновая,137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</si>
  <si>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189р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</si>
  <si>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192р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</si>
  <si>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20(р)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</si>
  <si>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259р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</si>
  <si>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15(р)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</si>
  <si>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224р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</si>
  <si>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17(р)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</si>
  <si>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263(р)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</si>
  <si>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213(р)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</si>
  <si>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227р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</si>
  <si>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231р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</si>
  <si>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Славянская, 210(р)</t>
  </si>
  <si>
    <t>Российская Федерация, Кемеровская область - Кузбасс, Таштагольский муниципальный район,Шерегешское городское поселение, пгт. Шерегеш, улица Славянская,211 (р)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</si>
  <si>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Ореховая,201(р)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</si>
  <si>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Ореховая,200(р) 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</si>
  <si>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219</t>
  </si>
  <si>
    <t xml:space="preserve">Российская Федерация, Кемеровская область- Кузбасс, Таштагольский муниципальный район, Шерегешское городское поселение, пгт Шерегеш, ул.  Ледовая, земельный участок,185 р </t>
  </si>
  <si>
    <t>Российская Федерация, Кемеровская область-Кузбасс, Таштагольский муниципальный район,Шерегешское городское поселение, пгт.Шерегеш, ул.Славянская, земельный участок 214р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</si>
  <si>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Славянская, земельный участок 215р</t>
  </si>
  <si>
    <t>Российская Федерация, Кемеровская область-Кузбасс, Таштагольский муниципальный район,Шерегешское городское поселение, пгт.Шерегеш, ул.Славянская, земельный участок 223р</t>
  </si>
  <si>
    <t>Российская Федерация, Российская Федерация, Кемеровская область-Кузбасс, Таштагольский муниципальный район, городское поселение Шерегешское, пгт. Шерегеш</t>
  </si>
  <si>
    <t>Российская Федерация, Кемеровская область - Кузбасс, Таштаголський муниципальный район,Шерегешское городское поселение, пгт. Шерегеш, ул. Славянская,22 (р)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</si>
  <si>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Славянская, 225 (р)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</si>
  <si>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Ореховая, 203(р)</t>
  </si>
  <si>
    <t>Российская Федерация, Кемеровская область - Кузбасс, Таштаголський муниципальный район,Шерегешское городское поселение, пгт. Шерегеш, ул. Славянская,204 (р)</t>
  </si>
  <si>
    <t>Российская Федерация, Кемеровская область-Кузбасс, Таштагольский муниципальный район,Шерегешское городское поселение, пгт.Шерегеш, ул. Ореховая, 202(р)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</si>
  <si>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Рябиновая, земельный участок 238р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</si>
  <si>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</si>
  <si>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ул. Ключевая, земельный участок 42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</si>
  <si>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221р</t>
  </si>
  <si>
    <t>1.4.33.1</t>
  </si>
  <si>
    <t>Земельный участок  для использования : туристическое обслуживание</t>
  </si>
  <si>
    <t>42:12:0103004:533</t>
  </si>
  <si>
    <t xml:space="preserve">Земельный участок  :Размещение объектов капитального строительства дошкольного, начального, среднего (полного) общего образования (детский сад)
</t>
  </si>
  <si>
    <t xml:space="preserve">Кемеровская область, г. Таштагол, ул. Юбилейная,д.1а </t>
  </si>
  <si>
    <t>Земельный участок, использование:  промзона АТЦ-ЦМС</t>
  </si>
  <si>
    <t>Земельный участок, использование: Для размещения объектов дошкольного, начального, общего и среднего (полного) общего образования</t>
  </si>
  <si>
    <t>Для размещения объектов дошкольного, начального, общего и среднего (полного) общего образования</t>
  </si>
  <si>
    <t xml:space="preserve">Земельный участок, использование: общеобразовательные школы </t>
  </si>
  <si>
    <t xml:space="preserve">Земельный участок, разрешенное использование: под отдельно стоящее здание плавательного бассейна </t>
  </si>
  <si>
    <t>Российская Федерация, Кемеровская область - Кузбасс, Таштагольский муниципальный район, Шерегешское городское поселение, пгт Шерегеш, ул. Гагарина, земельный участок 1В</t>
  </si>
  <si>
    <t>42:12:0102013:2640</t>
  </si>
  <si>
    <t xml:space="preserve">Российская Федерация, Кемеровская область - Кузбасс, Таштагольский муниципальный район, Мундыбашское городское поселение, поселок городского типа Мундыбаш, улица Мамонтова, земельный участок 70 </t>
  </si>
  <si>
    <t>МКДОУ  детский сад  №23 "Родничок"</t>
  </si>
  <si>
    <t>42:12:0106003:1181</t>
  </si>
  <si>
    <t>42:34:0106004:36</t>
  </si>
  <si>
    <t>42:12:0000000:747          (Выделен из 42:12:0102015:112)</t>
  </si>
  <si>
    <t>Кемеровская область, Таштагольский район (пгт.Каз)</t>
  </si>
  <si>
    <t xml:space="preserve">Кемеровская область, Таштагольский район, пгт. Шерегеш, промплощадка, стр.17/1 </t>
  </si>
  <si>
    <t>Земельный участок, разрешенное использование: Для размещения объектов дошкольного, начального, общего и среднего (полного) общего образования</t>
  </si>
  <si>
    <t>Кемеровская область, Таштагольский район, г. Таштагол, ул. 8 Марта,5</t>
  </si>
  <si>
    <t xml:space="preserve">Земельный участок, разрешенное использование: Дошкольное, начальное и среднее общее образование
</t>
  </si>
  <si>
    <t>42:12:0104001:737</t>
  </si>
  <si>
    <t>42:34:0112005:21</t>
  </si>
  <si>
    <t>42:12:0105002:73</t>
  </si>
  <si>
    <t>42:12:0103004:5</t>
  </si>
  <si>
    <t>42:12:0106002:4631</t>
  </si>
  <si>
    <t xml:space="preserve">Российская Федерация, Кемеровская область-Кузбасс, Таштагольский муниципальный район, пгт. Мундыбаш, ул. Школьная,7 </t>
  </si>
  <si>
    <t>42:12:0106003:1284</t>
  </si>
  <si>
    <t>42:34:0101044:362</t>
  </si>
  <si>
    <t>42:34:0101044:359</t>
  </si>
  <si>
    <t>Земельный участок, использование: Дошкольное, начальное и среднее общее образование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</si>
  <si>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Ленина, земельный участок 16 </t>
  </si>
  <si>
    <t>42:34:0101044:517</t>
  </si>
  <si>
    <t>МКОУ "Основная оющеобразовательная школа №34"</t>
  </si>
  <si>
    <t>Муниципальное бюджетное учреждение "Губернский центр горнолыжного спорта и сноуборда"</t>
  </si>
  <si>
    <t>В аренде муниципальногое предприятияе "Темиртаусский хлебокомбинат"</t>
  </si>
  <si>
    <t>Земельный участок / П11430001091: Для размещения промышленных объектов</t>
  </si>
  <si>
    <t>Земельный участок, использование: Для размещения гостиниц</t>
  </si>
  <si>
    <t>МКУ "Управление образования Адм-ции Таштагол. муниц. р-на"</t>
  </si>
  <si>
    <t>Аренда № 42:12:0102007:496-42/084/2022-2 от 15.12.2022</t>
  </si>
  <si>
    <t>Российская Федерация, Кемеровская область-Кузбасс, Таштагольский муниципальный район, Каларское сельское поселение, п. Калары, ул. Луначарского,46</t>
  </si>
  <si>
    <t xml:space="preserve">Российская Федерация, Кемеровская область, Таштагольский муниципальный район, Сельское поселение Каларское, п. Базанча, ул. Совхозная,1
</t>
  </si>
  <si>
    <t>Земельный участок, использование:  земельные участки (территории) общего пользования</t>
  </si>
  <si>
    <t>Российская Федерация, Кемеровская область-Кузбасс, Таштагольский муниципальный район, городское поселение, пгт. Шерегеш, ул. Весенняя, земельный участок 41/3</t>
  </si>
  <si>
    <t>42:12:0106002:84</t>
  </si>
  <si>
    <t>Площадь</t>
  </si>
  <si>
    <t>Кадастровая стоимость</t>
  </si>
  <si>
    <t>Аренда физического лица</t>
  </si>
  <si>
    <t xml:space="preserve">Концессионное соглашение </t>
  </si>
  <si>
    <t xml:space="preserve">Постоянное (бессрочное) пользование </t>
  </si>
  <si>
    <t>Постоянное (бессрочное) пользование</t>
  </si>
  <si>
    <t>Аренда</t>
  </si>
  <si>
    <t xml:space="preserve"> Аренда </t>
  </si>
  <si>
    <t>Аренда; Ипотека в силу закона
№ 42:34:0113047:58-42/073/2022-7 от 01.11.2022</t>
  </si>
  <si>
    <t>Оперативное управление</t>
  </si>
  <si>
    <t xml:space="preserve">Безвозмездное (срочное) пользование земельным/лесным участком </t>
  </si>
  <si>
    <t xml:space="preserve"> МКП "Водоканал"</t>
  </si>
  <si>
    <t xml:space="preserve"> ООО "Тепло"</t>
  </si>
  <si>
    <t>Концессионное соглашение</t>
  </si>
  <si>
    <t xml:space="preserve">комната. Отнесение жилого помещения к жилищному фонду социального использования </t>
  </si>
  <si>
    <t>1.2.59.1</t>
  </si>
  <si>
    <t>Резервуар чистой вода (железобетон)</t>
  </si>
  <si>
    <t>Кемеровская область, г. Таштагол, ул. Садовая, сооружение №1</t>
  </si>
  <si>
    <t>42:34:0101058:134</t>
  </si>
  <si>
    <t>600 куб.м.</t>
  </si>
  <si>
    <t>1.4.264</t>
  </si>
  <si>
    <t>Земельный участок, разрешенное использование: под строительство водоснабжения из артезианской скважины</t>
  </si>
  <si>
    <t>952787,57</t>
  </si>
  <si>
    <t>42:34:0000000:179</t>
  </si>
  <si>
    <t>Кемеровская область, г. Таштагол, ул. Романа</t>
  </si>
  <si>
    <t>Безвозмездное (срочное) пользование земельным/лесным участком</t>
  </si>
  <si>
    <t>42:12:0106002:4911</t>
  </si>
  <si>
    <t>42:12:0106002:4914</t>
  </si>
  <si>
    <t>42:12:0106002:4915</t>
  </si>
  <si>
    <t>42:12:0106002:4910</t>
  </si>
  <si>
    <t>42:12:0106002:4912</t>
  </si>
  <si>
    <t>42:12:0106002:4913</t>
  </si>
  <si>
    <t>42:12:0106002:4898</t>
  </si>
  <si>
    <t>42:12:0106002:4901</t>
  </si>
  <si>
    <t>42:12:0106002:4900</t>
  </si>
  <si>
    <t>42:12:0106002:4899</t>
  </si>
  <si>
    <t>42:12:0106002:4909</t>
  </si>
  <si>
    <t>42:12:0106002:4904</t>
  </si>
  <si>
    <t>42:12:0106002:4907</t>
  </si>
  <si>
    <t>42:12:0106002:4908</t>
  </si>
  <si>
    <t>42:12:0106002:4905</t>
  </si>
  <si>
    <t>42:12:0106002:4906</t>
  </si>
  <si>
    <t>42:12:0106006:289</t>
  </si>
  <si>
    <t>42:12:0106003:1527</t>
  </si>
  <si>
    <t>42:12:0106003:1528</t>
  </si>
  <si>
    <t>42:12:0106002:4903</t>
  </si>
  <si>
    <t>42:12:0106002:4902</t>
  </si>
  <si>
    <t>квартира, отнесена к специализированному жилищному фонду (служебное) - постановление АТМР от 18.01.2024 №32-п</t>
  </si>
  <si>
    <t>Кемеровская область, Таштагольский муниципальный район, п.Усть-Анзас, ул.Мира</t>
  </si>
  <si>
    <t>42:12:0109001:228</t>
  </si>
  <si>
    <t>1.3.226</t>
  </si>
  <si>
    <t>1.4.265</t>
  </si>
  <si>
    <t>Земельный участок</t>
  </si>
  <si>
    <t>обл.Кемеровская, р-н Таштагольский, п.Усть-Анзас, ул. Мира</t>
  </si>
  <si>
    <t>42:12:0109001:4</t>
  </si>
  <si>
    <t>2200</t>
  </si>
  <si>
    <t>420530</t>
  </si>
  <si>
    <t>42:12:0106002:4918</t>
  </si>
  <si>
    <t>1.1.439.1</t>
  </si>
  <si>
    <t>42:12:0104001:3077</t>
  </si>
  <si>
    <t>42:12:0104001:3083</t>
  </si>
  <si>
    <t>Кемеровская область, Таштагольский район, пгт. Каз, ул. Кирова</t>
  </si>
  <si>
    <t>1.1.562</t>
  </si>
  <si>
    <t>1.1.872</t>
  </si>
  <si>
    <t>42:12:0104001:3073</t>
  </si>
  <si>
    <t>1.1.460.</t>
  </si>
  <si>
    <t>Квартира  отнесена к фонду социального использования, постановление АТМР от 27.04.2024 №458-п</t>
  </si>
  <si>
    <t>Кемеровская область, Таштагольский район, п.Амзас, ул.Центральная</t>
  </si>
  <si>
    <t>42:12:0108002:695</t>
  </si>
  <si>
    <t>В безвозмездном пользовании Отдела МВД России по Таштагольскому району</t>
  </si>
  <si>
    <t>Распр. Администр. Таштагол. муниц. района от 20.06.2024-р г. №263-р; договор безвозмездного пользования</t>
  </si>
  <si>
    <t>Распр. Администр. Таштагол. муниц. района от 20.06.2024 г. №265-р;</t>
  </si>
  <si>
    <t>1.4.26.1701</t>
  </si>
  <si>
    <t>1.4.26.1702</t>
  </si>
  <si>
    <t>1.4.26.1703</t>
  </si>
  <si>
    <t>1.4.26.1704</t>
  </si>
  <si>
    <t>1.4.26.1705</t>
  </si>
  <si>
    <t>1.4.26.1706</t>
  </si>
  <si>
    <t>1.4.26.1707</t>
  </si>
  <si>
    <t>1.4.26.1708</t>
  </si>
  <si>
    <t>1.4.26.1709</t>
  </si>
  <si>
    <t>1.4.26.1710</t>
  </si>
  <si>
    <t>1.4.26.1711</t>
  </si>
  <si>
    <t>1.4.26.1712</t>
  </si>
  <si>
    <t>1.4.26.1713</t>
  </si>
  <si>
    <t>1.4.26.1714</t>
  </si>
  <si>
    <t>1.4.26.1715</t>
  </si>
  <si>
    <t>1.4.26.1716</t>
  </si>
  <si>
    <t>1.4.26.1717</t>
  </si>
  <si>
    <t>1.4.26.1718</t>
  </si>
  <si>
    <t>1.4.26.1719</t>
  </si>
  <si>
    <t>1.4.26.1720</t>
  </si>
  <si>
    <t>1.4.26.1721</t>
  </si>
  <si>
    <t>1.4.26.1722</t>
  </si>
  <si>
    <t>1.4.26.1723</t>
  </si>
  <si>
    <t>1.4.26.1724</t>
  </si>
  <si>
    <t>1.4.26.1725</t>
  </si>
  <si>
    <t>1.4.26.1726</t>
  </si>
  <si>
    <t>1.4.26.1727</t>
  </si>
  <si>
    <t>1.4.26.1728</t>
  </si>
  <si>
    <t>1.4.26.1729</t>
  </si>
  <si>
    <t>1.4.26.1730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</si>
  <si>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11р </t>
  </si>
  <si>
    <t>42:12:0102015:4227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</si>
  <si>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68р. </t>
  </si>
  <si>
    <t>42:12:0102015:4230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</si>
  <si>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67р. </t>
  </si>
  <si>
    <t>42:12:0102015:4233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</si>
  <si>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7р. </t>
  </si>
  <si>
    <t>42:12:0102015:4244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</si>
  <si>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55р.</t>
  </si>
  <si>
    <t>42:12:0102015:4236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</si>
  <si>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54р </t>
  </si>
  <si>
    <t>42:12:0102015:4231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</si>
  <si>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69р</t>
  </si>
  <si>
    <t>42:12:0102015:4253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</si>
  <si>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66р. </t>
  </si>
  <si>
    <t>42:12:0102015:4248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</si>
  <si>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75р. </t>
  </si>
  <si>
    <t>42:12:0102015:4247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</si>
  <si>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74р </t>
  </si>
  <si>
    <t>42:12:0102015:4238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</si>
  <si>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76р. </t>
  </si>
  <si>
    <t>42:12:0102015:4243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</si>
  <si>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Тихая, 22р. </t>
  </si>
  <si>
    <t>42:12:0102015:4239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</si>
  <si>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Цветочная, 15р. </t>
  </si>
  <si>
    <t>42:12:0102015:4252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</si>
  <si>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ул.Березовая, 20р. </t>
  </si>
  <si>
    <t>42:12:0102015:4242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</si>
  <si>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Цветочная, 17р. </t>
  </si>
  <si>
    <t>42:12:0102015:4255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</si>
  <si>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Цветочная, 18р </t>
  </si>
  <si>
    <t>42:12:0102015:4234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</si>
  <si>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Хвойная, 51р. </t>
  </si>
  <si>
    <t>42:12:0102015:4240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</si>
  <si>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Ягодная, 57р </t>
  </si>
  <si>
    <t>42:12:0102015:4232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</si>
  <si>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73р.</t>
  </si>
  <si>
    <t>42:12:0102015:4245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</si>
  <si>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Березовая, 19р. </t>
  </si>
  <si>
    <t>42:12:0102015:4251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</si>
  <si>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ул.Свободная, 63р </t>
  </si>
  <si>
    <t>42:12:0102015:4235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</si>
  <si>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10р</t>
  </si>
  <si>
    <t>42:12:0102015:4237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</si>
  <si>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ул.Цветочная, 16р. </t>
  </si>
  <si>
    <t>42:12:0102015:4249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</si>
  <si>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ул.Свободная, 60р. </t>
  </si>
  <si>
    <t>42:12:0102015:4241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</si>
  <si>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ул.Цветочная, 14р. </t>
  </si>
  <si>
    <t>42:12:0102015:4254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</si>
  <si>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ул.Цветочная, 13р. </t>
  </si>
  <si>
    <t>42:12:0102015:4257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</si>
  <si>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64р. </t>
  </si>
  <si>
    <t>42:12:0102015:4256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</si>
  <si>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Свободная, 59р</t>
  </si>
  <si>
    <t>42:12:0102015:4246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</si>
  <si>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Свободная, 62р. </t>
  </si>
  <si>
    <t>42:12:0102015:4250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</si>
  <si>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Рябиновая, земельный участок 8р </t>
  </si>
  <si>
    <t>42:12:0102015:4228</t>
  </si>
  <si>
    <t>данные отсутствуют</t>
  </si>
  <si>
    <t>42:34:0102011:267</t>
  </si>
  <si>
    <t>42:34:0102011:268</t>
  </si>
  <si>
    <t>42:34:0102011:269</t>
  </si>
  <si>
    <t>42:34:0102011:270</t>
  </si>
  <si>
    <t>42:34:0102011:271</t>
  </si>
  <si>
    <t>42:34:0102011:272</t>
  </si>
  <si>
    <t>42:34:0102011:273</t>
  </si>
  <si>
    <t>42:34:0102011:274</t>
  </si>
  <si>
    <t>42:34:0102011:264</t>
  </si>
  <si>
    <t>42:34:0102011:265</t>
  </si>
  <si>
    <t>42:34:0102011:266</t>
  </si>
  <si>
    <t>1.1.4.2</t>
  </si>
  <si>
    <t>1.1.7.80</t>
  </si>
  <si>
    <t>1.1.7.81</t>
  </si>
  <si>
    <t>1.1.13.35</t>
  </si>
  <si>
    <t>1.1.35.26</t>
  </si>
  <si>
    <t>1.1.43.8</t>
  </si>
  <si>
    <t>1.1.43.9</t>
  </si>
  <si>
    <t>1.1.43.10</t>
  </si>
  <si>
    <t>1.1.54.4</t>
  </si>
  <si>
    <t>1.1.77.2</t>
  </si>
  <si>
    <t>1.1.175.11</t>
  </si>
  <si>
    <t>1.1.177.13</t>
  </si>
  <si>
    <t>1.1.336.</t>
  </si>
  <si>
    <t>1.1.411.14</t>
  </si>
  <si>
    <t>1.1.412.9</t>
  </si>
  <si>
    <t>1.1.480.3</t>
  </si>
  <si>
    <t>1.1.481.11</t>
  </si>
  <si>
    <t>1.1.500.11</t>
  </si>
  <si>
    <t>1.1.559.8</t>
  </si>
  <si>
    <t>1.1.718.21</t>
  </si>
  <si>
    <t>1.1.763.6</t>
  </si>
  <si>
    <t>1.1.780.25</t>
  </si>
  <si>
    <t>1.1.810.26</t>
  </si>
  <si>
    <t>1.1.820.22</t>
  </si>
  <si>
    <t>1.1.849.29</t>
  </si>
  <si>
    <t>1.1.850.64</t>
  </si>
  <si>
    <t>Россия, Кемеровская область, г. Таштагол, ул. Матросова, дом № 46, кв. 23</t>
  </si>
  <si>
    <t>Кемеровская область, р-н. Таштагольский, г. Таштагол, ул. 18 Партсъезда,11,кв1</t>
  </si>
  <si>
    <t>Кемеровская область, Таштагольский район, пгт.Шерегеш, ул.Первомайская,7, кв.2</t>
  </si>
  <si>
    <t>Кемеровская область, Казское городское поселение, пгт/ Каз, ул. Ленина, д. 14, кв. 48</t>
  </si>
  <si>
    <t>Кемеровская область, Таштагольский район, пгт.Мундыбаш,ул.Ленина,17, кв.15</t>
  </si>
  <si>
    <t>Кемеровская область, Таштагольское городское поселение, г.Таштагол, ул.Ленина,52а,кв.3</t>
  </si>
  <si>
    <t>Российская Федерация, Кемеровская область, Мундыбашское городское поселение, пгт.Мундыбаш, ул.Октябрьская,38а,кв.19а</t>
  </si>
  <si>
    <t>1.1.82.5</t>
  </si>
  <si>
    <t>1.1.174.14</t>
  </si>
  <si>
    <t>1.1.175.12</t>
  </si>
  <si>
    <t>1.1.177.14</t>
  </si>
  <si>
    <t>1.1.182.11</t>
  </si>
  <si>
    <t>1.1.290.8</t>
  </si>
  <si>
    <t>1.1.298.3</t>
  </si>
  <si>
    <t>1.1.300.11</t>
  </si>
  <si>
    <t>1.1.489.43</t>
  </si>
  <si>
    <t>1.1.840.24</t>
  </si>
  <si>
    <t>Кемеровская область, р-н Таштагольский, г. Таштагол, ул. 18 Партсъезда,10, кв,8</t>
  </si>
  <si>
    <t>Кемеровская область, р-н. Таштагольский, г. Таштагол, ул. 18 Партсъезда,11,кв.11</t>
  </si>
  <si>
    <t>Кемеровская область, р-н. Таштагольский, г. Таштагол, ул. 18 Партсъезда,13,кв.12</t>
  </si>
  <si>
    <t>Российская Федерация, Кемеровская область - Кузбасс, Таштагольский муниципальный район, Таштагольское городское поселение, город Таштагол, улица 18 Партсъезда, дом 19, квартира 3</t>
  </si>
  <si>
    <t>Кемеровская область, Таштагольский район, пгт.Шерегеш,ул.Вокзальная,49, кв.5</t>
  </si>
  <si>
    <t>Кемеровская область, Таштагольский район, пгт.Шерегеш,ул.Кирова,10-1</t>
  </si>
  <si>
    <t>Кемеровская область, Таштагольский район, пгт.Темиртау, ул.Центральная,7, кв.50</t>
  </si>
  <si>
    <t>Российская Федерация, Кемеровская область, Таштагольское городское поселение, г.Таштагол, ул.Коммунистическая д.11а, квартира 5</t>
  </si>
  <si>
    <t>42:34:0102011:59</t>
  </si>
  <si>
    <t>42:34:0101037:100</t>
  </si>
  <si>
    <t>42:34:0101036:141</t>
  </si>
  <si>
    <t>42:34:0101036:110</t>
  </si>
  <si>
    <t>42:34:0101010:80</t>
  </si>
  <si>
    <t>42:12:0102001:858</t>
  </si>
  <si>
    <t>42:12:0102006:525</t>
  </si>
  <si>
    <t>42:12:0102006:973</t>
  </si>
  <si>
    <t>42:12:0105004:150</t>
  </si>
  <si>
    <t>42:34:0114015:51</t>
  </si>
  <si>
    <t>42:12:0104001:2296</t>
  </si>
  <si>
    <t>42:12:0104001:1967</t>
  </si>
  <si>
    <t>1.1.709.8</t>
  </si>
  <si>
    <t>1.1.709.9</t>
  </si>
  <si>
    <t>42:12:0105002:2336</t>
  </si>
  <si>
    <t xml:space="preserve">42:34:0106002:1029 </t>
  </si>
  <si>
    <t>Кемеровская область, г.Таштагол, ул.Поспелова,18,кв 504</t>
  </si>
  <si>
    <t>42:34:0106008:272</t>
  </si>
  <si>
    <t>42:34:0101044:530</t>
  </si>
  <si>
    <t>42:12:0105002:2139</t>
  </si>
  <si>
    <t>42:12:0104001:3003</t>
  </si>
  <si>
    <t>42:12:0105002:1233</t>
  </si>
  <si>
    <t>42:12:0105002:2328</t>
  </si>
  <si>
    <t>1.1.564.6</t>
  </si>
  <si>
    <t>42:12:0106002:2401</t>
  </si>
  <si>
    <t>1.1.876</t>
  </si>
  <si>
    <t>Кемеровская область, р-н. Таштагольский, г. Таштагол, ул. Ленина,26а, кв.21</t>
  </si>
  <si>
    <t>42:34:0101044:334</t>
  </si>
  <si>
    <t>42:34:0101043:148</t>
  </si>
  <si>
    <t>42:34:0101044:528</t>
  </si>
  <si>
    <t>42:34:0102064:319</t>
  </si>
  <si>
    <t>42:34:0106003:214</t>
  </si>
  <si>
    <t>1.1.716.5</t>
  </si>
  <si>
    <t>Кемеровская область, г.Таштагол,ул.Ленина,1,кв.7</t>
  </si>
  <si>
    <t xml:space="preserve">42:34:0101044:113 </t>
  </si>
  <si>
    <t>42:12:0106002:2660</t>
  </si>
  <si>
    <t>1.1.778.4</t>
  </si>
  <si>
    <t>Кемеровская область, Таштагольский район, г.Таштагол, ул.Ленина,14,кв.16</t>
  </si>
  <si>
    <t>42:34:0101044:147</t>
  </si>
  <si>
    <t>1.1.493.6</t>
  </si>
  <si>
    <t>Кемеровская область, Таштагольский район, пгт.Темиртау, ул.Центральная,16,кв.84</t>
  </si>
  <si>
    <t>42:12:0105002:2258</t>
  </si>
  <si>
    <t>Кемеровская область, р-н. Таштагольский, г. Таштагол, ул. Поспелова, д. 11, кв. 82</t>
  </si>
  <si>
    <t>42:34:0106002:825</t>
  </si>
  <si>
    <t>Кемеровская область, г.Таштагол, ул.Поспелова,18,кв. 318</t>
  </si>
  <si>
    <t>42:34:0106003:38</t>
  </si>
  <si>
    <t>1.1.137.25</t>
  </si>
  <si>
    <t>Кемеровская область,  район Таштагольский, г. Таштагол, ул. Советская, д. 38, кв. 31</t>
  </si>
  <si>
    <t>42:34:0112005:128</t>
  </si>
  <si>
    <t>1.1.137.26</t>
  </si>
  <si>
    <t>Кемеровская область,  район Таштагольский, г. Таштагол, ул. Советская, д. 38, кв. 95</t>
  </si>
  <si>
    <t>42:34:0112005:485</t>
  </si>
  <si>
    <t>1.1.137.27</t>
  </si>
  <si>
    <t>Кемеровская область, Таштагольское городское поселение, г. Таштагол, ул. Советская, д. 38, кв. 88</t>
  </si>
  <si>
    <t>42:34:0112005:351</t>
  </si>
  <si>
    <t>1.1.137.28</t>
  </si>
  <si>
    <t>Кемеровская область,  район Таштагольский, г. Таштагол, ул. Советская, д. 38, кв. 22</t>
  </si>
  <si>
    <t>42:34:0112005:214</t>
  </si>
  <si>
    <t>1.1.11.4</t>
  </si>
  <si>
    <t>42:34:0106002:1296</t>
  </si>
  <si>
    <t>1.1.814.28</t>
  </si>
  <si>
    <t>Кемеровская область, Таштагольское городское поселение,  г.Таштагол, ул. Артема, д. 13, кв. 2</t>
  </si>
  <si>
    <t>42:34:0114008:112</t>
  </si>
  <si>
    <t>1.1.9.27</t>
  </si>
  <si>
    <t>42:34:0106003:492</t>
  </si>
  <si>
    <t>1.1.9.28</t>
  </si>
  <si>
    <t>42:34:0106003:755</t>
  </si>
  <si>
    <t>1.1.8.12</t>
  </si>
  <si>
    <t>42:34:0106002:508</t>
  </si>
  <si>
    <t>1.1.77.3</t>
  </si>
  <si>
    <t>Россия, Кемеровская область, г. Таштагол, ул. Матросова, дом № 46, кв. 28</t>
  </si>
  <si>
    <t>42:34:0102050:135</t>
  </si>
  <si>
    <t>42:34:0101051:169</t>
  </si>
  <si>
    <t>Кемеровская область, р-н. Таштагольский, г. Таштагол, ул. 18 Партсъезда,13,кв.8/3</t>
  </si>
  <si>
    <t xml:space="preserve">комната </t>
  </si>
  <si>
    <t>42:34:0101044:537</t>
  </si>
  <si>
    <t>42:34:0102050:90</t>
  </si>
  <si>
    <t>42:12:0105002:2401</t>
  </si>
  <si>
    <t>42:34:0101036:145</t>
  </si>
  <si>
    <t>42:34:0101042:441</t>
  </si>
  <si>
    <t>42:34:0103007:128</t>
  </si>
  <si>
    <t>42:34:0101036:58</t>
  </si>
  <si>
    <t>42:12:0102007:261</t>
  </si>
  <si>
    <t>Кемеровская область, Казское городское поселение, пгт/ Каз, ул. Ленина, д. 14, кв. 63</t>
  </si>
  <si>
    <t xml:space="preserve">  42:12:0104001:1970</t>
  </si>
  <si>
    <t>1.1.408.5</t>
  </si>
  <si>
    <t>Кемеровская область, Таштагольский район, пгт.Каз,ул.Ленина,6,кв.27</t>
  </si>
  <si>
    <t>42:12:0104001:2584</t>
  </si>
  <si>
    <t>1.1.409.4</t>
  </si>
  <si>
    <t>Кемеровская область, Таштагольский район, пгт.Каз,ул.Ленина,8, кв.34</t>
  </si>
  <si>
    <t>42:12:0104001:2743</t>
  </si>
  <si>
    <t>Кемеровская область, Таштагольский район, пгт.Мундыбаш, ул.Ленина,18,кв.11</t>
  </si>
  <si>
    <t>42:12:0106002:2992</t>
  </si>
  <si>
    <t>1.4.26.1731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</si>
  <si>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Тихая, 23р </t>
  </si>
  <si>
    <t>42:12:0102015:4271</t>
  </si>
  <si>
    <t>1.4.26.1733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</si>
  <si>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65р. </t>
  </si>
  <si>
    <t>1.4.26.1734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</si>
  <si>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Березовая, 21р. </t>
  </si>
  <si>
    <t>1.4.26.1735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</si>
  <si>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Хвойная, 52р.</t>
  </si>
  <si>
    <t>1.4.26.1732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</si>
  <si>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Тихая, 25р</t>
  </si>
  <si>
    <t>42:12:0102015:4281</t>
  </si>
  <si>
    <t>42:12:0102015:4288</t>
  </si>
  <si>
    <t>42:12:0102015:4289</t>
  </si>
  <si>
    <t>42:12:0102015:4287</t>
  </si>
  <si>
    <t>1.1.13.36</t>
  </si>
  <si>
    <t>Кемеровская область, р-н. Таштагольский, г. Таштагол, ул. Ноградская, д. 3, кв. 54</t>
  </si>
  <si>
    <t>1.1.16.3</t>
  </si>
  <si>
    <t>Кемеровская область, р-н Таштагольский, г Таштагол, ул Ноградская, д 8, кв 46</t>
  </si>
  <si>
    <t>1.1.21.6</t>
  </si>
  <si>
    <t>Кемеровская область, р-н. Таштагольский, г. Таштагол, ул. Ноградская, д. 18, кв. 43</t>
  </si>
  <si>
    <t>1.1.24.9</t>
  </si>
  <si>
    <t>Кемеровская область, Таштагольское городское поселение, г Таштагол, ул Макаренко, д 6, кв 70</t>
  </si>
  <si>
    <t>Кемеровская область, Таштагольское городское поселение, г Таштагол, ул Советская, д 34, кв 6</t>
  </si>
  <si>
    <t>1.1.134.53</t>
  </si>
  <si>
    <t>Кемеровская область, р-н. Таштагольский, г. Таштагол, ул. Советская, д. 34, кв. 64</t>
  </si>
  <si>
    <t>1.1.137.29</t>
  </si>
  <si>
    <t>Кемеровская область, р-н. Таштагольский, г. Таштагол, ул. Советская, д. 38, кв. 11</t>
  </si>
  <si>
    <t>1.1.824.25</t>
  </si>
  <si>
    <t>Кемеровская область, Таштагольское городское поселение, г Таштагол, ул Советская, д 2б, кв 20</t>
  </si>
  <si>
    <t>1.1.877</t>
  </si>
  <si>
    <t>Кемеровская обл, Таштагольское городское поселение, г Таштагол, ул Ленина, д 26а, кв 3</t>
  </si>
  <si>
    <t>42:34:0106008:102</t>
  </si>
  <si>
    <t>42:34:0106004:755</t>
  </si>
  <si>
    <t>42:34:0106001:289</t>
  </si>
  <si>
    <t>42:34:0106001:739</t>
  </si>
  <si>
    <t xml:space="preserve">42:34:0112005:473 </t>
  </si>
  <si>
    <t>42:34:0112005:243</t>
  </si>
  <si>
    <t>42:34:0112005:133</t>
  </si>
  <si>
    <t>42:34:0112002:50</t>
  </si>
  <si>
    <t>42:34:0101044:353</t>
  </si>
  <si>
    <r>
      <t>Кемеровская область, Таштагольский район, пгт.Мундыбаш,ул.Ленина</t>
    </r>
    <r>
      <rPr>
        <sz val="10"/>
        <rFont val="Arial Cyr"/>
        <charset val="204"/>
      </rPr>
      <t>,32</t>
    </r>
  </si>
  <si>
    <r>
      <t>Кемеровская область, г.Таштагол, ул.Ноградская</t>
    </r>
    <r>
      <rPr>
        <sz val="10"/>
        <rFont val="Arial Cyr"/>
        <family val="2"/>
        <charset val="204"/>
      </rPr>
      <t>,3</t>
    </r>
    <r>
      <rPr>
        <sz val="10"/>
        <rFont val="Arial Cyr"/>
        <charset val="204"/>
      </rPr>
      <t>, кв.100</t>
    </r>
  </si>
  <si>
    <r>
      <t>Кемеровская область, г.Таштагол, ул.Суворова</t>
    </r>
    <r>
      <rPr>
        <sz val="10"/>
        <rFont val="Arial Cyr"/>
        <family val="2"/>
        <charset val="204"/>
      </rPr>
      <t>,23</t>
    </r>
    <r>
      <rPr>
        <sz val="10"/>
        <rFont val="Arial Cyr"/>
        <charset val="204"/>
      </rPr>
      <t>,кв.56</t>
    </r>
  </si>
  <si>
    <r>
      <t>Кемеровская область, г.Таштагол,ул.Ленина</t>
    </r>
    <r>
      <rPr>
        <sz val="10"/>
        <rFont val="Arial Cyr"/>
        <charset val="204"/>
      </rPr>
      <t>,32</t>
    </r>
    <r>
      <rPr>
        <sz val="10"/>
        <rFont val="Arial Cyr"/>
        <family val="2"/>
        <charset val="204"/>
      </rPr>
      <t>,кв.13</t>
    </r>
  </si>
  <si>
    <r>
      <t>Кемеровская область, г.Таштагол,ул.Ленина</t>
    </r>
    <r>
      <rPr>
        <sz val="10"/>
        <rFont val="Arial Cyr"/>
        <charset val="204"/>
      </rPr>
      <t>,32</t>
    </r>
    <r>
      <rPr>
        <sz val="10"/>
        <rFont val="Arial Cyr"/>
        <family val="2"/>
        <charset val="204"/>
      </rPr>
      <t>,кв.2</t>
    </r>
  </si>
  <si>
    <r>
      <t>Кемеровская область, г.Таштагол,ул.Ленина</t>
    </r>
    <r>
      <rPr>
        <sz val="10"/>
        <rFont val="Arial Cyr"/>
        <charset val="204"/>
      </rPr>
      <t>,32</t>
    </r>
    <r>
      <rPr>
        <sz val="10"/>
        <rFont val="Arial Cyr"/>
        <family val="2"/>
        <charset val="204"/>
      </rPr>
      <t>,кв.11</t>
    </r>
  </si>
  <si>
    <r>
      <t>Кемеровская область, г.Таштагол,ул.Ленина,68</t>
    </r>
    <r>
      <rPr>
        <sz val="10"/>
        <rFont val="Arial Cyr"/>
        <charset val="204"/>
      </rPr>
      <t>,кв.4</t>
    </r>
  </si>
  <si>
    <r>
      <t>Кемеровская область, Таштагольский район, пгт.Каз,ул.Ленина</t>
    </r>
    <r>
      <rPr>
        <sz val="10"/>
        <rFont val="Arial Cyr"/>
        <family val="2"/>
        <charset val="204"/>
      </rPr>
      <t>,12</t>
    </r>
    <r>
      <rPr>
        <sz val="10"/>
        <rFont val="Arial Cyr"/>
        <charset val="204"/>
      </rPr>
      <t>, кв.61</t>
    </r>
  </si>
  <si>
    <r>
      <t>Кемеровская область, Таштагольский район, пгт.Каз,ул.Горноспасательная</t>
    </r>
    <r>
      <rPr>
        <sz val="10"/>
        <rFont val="Arial Cyr"/>
        <family val="2"/>
        <charset val="204"/>
      </rPr>
      <t>,1</t>
    </r>
    <r>
      <rPr>
        <sz val="10"/>
        <rFont val="Arial Cyr"/>
        <charset val="204"/>
      </rPr>
      <t>, кв.24</t>
    </r>
  </si>
  <si>
    <r>
      <t>Кемеровская область, Таштагольский район, пгт.Темиртау,ул.Почтовая</t>
    </r>
    <r>
      <rPr>
        <sz val="10"/>
        <rFont val="Arial Cyr"/>
        <family val="2"/>
        <charset val="204"/>
      </rPr>
      <t>,2</t>
    </r>
    <r>
      <rPr>
        <sz val="10"/>
        <rFont val="Arial Cyr"/>
        <charset val="204"/>
      </rPr>
      <t>, кв.2</t>
    </r>
  </si>
  <si>
    <r>
      <t>Кемеровская область, Таштагольский район, пгт.Темиртау,ул.Школьная</t>
    </r>
    <r>
      <rPr>
        <sz val="10"/>
        <rFont val="Arial Cyr"/>
        <family val="2"/>
        <charset val="204"/>
      </rPr>
      <t>,2</t>
    </r>
    <r>
      <rPr>
        <sz val="10"/>
        <rFont val="Arial Cyr"/>
        <charset val="204"/>
      </rPr>
      <t>, кв.99</t>
    </r>
  </si>
  <si>
    <r>
      <t>Кемеровская область, Таштагольский район, пгт.Мундыбаш,ул.Ленина</t>
    </r>
    <r>
      <rPr>
        <sz val="8"/>
        <rFont val="Arial Cyr"/>
        <family val="2"/>
        <charset val="204"/>
      </rPr>
      <t>,24</t>
    </r>
    <r>
      <rPr>
        <sz val="8"/>
        <rFont val="Arial Cyr"/>
        <charset val="204"/>
      </rPr>
      <t>, кв.20</t>
    </r>
  </si>
  <si>
    <r>
      <t>Кемеровская область, г.Таштагол,ул.Калинина</t>
    </r>
    <r>
      <rPr>
        <sz val="10"/>
        <rFont val="Arial Cyr"/>
        <family val="2"/>
        <charset val="204"/>
      </rPr>
      <t>,14</t>
    </r>
    <r>
      <rPr>
        <sz val="10"/>
        <rFont val="Arial Cyr"/>
        <charset val="204"/>
      </rPr>
      <t>, кв.19</t>
    </r>
  </si>
  <si>
    <r>
      <t>Кемеровская область, г.Таштагол, ул.Поспелова</t>
    </r>
    <r>
      <rPr>
        <sz val="10"/>
        <rFont val="Arial Cyr"/>
        <family val="2"/>
        <charset val="204"/>
      </rPr>
      <t>,12</t>
    </r>
    <r>
      <rPr>
        <sz val="10"/>
        <rFont val="Arial Cyr"/>
        <charset val="204"/>
      </rPr>
      <t>,кв.19</t>
    </r>
  </si>
  <si>
    <r>
      <t>Кемеровская область, Таштагольский район, пгт.Темиртау, ул.России</t>
    </r>
    <r>
      <rPr>
        <sz val="10"/>
        <rFont val="Arial Cyr"/>
        <family val="2"/>
        <charset val="204"/>
      </rPr>
      <t>,1</t>
    </r>
    <r>
      <rPr>
        <sz val="10"/>
        <rFont val="Arial Cyr"/>
        <charset val="204"/>
      </rPr>
      <t>, кв.20</t>
    </r>
  </si>
  <si>
    <r>
      <t>Кемеровская область, г.Таштагол, ул.Школьная</t>
    </r>
    <r>
      <rPr>
        <sz val="10"/>
        <rFont val="Arial Cyr"/>
        <family val="2"/>
        <charset val="204"/>
      </rPr>
      <t>,16</t>
    </r>
    <r>
      <rPr>
        <sz val="10"/>
        <rFont val="Arial Cyr"/>
        <charset val="204"/>
      </rPr>
      <t>, кв.3</t>
    </r>
  </si>
  <si>
    <r>
      <t>Кемеровская область, г. Таштагол, ул. Нестерова</t>
    </r>
    <r>
      <rPr>
        <sz val="10"/>
        <rFont val="Arial Cyr"/>
        <family val="2"/>
        <charset val="204"/>
      </rPr>
      <t>,26а</t>
    </r>
    <r>
      <rPr>
        <sz val="10"/>
        <rFont val="Arial Cyr"/>
        <charset val="204"/>
      </rPr>
      <t>, кв,46</t>
    </r>
  </si>
  <si>
    <r>
      <t>Кемеровская область, р-н. Таштагольский, г. Таштагол, ул. Строительная</t>
    </r>
    <r>
      <rPr>
        <sz val="10"/>
        <rFont val="Arial Cyr"/>
        <family val="2"/>
        <charset val="204"/>
      </rPr>
      <t>,13</t>
    </r>
    <r>
      <rPr>
        <sz val="10"/>
        <rFont val="Arial Cyr"/>
        <charset val="204"/>
      </rPr>
      <t>, кв.2</t>
    </r>
  </si>
  <si>
    <r>
      <t>Кемеровская область, Таштагольский район, пгт.Шерегеш,ул.Кирова</t>
    </r>
    <r>
      <rPr>
        <sz val="10"/>
        <rFont val="Arial Cyr"/>
        <family val="2"/>
        <charset val="204"/>
      </rPr>
      <t>,12</t>
    </r>
    <r>
      <rPr>
        <sz val="10"/>
        <rFont val="Arial Cyr"/>
        <charset val="204"/>
      </rPr>
      <t>, кв.3</t>
    </r>
  </si>
  <si>
    <r>
      <t>Кемеровская область, Таштагольский район, пгт.Темиртау,ул.Суворова</t>
    </r>
    <r>
      <rPr>
        <sz val="8"/>
        <rFont val="Arial Cyr"/>
        <family val="2"/>
        <charset val="204"/>
      </rPr>
      <t>,21, кв.7</t>
    </r>
  </si>
  <si>
    <r>
      <t>Кемеровская область, Таштагольский район, пгт.Темиртау,ул.Суворова</t>
    </r>
    <r>
      <rPr>
        <sz val="8"/>
        <rFont val="Arial Cyr"/>
        <family val="2"/>
        <charset val="204"/>
      </rPr>
      <t>,21, кв. 11</t>
    </r>
  </si>
  <si>
    <t>1.1.753.13</t>
  </si>
  <si>
    <t>Кемеровская область, р-н. Таштагольский, г. Таштагол, ул. Поспелова, д. 13, кв. 42</t>
  </si>
  <si>
    <t>1.1.5.2</t>
  </si>
  <si>
    <t>Россия, Кемеровская область, г. Таштагол, ул. Поспелова, дом № 15, кв 56</t>
  </si>
  <si>
    <t>1.1.27.7</t>
  </si>
  <si>
    <t>1.1.29.8</t>
  </si>
  <si>
    <t>Кемеровская область, г. Таштагол, ул. 8-ое Марта, д. 1, кв. 135</t>
  </si>
  <si>
    <t>1.1.480.4</t>
  </si>
  <si>
    <t>Кемеровская область, р-н. Таштагольский, пгт. Каз, ул. Горноспасательная, д. 1, кв. 11</t>
  </si>
  <si>
    <t>1.1.563.5</t>
  </si>
  <si>
    <t>Кемеровская область, р-н. Таштагольский, пгт. Мундыбаш, ул. Ленина, д. 23, кв. 46</t>
  </si>
  <si>
    <t>1.1.798.21</t>
  </si>
  <si>
    <t>42:34:0106002:1144</t>
  </si>
  <si>
    <t>42:34:0106002:1417</t>
  </si>
  <si>
    <t>42:34:0106001:70</t>
  </si>
  <si>
    <t>42:34:0106001:1316</t>
  </si>
  <si>
    <t>42:12:0104001:3012</t>
  </si>
  <si>
    <t>42:12:0102005:399</t>
  </si>
  <si>
    <t xml:space="preserve">6 этаж </t>
  </si>
  <si>
    <r>
      <t>Кемеровская область, Таштагольский район, пгт.Шерегеш, ул.Дзержинского</t>
    </r>
    <r>
      <rPr>
        <sz val="10"/>
        <rFont val="Arial Cyr"/>
        <charset val="204"/>
      </rPr>
      <t>,17</t>
    </r>
  </si>
  <si>
    <t>Российская Федерация, Кемеровская область-Кузбасс, Таштагольский муниципальный район, Шерегешское городское поселение, пгт.Шерегеш, ул.Советская,6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</si>
  <si>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ул.Советская,8</t>
  </si>
  <si>
    <t>1.4.26.1736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</si>
  <si>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9р. </t>
  </si>
  <si>
    <t>1.1.134.54</t>
  </si>
  <si>
    <t>42:12:0102015:4296</t>
  </si>
  <si>
    <t>1.4.26.1737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</si>
  <si>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Кедровая, земельный участок 16А</t>
  </si>
  <si>
    <t>42:12:0102013:3337</t>
  </si>
  <si>
    <t>(ООО "МСК")</t>
  </si>
  <si>
    <t>(ООО "ШЕРЕГЕШЭНЕРГО")</t>
  </si>
  <si>
    <t>Сервитут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</si>
  <si>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72р.</t>
  </si>
  <si>
    <t>42:12:0102015:4312</t>
  </si>
  <si>
    <t>1.2.516</t>
  </si>
  <si>
    <t>Кемеровская область - Кузбасс, Таштагольский муниципальный район, Каларское сельское поселение, п. Кондома, пер. Солнечный, д.2</t>
  </si>
  <si>
    <t>42:12:0107001:485</t>
  </si>
  <si>
    <t>3-х этажное,  кирпичные</t>
  </si>
  <si>
    <t>1.1.307.20</t>
  </si>
  <si>
    <t>Кемеровская область, Таштагольский район, пгт.Шерегеш, ул.40 лет Октября,1, кв.12</t>
  </si>
  <si>
    <t>1.1.177.15</t>
  </si>
  <si>
    <t>обл. Кемеровская, Таштагольское городское поселение, г Таштагол, 18 Партсъезда ул, д 13, к 8/1</t>
  </si>
  <si>
    <t>1.1.181.15</t>
  </si>
  <si>
    <t>Кемеровская область, р-н. Таштагольский, г. Таштагол, ул. 18 Партсъезда, д. 17, кв. 6</t>
  </si>
  <si>
    <t>1.1.181.16</t>
  </si>
  <si>
    <t>Кемеровская область, р-н. Таштагольский, г. Таштагол, ул. 18 Партсъезда, д. 17, кв. 9</t>
  </si>
  <si>
    <t>42:34:0101036:167</t>
  </si>
  <si>
    <t>42:34:0101021:35</t>
  </si>
  <si>
    <t>42:34:0101021:36</t>
  </si>
  <si>
    <t>1.1.535.</t>
  </si>
  <si>
    <t>Кемеровская область, Таштагольский район, пгт.Темиртау,ул.Рудная,1,кв.1</t>
  </si>
  <si>
    <t xml:space="preserve">42:12:0105002:3167 </t>
  </si>
  <si>
    <t>1.1.878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</si>
  <si>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 </t>
  </si>
  <si>
    <t>42:34:0101044:555</t>
  </si>
  <si>
    <t>1.1.879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</si>
  <si>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2</t>
  </si>
  <si>
    <t>42:34:0101044:556</t>
  </si>
  <si>
    <t>1.1.880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</si>
  <si>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4</t>
  </si>
  <si>
    <t>42:34:0101044:558</t>
  </si>
  <si>
    <t>1.1.881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</si>
  <si>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5</t>
  </si>
  <si>
    <t>42:34:0101044:559</t>
  </si>
  <si>
    <t>1.1.882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</si>
  <si>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7</t>
  </si>
  <si>
    <t>42:34:0101044:561</t>
  </si>
  <si>
    <t>1.1.883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</si>
  <si>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8</t>
  </si>
  <si>
    <t>42:34:0101044:562</t>
  </si>
  <si>
    <t>1.1.884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</si>
  <si>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11</t>
  </si>
  <si>
    <t>42:34:0101044:548</t>
  </si>
  <si>
    <t>1.1.885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</si>
  <si>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12</t>
  </si>
  <si>
    <t>42:34:0101044:549</t>
  </si>
  <si>
    <t>1.1.886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</si>
  <si>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14</t>
  </si>
  <si>
    <t>42:34:0101044:551</t>
  </si>
  <si>
    <t>1.1.887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</si>
  <si>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15</t>
  </si>
  <si>
    <t>42:34:0101044:552</t>
  </si>
  <si>
    <t>1.1.888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</si>
  <si>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дом 16, квартира 13</t>
  </si>
  <si>
    <t>42:34:0101044:550</t>
  </si>
  <si>
    <t>не определена</t>
  </si>
  <si>
    <t>42:12:0102006:953</t>
  </si>
  <si>
    <t>1.1.766.71</t>
  </si>
  <si>
    <t>Кемеровская область, р-н. Таштагольский, г. Таштагол, ул. Ноградская, д. 4, кв. 74</t>
  </si>
  <si>
    <t xml:space="preserve">42:34:0106002:321 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</si>
  <si>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</si>
  <si>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</si>
  <si>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</si>
  <si>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</si>
  <si>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</si>
  <si>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</si>
  <si>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</si>
  <si>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</si>
  <si>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</si>
  <si>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</si>
  <si>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</si>
  <si>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 xml:space="preserve">Земельный участок </t>
  </si>
  <si>
    <t>Российская Федерация, Кемеровская область-Кузбасс, Таштагольский муниципальный район, Каларское сельское поселение, п. Кондома, ул. Береговая, 8а.</t>
  </si>
  <si>
    <t>Российская Федерация, Кемеровская область-Кузбасс, Таштагольский муниципальный район, Каларское сельское поселение, п. Базанча, ул Комарова, земельный участок 68б</t>
  </si>
  <si>
    <t>Российская Федерация, Кемеровская область-Кузбасс, Таштагольский муниципальный район, Коуринское сельское поселение, п. Чушла, ул. А.Тунекова, земельный участок 6</t>
  </si>
  <si>
    <t>Российская Федерация, Кемеровская область, Таштагольский муниципальный район, Коуринское сельское поселение, п Килинск, ул Старателей, 48а</t>
  </si>
  <si>
    <t>Российская Федерация, Кемеровская область-Кузбасс, Таштагольский муниципальный район, Коуринское сельское поселение, п. Габовск, ул. Береговая, земельный участок 1а</t>
  </si>
  <si>
    <t>Кемеровская область, Таштагольский район, п. Кондома, переулок Солнечный, 2</t>
  </si>
  <si>
    <t>Российская Федерация, Кемеровская область-Кузбасс, Таштагольский муниципальный район, Каларское сельское поселение, п. Базанча, ул Комарова, з/у 68в</t>
  </si>
  <si>
    <t>Российская Федерация, Кемеровская область - Кузбасс, Таштагольский муниципальный район, Кызыл-Шорское сельское поселение, п.Ключевой, ул.Мира, земельный участоу 22А</t>
  </si>
  <si>
    <t>Российская Федерация, Кемеровская область - Кузбасс, Таштагольский муниципальный район, Усть-Кабырзинское сельское поселение, п.Усть-Кабырза, ул.Правобережная, з/у 3а</t>
  </si>
  <si>
    <t>Российская Федерация, Кемеровская область - Кузбасс, Таштагольский муниципальный район, городское поселение Шерегешское, поселок городского типа Шерегеш,улица Весенняя, 9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</si>
  <si>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 земельный участок м1а</t>
  </si>
  <si>
    <t>42:12:0107001:492</t>
  </si>
  <si>
    <t>42:12:0108003:805</t>
  </si>
  <si>
    <t>42:12:0112003:319</t>
  </si>
  <si>
    <t>42:12:0115001:684</t>
  </si>
  <si>
    <t>42:12:0115002:237</t>
  </si>
  <si>
    <t>42:12:0107001:344</t>
  </si>
  <si>
    <t>42:12:0108003:809</t>
  </si>
  <si>
    <t>42:12:0112001:696</t>
  </si>
  <si>
    <t>42:12:0102013:172</t>
  </si>
  <si>
    <t>42:34:0102066:23</t>
  </si>
  <si>
    <t>42:34:0101044:565</t>
  </si>
  <si>
    <t>100</t>
  </si>
  <si>
    <t>1195</t>
  </si>
  <si>
    <t>271480,1</t>
  </si>
  <si>
    <t>1.3.1</t>
  </si>
  <si>
    <t>1.3.1.1</t>
  </si>
  <si>
    <t>1.3.4</t>
  </si>
  <si>
    <t>1.3.4.1</t>
  </si>
  <si>
    <t>1.3.10.1</t>
  </si>
  <si>
    <t>1.3.12</t>
  </si>
  <si>
    <t>1.3.15</t>
  </si>
  <si>
    <t>1.3.31.1</t>
  </si>
  <si>
    <t>1.3.36</t>
  </si>
  <si>
    <t>1.3.36.1</t>
  </si>
  <si>
    <t>1.3.37.1</t>
  </si>
  <si>
    <t>1.3.39</t>
  </si>
  <si>
    <t>1.3.41</t>
  </si>
  <si>
    <t>1.3.44</t>
  </si>
  <si>
    <t>1.3.44.1</t>
  </si>
  <si>
    <t>1.3.49</t>
  </si>
  <si>
    <t>1.3.49.1</t>
  </si>
  <si>
    <t>1.3.51</t>
  </si>
  <si>
    <t>1.3.57</t>
  </si>
  <si>
    <t>1.3.58</t>
  </si>
  <si>
    <t>1.3.59</t>
  </si>
  <si>
    <t>1.3.64</t>
  </si>
  <si>
    <t>1.3.68</t>
  </si>
  <si>
    <t>1.3.72</t>
  </si>
  <si>
    <t>1.3.74.2</t>
  </si>
  <si>
    <t>1.3.76.2</t>
  </si>
  <si>
    <t>1.3.77</t>
  </si>
  <si>
    <t>1.3.86</t>
  </si>
  <si>
    <t>1.3.87</t>
  </si>
  <si>
    <t>1.3.88</t>
  </si>
  <si>
    <t>1.3.93</t>
  </si>
  <si>
    <t>1.3.100</t>
  </si>
  <si>
    <t>1.3.101</t>
  </si>
  <si>
    <t>1.3.103</t>
  </si>
  <si>
    <t>1.3.105</t>
  </si>
  <si>
    <t>1.3.107</t>
  </si>
  <si>
    <t>1.3.110</t>
  </si>
  <si>
    <t>1.3.111</t>
  </si>
  <si>
    <t>1.3.112</t>
  </si>
  <si>
    <t>1.3.112.2</t>
  </si>
  <si>
    <t>1.3.112.3</t>
  </si>
  <si>
    <t>1.3.116</t>
  </si>
  <si>
    <t>1.3.118</t>
  </si>
  <si>
    <t>1.3.119.</t>
  </si>
  <si>
    <t>1.3.119.1</t>
  </si>
  <si>
    <t>1.3.120</t>
  </si>
  <si>
    <t>1.3.123</t>
  </si>
  <si>
    <t>1.3.129</t>
  </si>
  <si>
    <t>1.3.133</t>
  </si>
  <si>
    <t>1.3.133.1</t>
  </si>
  <si>
    <t>1.3.133.2</t>
  </si>
  <si>
    <t>1.3.134</t>
  </si>
  <si>
    <t>1.3.141</t>
  </si>
  <si>
    <t>1.3.150</t>
  </si>
  <si>
    <t>1.3.151</t>
  </si>
  <si>
    <t>1.3.152</t>
  </si>
  <si>
    <t>1.3.158</t>
  </si>
  <si>
    <t>1.3.165</t>
  </si>
  <si>
    <t>1.3.166</t>
  </si>
  <si>
    <t>1.3.167</t>
  </si>
  <si>
    <t>1.3.168</t>
  </si>
  <si>
    <t>1.3.169</t>
  </si>
  <si>
    <t>1.3.170</t>
  </si>
  <si>
    <t>1.3.172</t>
  </si>
  <si>
    <t>1.3.175</t>
  </si>
  <si>
    <t>1.3.177</t>
  </si>
  <si>
    <t>1.3.179</t>
  </si>
  <si>
    <t>1.3.180</t>
  </si>
  <si>
    <t>1.3.181</t>
  </si>
  <si>
    <t>1.3.182</t>
  </si>
  <si>
    <t>1.3.187</t>
  </si>
  <si>
    <t>1.3.188</t>
  </si>
  <si>
    <t>1.3.189</t>
  </si>
  <si>
    <t>1.3.197</t>
  </si>
  <si>
    <t>1.3.198</t>
  </si>
  <si>
    <t>1.3.199</t>
  </si>
  <si>
    <t>1.3.200</t>
  </si>
  <si>
    <t>1.3.200.1</t>
  </si>
  <si>
    <t>1.3.204</t>
  </si>
  <si>
    <t>1.3.205</t>
  </si>
  <si>
    <t>1.3.207</t>
  </si>
  <si>
    <t>1.3.210</t>
  </si>
  <si>
    <t>1.3.214.1</t>
  </si>
  <si>
    <t>1.3.218</t>
  </si>
  <si>
    <t>1.3.219</t>
  </si>
  <si>
    <t>1.3.220</t>
  </si>
  <si>
    <t>1.3.435.</t>
  </si>
  <si>
    <t>1.3.435.4</t>
  </si>
  <si>
    <t xml:space="preserve">Нежилое встроенное помещение службы ЖКХ </t>
  </si>
  <si>
    <t>Встроенное нежилое помещение (магазин "Маленькая страна" S= 24,3 кв.м)</t>
  </si>
  <si>
    <t>Встроенное нежилое помещение (аптека) -РАЗДЕЛЕНО НА  ПОМЕЩЕНИЯ</t>
  </si>
  <si>
    <t>Встроенное жилое помещение</t>
  </si>
  <si>
    <t>Одноэтажное здание (часть)</t>
  </si>
  <si>
    <t>Нежилое помещение</t>
  </si>
  <si>
    <t xml:space="preserve">Нежилое помещение №151(магазин) </t>
  </si>
  <si>
    <t>Помещение нежилое (поликлиника)</t>
  </si>
  <si>
    <t xml:space="preserve">Нежилое встроенное помещение отделения связи </t>
  </si>
  <si>
    <t>Отдельно стоящее нежилое административное здание-по св-ву о гос.рег.</t>
  </si>
  <si>
    <t>Встроенное нежилое помещение (гаражи)</t>
  </si>
  <si>
    <t>Встроенное  нежилое помещение банно-прачечного комбината</t>
  </si>
  <si>
    <t xml:space="preserve">Нежилое встроенное помещение почтового отделения </t>
  </si>
  <si>
    <t xml:space="preserve"> нежилое помещение</t>
  </si>
  <si>
    <t>нежилое помещение</t>
  </si>
  <si>
    <t>Встроенное нежилое помещение 1</t>
  </si>
  <si>
    <t>Сооружение (ограждение)</t>
  </si>
  <si>
    <t xml:space="preserve">Пристроенное нежилое помещение Центрального Банка Российской Федерации (Банк России) </t>
  </si>
  <si>
    <t xml:space="preserve">вспомогательные
объекты:
- уличные фонари 5 шт. (лит. ГЗ);
- забор 138,0 м. (лит Г4).
</t>
  </si>
  <si>
    <t>Нежилое помещение (Кузница) / В13430003186</t>
  </si>
  <si>
    <t>Нежилое помещение (Столярный цех) / П13430003185</t>
  </si>
  <si>
    <t>Нежилое помещение (Котельная) / В13430003182</t>
  </si>
  <si>
    <t>Российская Федерация, Кемеровская область, Таштагольский муниципальный район, Таштагольское городское поселение г. Таштагол, ул.Ноградская,3, помещение,158</t>
  </si>
  <si>
    <t xml:space="preserve">Кемеровская область, г.Таштагол, ул.Ноградская,6 </t>
  </si>
  <si>
    <t>Кемеровская область, г.Таштагол, ул. Поспелова, 9</t>
  </si>
  <si>
    <t>Кемеровская область, г.Таштагол, ул.Поспелова,11 (пом.1)</t>
  </si>
  <si>
    <t>Кемеровская область,г.Таштагол, ул.Поспелова,18, помещение №4</t>
  </si>
  <si>
    <t>Кемеровская область,г.Таштагол, ул.Поспелова,18, помещение №6</t>
  </si>
  <si>
    <t>Кемеровская область, г.Таштагол, ул. Поспелова,21</t>
  </si>
  <si>
    <t>Кемеровская область, г.Таштагол, ул.Поспелова,22,пом.129</t>
  </si>
  <si>
    <t>Кемеровская область,г.Таштагол, ул.Ленина,24</t>
  </si>
  <si>
    <t>Кемеровская область, Таштагольский район, пос.Амзасс , ул.Центральная,1, помещение №11</t>
  </si>
  <si>
    <t>Кемеровская область, г.Таштагол, ул.Ленина,50,пом.91</t>
  </si>
  <si>
    <t>Кемеровская область, Таштагольский район,г.Таштагол, ул.Ленина,82</t>
  </si>
  <si>
    <t>Кемеровская область, г.Таштагол, ул.Юбилейная,12</t>
  </si>
  <si>
    <t>Российская Федерация, Кемеровская область-Кузбасс, Таштагольский муниципальный район,  Таштагольское городское поселение, г.Таштагол, ул.Суворова, дом 23, помещение 152</t>
  </si>
  <si>
    <t>Российская Федерация, Кемеровская область-Кузбасс, Таштагольский муниципальный район,  Таштагольское городское поселение, г.Таштагол, ул.Суворова, дом 23, помещение 153</t>
  </si>
  <si>
    <t>Кемеровская область, г.Таштагол, ул.К.Маркса,6</t>
  </si>
  <si>
    <t>Кемеровская область, г. Таштагол, ул. Коммунистическая,17</t>
  </si>
  <si>
    <t>Кемеровская область, г. Таштагол, ул.Коммунистическая,22</t>
  </si>
  <si>
    <t>Кемеровская область, Таштагольский район, пгт.Каз, ул.Ленина,16 (пом.1)</t>
  </si>
  <si>
    <t>Кемеровская область, Таштагольский район,пгт.Каз, ул.Ленина,19 после кап.ремонта (767598 рублей)</t>
  </si>
  <si>
    <t>кап.ремонт помещения общ.площ. 389,3 кв.м</t>
  </si>
  <si>
    <t>Кемеровская область, Таштагольский район,пгт.Каз, ул.Ленина,22</t>
  </si>
  <si>
    <t>Кемеровская область, Таштагольский район, пгт.Темиртау, ул.Центральная,7 (пом.1)</t>
  </si>
  <si>
    <t>Кемеровская область, Таштагольский район, пгт.Темиртау, ул.Центральная,16, пом. №87</t>
  </si>
  <si>
    <t>Кемеровская область, Таштагольский район, пгт.Темиртау, ул.Центральная,18</t>
  </si>
  <si>
    <t>Кемеровская область, Таштагольский район, пгт. Мундыбаш, ул. Мамонтова,2, помещение 77</t>
  </si>
  <si>
    <t>Кемеровская область, Таштагольский район, пгт.Мундыбаш, ул. Ленина,4</t>
  </si>
  <si>
    <t>Кемеровская область, Таштагольский район, пгт.Мундыбаш, ул.Ленина,8, помещение 34</t>
  </si>
  <si>
    <t>Кемеровская область, Таштагольский район, пгт.Мундыбаш, ул.Ленина,9, помещение 24</t>
  </si>
  <si>
    <t>Российская Федерация, Кемеровская область - Кузбасс, муниципальный район Таштагольский, городское поселение Мундыбашское, поселок городского типа Мундыбаш, улица Ленина, дом 16, помещение 26</t>
  </si>
  <si>
    <t>Кемеровская область, Таштагольский район, пгт. Мундыбаш, ул. Ленина,16, помещение 27</t>
  </si>
  <si>
    <t>Кемеровская область, Таштагольский район, пгт. Мундыбаш, ул. Ленина,16, помещение 29</t>
  </si>
  <si>
    <t>Кемеровская область, Таштагольский район, пгт.Мундыбаш, ул.Ленина,19, помещение 65</t>
  </si>
  <si>
    <t>Кемеровская область, Таштагольский район, пгт.Мундыбаш, ул.Ленина,29, пом.2</t>
  </si>
  <si>
    <t>Кемеровская область, Таштагольский район, пгт.Мундыбаш, ул.Ленина,29, помещение 3</t>
  </si>
  <si>
    <t>Кемеровская область, Таштагольский район, пгт. Мундыбаш, ул. Ленина,30, помещение 75</t>
  </si>
  <si>
    <t>Кемеровская область, Таштагольский район, пгт. Мундыбаш, ул. Ленина,30, помещение 76</t>
  </si>
  <si>
    <t>Кемеровская область, Таштагольский район,  пгт. Мундыбаш, ул. Вокзальная,1Б</t>
  </si>
  <si>
    <t>Кемеровская область, Таштагольский район, пгт.Шерегеш, ул.Кирова,11</t>
  </si>
  <si>
    <t>Кемеровская область, Таштагольский район, пгт.Шерегеш, ул.19 Партсъезда,4</t>
  </si>
  <si>
    <t>Кемеровская область, Таштагольский район, пгт.Шерегеш, ул.19 Партсъезда,5</t>
  </si>
  <si>
    <t>Кемеровская область, Таштагольский район, пгт.Шерегеш, ул.19 Партсъезда,6</t>
  </si>
  <si>
    <t>Кемеровская область, Таштагольский район, пгт.Шерегеш, ул.Дзержинского,6</t>
  </si>
  <si>
    <t>Кемеровская область, Таштагольский район, пгт.Шерегеш, ул.Дзержинского,13</t>
  </si>
  <si>
    <t>Кемеровская область, Таштагольский район, пгт.Шерегеш, ул.Дзержинского,23</t>
  </si>
  <si>
    <t>Кемеровская область, Таштагольский район, пгт.Шерегеш, ул.Дзержинского,24</t>
  </si>
  <si>
    <t>Кемеровская область, Таштагольский район, пгт.Шерегеш, ул.Дзержинского,25, пом.57</t>
  </si>
  <si>
    <t>Кемеровская область, Таштагольский район, пгт.Шерегеш, ул.Гагарина,14</t>
  </si>
  <si>
    <t>Кемеровская область, Таштагольский район, пгт. Шерегеш, ул.Гагарина,26</t>
  </si>
  <si>
    <t>Кемеровская область, Таштагольский район, пгт.Шерегеш, ул.Гагарина,26, пом.52</t>
  </si>
  <si>
    <t xml:space="preserve">Кемеровская область, р-н Таштагольский, пгт. Шерегеш, ул. Советская,8, пом. 2 </t>
  </si>
  <si>
    <t>Кемеровская область, р-н Таштагольский, пгт Шерегеш, ул Советская,8, пом. 4</t>
  </si>
  <si>
    <t>Кемеровская область, Таштагольский район, пгт.Шерегеш, ул.Дзержинского,1</t>
  </si>
  <si>
    <t>Кемеровская область, Таштагольский район, ст.Тенеш, дом 7</t>
  </si>
  <si>
    <t>Кемеровская область, Таштагольский район, пгт. Мундыбаш, ул. Ленина,16, помещение 30</t>
  </si>
  <si>
    <t>Кемеровская область, р-н. Таштагольский, пгт. Шерегеш, ул. Гагарина, д. 47/1, пом. 1</t>
  </si>
  <si>
    <t>Кемеровская область, р-н. Таштагольский, пгт. Шерегеш, ул. Гагарина, д. 47, пом. 1</t>
  </si>
  <si>
    <t>Кемеровская область, р-н. Таштагольский, пгт. Шерегеш, ул. Гагарина, д. 47, пом. 2</t>
  </si>
  <si>
    <t>ККемеровская область - Кузбасс, муниципальный район Таштагольский, городское поселение Мундыбашское, поселок городского типа Мундыбаш, улица Ленина, дом 17, помещение 71</t>
  </si>
  <si>
    <t>Кемеровская область – Кузбасс, г.Таштагол, ул. Коммунистическая, д.4</t>
  </si>
  <si>
    <t>Кемеровская область-Кузбасс, Таштагольский р-н, пгт Каз, ул. Кирова,д.31, кв.1</t>
  </si>
  <si>
    <t>Кемеровская область-Кузбасс, Таштагольский р-н, пгт. Темиртау, ул. Школьная,2, кв.24</t>
  </si>
  <si>
    <t>42:34:0106008:298</t>
  </si>
  <si>
    <t>42:34:0106008:299</t>
  </si>
  <si>
    <t xml:space="preserve">42:34:0106002:1738 </t>
  </si>
  <si>
    <t xml:space="preserve">42:34:0106001:1452 </t>
  </si>
  <si>
    <t>42:34:0106001:1451</t>
  </si>
  <si>
    <t>42:34:0106002:1751</t>
  </si>
  <si>
    <t>42:34:0106002:1999</t>
  </si>
  <si>
    <t>42:34:0106002:177</t>
  </si>
  <si>
    <t>42:34:0106003:513</t>
  </si>
  <si>
    <t>42:34:0106003:514</t>
  </si>
  <si>
    <t>№ 42:34:0106003:527</t>
  </si>
  <si>
    <t xml:space="preserve">42:34:0106002:1749 </t>
  </si>
  <si>
    <t>42:34:0106002:1761</t>
  </si>
  <si>
    <t xml:space="preserve">42:12:0108002:789 </t>
  </si>
  <si>
    <t>42:34:0101042:419</t>
  </si>
  <si>
    <t>42:34:0101043:544</t>
  </si>
  <si>
    <t>42:34:0101040:218</t>
  </si>
  <si>
    <t xml:space="preserve">Кадастровый номер здания:  42:34:0102029:100; площадь ОКС'a:  633,8 кв.м  </t>
  </si>
  <si>
    <t>42:34:0102029:100</t>
  </si>
  <si>
    <t>42:34:0102064:451-снят с учета 09.10.2020</t>
  </si>
  <si>
    <t>42:34:0102064:574</t>
  </si>
  <si>
    <t>42:34:0102064:575</t>
  </si>
  <si>
    <t xml:space="preserve">42:12:0101001:611 </t>
  </si>
  <si>
    <t xml:space="preserve">42:34:0114009:171 </t>
  </si>
  <si>
    <t xml:space="preserve">42:12:0101001:555 </t>
  </si>
  <si>
    <t>42:12:0102001:1805</t>
  </si>
  <si>
    <t>42:12:0104001:3590</t>
  </si>
  <si>
    <t>42:12:0104001:4036</t>
  </si>
  <si>
    <t>42:12:0104001:3272</t>
  </si>
  <si>
    <t xml:space="preserve">42:12:0104001:3489 </t>
  </si>
  <si>
    <t>42:12:0105004:174                               (ранее-42-42-12/017/2011-153 )</t>
  </si>
  <si>
    <t>42:12:0101001:278</t>
  </si>
  <si>
    <t>42:12:0105002:3205</t>
  </si>
  <si>
    <t>42:12:0105002:3461</t>
  </si>
  <si>
    <t xml:space="preserve">42:12:0101001:275 </t>
  </si>
  <si>
    <t>42:12:0105002:3758</t>
  </si>
  <si>
    <t>42:12:0106002:4043</t>
  </si>
  <si>
    <t>42:12:0106002:4795</t>
  </si>
  <si>
    <t xml:space="preserve"> 42:12:0106002:4803</t>
  </si>
  <si>
    <t xml:space="preserve">42:12:0102003:1301 </t>
  </si>
  <si>
    <t xml:space="preserve">42:12:0102002:1594 </t>
  </si>
  <si>
    <t xml:space="preserve">42:12:0102002:1884 </t>
  </si>
  <si>
    <t>42:12:0101001:379</t>
  </si>
  <si>
    <t xml:space="preserve">42:12:0102005:855 </t>
  </si>
  <si>
    <t>42:12:0102002:2037</t>
  </si>
  <si>
    <t>42:12:0102002:2368</t>
  </si>
  <si>
    <t xml:space="preserve">42:12:0102002:1917 </t>
  </si>
  <si>
    <t>42:12:0101001:436</t>
  </si>
  <si>
    <t>42:12:0106002:4826</t>
  </si>
  <si>
    <t>42:12:0104001:4431</t>
  </si>
  <si>
    <t>42:12:0101001:212, Земельный участок -42:34:0106004:36,S=1491 кв.м</t>
  </si>
  <si>
    <t>42:12:0102001:1188 (в здании 42:12:0102001:1187)</t>
  </si>
  <si>
    <t>42:12:0102001:1185 (в здании 42:12:0102001:1184)</t>
  </si>
  <si>
    <t>42:12:0102001:1186 (в здании 42:12:0102001:1184)</t>
  </si>
  <si>
    <t xml:space="preserve"> 42:34:0114009:171</t>
  </si>
  <si>
    <t>42:12:0104001:4650</t>
  </si>
  <si>
    <t>42:12:0105002:2417</t>
  </si>
  <si>
    <t>подвал</t>
  </si>
  <si>
    <t>цокольный этаж</t>
  </si>
  <si>
    <t xml:space="preserve">подвал </t>
  </si>
  <si>
    <t xml:space="preserve">4этаж   </t>
  </si>
  <si>
    <t>подвал №1</t>
  </si>
  <si>
    <t>1-й и цокольный этажи</t>
  </si>
  <si>
    <t>2 этажа</t>
  </si>
  <si>
    <t>1 и 2 этажи</t>
  </si>
  <si>
    <t>цокольный этаж №1</t>
  </si>
  <si>
    <t xml:space="preserve">цокольный этаж </t>
  </si>
  <si>
    <t xml:space="preserve">общежитие </t>
  </si>
  <si>
    <t>пристрой 2-3 этажи</t>
  </si>
  <si>
    <t>цокольный этаж, подвал</t>
  </si>
  <si>
    <t>2-я блок-секция;  1 этаж</t>
  </si>
  <si>
    <t>1-но этажное с подвалом</t>
  </si>
  <si>
    <t>ё</t>
  </si>
  <si>
    <t xml:space="preserve">95 897, 92 </t>
  </si>
  <si>
    <t>1.2.517</t>
  </si>
  <si>
    <t>1.2.518</t>
  </si>
  <si>
    <t>1.2.519</t>
  </si>
  <si>
    <t>1.2.520</t>
  </si>
  <si>
    <t>отдельно стоящее нежилое здание церкви</t>
  </si>
  <si>
    <t>железнодорожный путь</t>
  </si>
  <si>
    <t>магистральные сети холодного водоснабжения</t>
  </si>
  <si>
    <t>Тепловая сеть от т/н Ленина до ул. Калинина</t>
  </si>
  <si>
    <t>Кемеровская область - Кузбасс, Таштагольский муниципальный район, пгт Шерегеш, ул.Весенняя, 9</t>
  </si>
  <si>
    <t>Кемеровская область - Кузбасс, Таштагольский муниципальный район, пгт Шерегеш, ул.Гагарина</t>
  </si>
  <si>
    <t>Кемеровская область - Кузбасс, Таштагольский муниципальный район, пгт Шерегеш, ул.Таежная, в районе дома №23</t>
  </si>
  <si>
    <t>Кемеровская область, Таштагольский муниципальный район, Таштагольское городское поселение, г.Таштагол</t>
  </si>
  <si>
    <t>42:12:0101001:204</t>
  </si>
  <si>
    <t>42:12:0102001:2357</t>
  </si>
  <si>
    <t>42:12:0000000:1176</t>
  </si>
  <si>
    <t>42:12:0000000:764</t>
  </si>
  <si>
    <t>43,7</t>
  </si>
  <si>
    <t>4810807,58</t>
  </si>
  <si>
    <t>Кемеровская область, Таштагольское городское поселение, г. Таштагол, ул.Поспелова,22, кв. 163</t>
  </si>
  <si>
    <t>Кемеровская область, р-н. Таштагольский, г. Таштагол, ул. Поспелова,21, кв. 95</t>
  </si>
  <si>
    <t>Кемеровская область - Кузбасс, г. Таштагол, ул. Поспелова,22, кв. 149</t>
  </si>
  <si>
    <t>Кемеровская область, Таштагольское городское поселение, г Таштагол, ул Поспелова,29, кв 43</t>
  </si>
  <si>
    <t>снят с учета 20.10.2025</t>
  </si>
  <si>
    <t>снят с учета 08.10.2025</t>
  </si>
  <si>
    <t>снят с учета 21.10.2025</t>
  </si>
  <si>
    <t xml:space="preserve">Кемеровская область, Таштагольский р-н, пгт Мундыбаш, ул Октябрьская, з/у 48 </t>
  </si>
  <si>
    <t>протяж.4697 м</t>
  </si>
  <si>
    <t>протяж.1676 м</t>
  </si>
  <si>
    <t>17324155,01</t>
  </si>
  <si>
    <t>Автодорога от примыкания к действующей дороге Чугунаш - Шерегеш до сектора "Е" СТК "Шерегеш"</t>
  </si>
  <si>
    <t>1.2.521</t>
  </si>
  <si>
    <t>Кемеровская область, Таштагольский муниципальный район, Шерегешское городское поселение, Таштагольское лесничество, Шалымское участковое лесничество, квартал №78 (выдел 17), квартал №65 (выдел 62), квартал №70 (выделы 23, 24, 25, 41, 42), квартал №79 (выдел 40), квартал 83 (выдел 8)</t>
  </si>
  <si>
    <t>42:12:0102015:4567</t>
  </si>
  <si>
    <t>протяж.2295 м</t>
  </si>
  <si>
    <t>2024</t>
  </si>
  <si>
    <t xml:space="preserve">Отдельно стоящее нежилое здание Казского ВГСВ
Отдельно стоящее нежилое 
здание Казского ВГСВ
</t>
  </si>
  <si>
    <t xml:space="preserve">Отдельно стоящее нежилое здание штаба Казского ВГСВ
</t>
  </si>
  <si>
    <t xml:space="preserve">Отдельно стоящее нежилое здание гаража Казского ВГСВ
</t>
  </si>
  <si>
    <t xml:space="preserve">Российская Федерация, Кемеровская область - Кузбасс, муниципальный район Таштагольский, городское поселение Казское, поселок городского типа  Каз, улица Горноспасательная, д. 1А-1
</t>
  </si>
  <si>
    <t xml:space="preserve">Российская Федерация, Кемеровская область - Кузбасс, муниципальный район Таштагольский, городское поселение Казское, поселок городского типа  Каз, улица Горноспасательная, д. 1А-2
</t>
  </si>
  <si>
    <t xml:space="preserve">Российская Федерация, Кемеровская область - Кузбасс, муниципальный район Таштагольский, городское поселение Казское, поселок городского типа  Каз, улица Горноспасательная, д. 1А-3
</t>
  </si>
  <si>
    <t>1.2.522</t>
  </si>
  <si>
    <t>1.2.523</t>
  </si>
  <si>
    <t>1.2.524</t>
  </si>
  <si>
    <t>42:12:0104001:3471</t>
  </si>
  <si>
    <t xml:space="preserve">42:12:0104005:405  </t>
  </si>
  <si>
    <t xml:space="preserve">42:12:0104001:3472  </t>
  </si>
  <si>
    <t>снят с учета 14.10.2025</t>
  </si>
  <si>
    <t>снят с учета 03.10.2025</t>
  </si>
  <si>
    <r>
      <t>Кемеровская область, г.Таштагол, ул.Макаренко</t>
    </r>
    <r>
      <rPr>
        <sz val="8"/>
        <rFont val="Arial Cyr"/>
        <charset val="204"/>
      </rPr>
      <t>,12,кв.64</t>
    </r>
  </si>
  <si>
    <r>
      <t>Кемеровская область, Таштагольский муниципальный район, Шерегешское городское поселение, пгт. Шерегеш, ул. Дзержинского</t>
    </r>
    <r>
      <rPr>
        <sz val="8"/>
        <rFont val="Arial Cyr"/>
        <charset val="204"/>
      </rPr>
      <t>,21/1, кв.57</t>
    </r>
  </si>
  <si>
    <t>на 01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</si>
</sst>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00000"/>
    <numFmt numFmtId="170" formatCode="0.00_ ;[Red]\-0.00\ "/>
    <numFmt numFmtId="171" formatCode="0.00;[Red]0.00"/>
  </numFmts>
  <fonts count="1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 Cyr"/>
      <family val="2"/>
      <charset val="204"/>
    </font>
    <font>
      <i/>
      <sz val="8"/>
      <color rgb="FF7030A0"/>
      <name val="Arial Cyr"/>
      <family val="2"/>
      <charset val="204"/>
    </font>
    <font>
      <sz val="10"/>
      <color rgb="FFFF0000"/>
      <name val="Arial Cyr"/>
      <family val="2"/>
      <charset val="204"/>
    </font>
    <font>
      <i/>
      <sz val="8"/>
      <color rgb="FFFF0000"/>
      <name val="Arial Cyr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i/>
      <sz val="26"/>
      <color rgb="FFFF0000"/>
      <name val="Arial Cyr"/>
      <family val="2"/>
      <charset val="204"/>
    </font>
    <font>
      <sz val="10"/>
      <name val="Arial"/>
      <family val="2"/>
      <charset val="204"/>
    </font>
    <font>
      <sz val="8"/>
      <color rgb="FF7030A0"/>
      <name val="Arial Cyr"/>
      <family val="2"/>
      <charset val="204"/>
    </font>
    <font>
      <sz val="8"/>
      <color rgb="FF0070C0"/>
      <name val="Arial"/>
      <family val="2"/>
      <charset val="204"/>
    </font>
    <font>
      <sz val="8"/>
      <color rgb="FF0070C0"/>
      <name val="Arial Cyr"/>
      <family val="2"/>
      <charset val="204"/>
    </font>
    <font>
      <b/>
      <i/>
      <sz val="8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0070C0"/>
      <name val="Times New Roman"/>
      <family val="1"/>
      <charset val="204"/>
    </font>
    <font>
      <b/>
      <sz val="8"/>
      <color rgb="FFFF0000"/>
      <name val="Arial Cyr"/>
      <family val="2"/>
      <charset val="204"/>
    </font>
    <font>
      <i/>
      <sz val="8"/>
      <name val="Arial"/>
      <family val="2"/>
      <charset val="204"/>
    </font>
    <font>
      <sz val="8"/>
      <color rgb="FFC00000"/>
      <name val="Arial Cyr"/>
      <family val="2"/>
      <charset val="204"/>
    </font>
    <font>
      <i/>
      <sz val="8"/>
      <color rgb="FF0070C0"/>
      <name val="Arial Cyr"/>
      <family val="2"/>
      <charset val="204"/>
    </font>
    <font>
      <i/>
      <sz val="8"/>
      <color rgb="FF008000"/>
      <name val="Arial Cyr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7.5"/>
      <name val="Arial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sz val="10"/>
      <color rgb="FF7030A0"/>
      <name val="Arial Cyr"/>
      <family val="2"/>
      <charset val="204"/>
    </font>
    <font>
      <sz val="8"/>
      <name val="Calibri"/>
      <family val="2"/>
      <charset val="204"/>
      <scheme val="minor"/>
    </font>
    <font>
      <sz val="12"/>
      <name val="Arial"/>
      <family val="2"/>
      <charset val="204"/>
    </font>
    <font>
      <sz val="8"/>
      <name val="Arial"/>
      <family val="2"/>
    </font>
    <font>
      <b/>
      <sz val="13"/>
      <name val="Arial"/>
      <family val="2"/>
      <charset val="204"/>
    </font>
    <font>
      <sz val="7"/>
      <name val="Arial"/>
      <family val="2"/>
      <charset val="204"/>
    </font>
    <font>
      <b/>
      <sz val="10.5"/>
      <name val="Times New Roman"/>
      <family val="1"/>
      <charset val="204"/>
    </font>
    <font>
      <b/>
      <i/>
      <sz val="8"/>
      <color rgb="FF008000"/>
      <name val="Arial Cyr"/>
      <family val="2"/>
      <charset val="204"/>
    </font>
    <font>
      <sz val="8"/>
      <color rgb="FF92D050"/>
      <name val="Arial Cyr"/>
      <family val="2"/>
      <charset val="204"/>
    </font>
    <font>
      <sz val="8"/>
      <color rgb="FFFF00FF"/>
      <name val="Arial Cyr"/>
      <family val="2"/>
      <charset val="204"/>
    </font>
    <font>
      <sz val="8"/>
      <color rgb="FFFF00FF"/>
      <name val="Times New Roman"/>
      <family val="1"/>
      <charset val="204"/>
    </font>
    <font>
      <sz val="9"/>
      <name val="Arial Cyr"/>
      <charset val="204"/>
    </font>
    <font>
      <sz val="10"/>
      <color rgb="FFFF00FF"/>
      <name val="Arial Cyr"/>
      <charset val="204"/>
    </font>
    <font>
      <sz val="8"/>
      <name val="Arial Cyr"/>
      <charset val="204"/>
    </font>
    <font>
      <sz val="8"/>
      <color rgb="FF0070C0"/>
      <name val="Arial Cyr"/>
      <charset val="204"/>
    </font>
    <font>
      <i/>
      <sz val="8"/>
      <color rgb="FF7030A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color rgb="FF009900"/>
      <name val="Arial Cyr"/>
      <family val="2"/>
      <charset val="204"/>
    </font>
    <font>
      <sz val="8"/>
      <color rgb="FF00B050"/>
      <name val="Arial Cyr"/>
      <family val="2"/>
      <charset val="204"/>
    </font>
    <font>
      <sz val="10"/>
      <color rgb="FF009900"/>
      <name val="Arial Cyr"/>
      <charset val="204"/>
    </font>
    <font>
      <sz val="10"/>
      <color rgb="FF009900"/>
      <name val="Arial Cyr"/>
      <family val="2"/>
      <charset val="204"/>
    </font>
    <font>
      <sz val="8.5"/>
      <name val="Arial"/>
      <family val="2"/>
      <charset val="204"/>
    </font>
    <font>
      <b/>
      <sz val="7.5"/>
      <name val="Arial Cyr"/>
      <family val="2"/>
      <charset val="204"/>
    </font>
    <font>
      <b/>
      <sz val="8"/>
      <color rgb="FF009900"/>
      <name val="Arial Cyr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rgb="FF7030A0"/>
      <name val="Arial Cyr"/>
      <charset val="204"/>
    </font>
    <font>
      <b/>
      <i/>
      <sz val="26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24"/>
      <name val="Arial Cyr"/>
      <family val="2"/>
      <charset val="204"/>
    </font>
    <font>
      <i/>
      <sz val="24"/>
      <name val="Arial Cyr"/>
      <family val="2"/>
      <charset val="204"/>
    </font>
    <font>
      <sz val="10"/>
      <color theme="0"/>
      <name val="Arial Cyr"/>
      <charset val="204"/>
    </font>
    <font>
      <b/>
      <sz val="10"/>
      <name val="Arial Cyr"/>
      <family val="2"/>
      <charset val="204"/>
    </font>
    <font>
      <i/>
      <sz val="8"/>
      <name val="Arial Cyr"/>
      <charset val="204"/>
    </font>
    <font>
      <i/>
      <sz val="7.5"/>
      <name val="Arial Cyr"/>
      <charset val="204"/>
    </font>
    <font>
      <sz val="10"/>
      <name val="Times New Roman"/>
      <family val="1"/>
      <charset val="204"/>
    </font>
    <font>
      <sz val="8.5"/>
      <name val="Arial Cyr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sz val="7.5"/>
      <name val="Arial Cyr"/>
      <charset val="204"/>
    </font>
    <font>
      <sz val="9.5"/>
      <name val="Arial Cyr"/>
      <charset val="204"/>
    </font>
    <font>
      <sz val="8"/>
      <color rgb="FF00B0F0"/>
      <name val="Arial"/>
      <family val="2"/>
      <charset val="204"/>
    </font>
    <font>
      <sz val="8"/>
      <color theme="0"/>
      <name val="Arial Cyr"/>
      <family val="2"/>
      <charset val="204"/>
    </font>
    <font>
      <sz val="10"/>
      <color rgb="FF0070C0"/>
      <name val="Arial Cyr"/>
      <charset val="204"/>
    </font>
    <font>
      <sz val="9"/>
      <color rgb="FF0070C0"/>
      <name val="Arial Cyr"/>
      <charset val="204"/>
    </font>
    <font>
      <sz val="8"/>
      <color theme="1"/>
      <name val="Arial"/>
      <family val="2"/>
      <charset val="204"/>
    </font>
    <font>
      <sz val="7.5"/>
      <color theme="1"/>
      <name val="Arial"/>
      <family val="2"/>
      <charset val="204"/>
    </font>
    <font>
      <u/>
      <sz val="8"/>
      <name val="Arial Cyr"/>
      <charset val="204"/>
    </font>
    <font>
      <sz val="8"/>
      <color theme="1"/>
      <name val="Arial Cyr"/>
      <family val="2"/>
      <charset val="204"/>
    </font>
    <font>
      <sz val="8"/>
      <color rgb="FF00B050"/>
      <name val="Arial Cyr"/>
      <charset val="204"/>
    </font>
    <font>
      <sz val="8"/>
      <color theme="1"/>
      <name val="Arial Cyr"/>
      <charset val="204"/>
    </font>
    <font>
      <sz val="10"/>
      <color rgb="FF292C2F"/>
      <name val="Arial"/>
      <family val="2"/>
      <charset val="204"/>
    </font>
    <font>
      <i/>
      <sz val="8"/>
      <color theme="1"/>
      <name val="Arial Cyr"/>
      <family val="2"/>
      <charset val="204"/>
    </font>
    <font>
      <sz val="8"/>
      <color rgb="FFFF0000"/>
      <name val="Arial Cyr"/>
      <family val="2"/>
      <charset val="204"/>
    </font>
    <font>
      <sz val="8"/>
      <color theme="1"/>
      <name val="Arial"/>
      <family val="2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sz val="8"/>
      <name val="Arial Cyr"/>
      <charset val="204"/>
    </font>
    <font>
      <sz val="9"/>
      <color rgb="FF00B0F0"/>
      <name val="Arial Cyr"/>
      <charset val="204"/>
    </font>
    <font>
      <sz val="9"/>
      <color rgb="FFFF0000"/>
      <name val="Arial Cyr"/>
      <charset val="204"/>
    </font>
    <font>
      <i/>
      <sz val="8"/>
      <color theme="1"/>
      <name val="Arial"/>
      <family val="2"/>
      <charset val="204"/>
    </font>
    <font>
      <sz val="8"/>
      <color rgb="FFFF00FF"/>
      <name val="Arial"/>
      <family val="2"/>
      <charset val="204"/>
    </font>
    <font>
      <sz val="9"/>
      <color rgb="FFFF00FF"/>
      <name val="Calibri"/>
      <family val="2"/>
      <charset val="204"/>
      <scheme val="minor"/>
    </font>
    <font>
      <sz val="8"/>
      <color rgb="FFFF00FF"/>
      <name val="Arial Cyr"/>
      <charset val="204"/>
    </font>
    <font>
      <sz val="8"/>
      <color rgb="FFFF00FF"/>
      <name val="Arial"/>
      <family val="2"/>
    </font>
    <font>
      <b/>
      <sz val="8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theme="1"/>
      <name val="Arial Cyr"/>
      <family val="2"/>
      <charset val="204"/>
    </font>
    <font>
      <sz val="9"/>
      <color theme="1"/>
      <name val="Arial Cyr"/>
      <family val="2"/>
      <charset val="204"/>
    </font>
    <font>
      <sz val="9"/>
      <color theme="1"/>
      <name val="Arial"/>
      <family val="2"/>
      <charset val="204"/>
    </font>
    <font>
      <sz val="8"/>
      <color theme="1" tint="4.9989318521683403E-2"/>
      <name val="Arial Cyr"/>
      <charset val="204"/>
    </font>
    <font>
      <sz val="8"/>
      <color theme="1" tint="4.9989318521683403E-2"/>
      <name val="Arial"/>
      <family val="2"/>
      <charset val="204"/>
    </font>
    <font>
      <sz val="8"/>
      <color theme="1" tint="4.9989318521683403E-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165" fontId="1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0" fillId="0" borderId="0"/>
    <xf numFmtId="0" fontId="28" fillId="0" borderId="0"/>
    <xf numFmtId="0" fontId="9" fillId="0" borderId="0"/>
    <xf numFmtId="0" fontId="11" fillId="0" borderId="0"/>
    <xf numFmtId="165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1" fillId="0" borderId="0" applyFont="0" applyFill="0" applyBorder="0" applyAlignment="0" applyProtection="0"/>
    <xf numFmtId="0" fontId="9" fillId="0" borderId="0"/>
    <xf numFmtId="0" fontId="15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165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165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46">
    <xf numFmtId="0" fontId="0" fillId="0" borderId="0" xfId="0"/>
    <xf numFmtId="0" fontId="0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Fill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vertical="top" wrapText="1" shrinkToFit="1"/>
    </xf>
    <xf numFmtId="49" fontId="13" fillId="0" borderId="1" xfId="0" applyNumberFormat="1" applyFont="1" applyBorder="1" applyAlignment="1">
      <alignment vertical="top" wrapText="1" shrinkToFit="1"/>
    </xf>
    <xf numFmtId="49" fontId="13" fillId="0" borderId="1" xfId="0" applyNumberFormat="1" applyFont="1" applyFill="1" applyBorder="1" applyAlignment="1">
      <alignment vertical="top" wrapText="1"/>
    </xf>
    <xf numFmtId="49" fontId="13" fillId="0" borderId="0" xfId="0" applyNumberFormat="1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 shrinkToFit="1"/>
    </xf>
    <xf numFmtId="49" fontId="19" fillId="0" borderId="1" xfId="0" applyNumberFormat="1" applyFont="1" applyFill="1" applyBorder="1" applyAlignment="1">
      <alignment vertical="top" wrapText="1"/>
    </xf>
    <xf numFmtId="49" fontId="12" fillId="0" borderId="0" xfId="0" applyNumberFormat="1" applyFont="1" applyFill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4" fontId="19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vertical="top" wrapText="1"/>
    </xf>
    <xf numFmtId="49" fontId="13" fillId="0" borderId="3" xfId="0" applyNumberFormat="1" applyFont="1" applyBorder="1" applyAlignment="1">
      <alignment vertical="top" wrapText="1"/>
    </xf>
    <xf numFmtId="49" fontId="19" fillId="0" borderId="1" xfId="0" applyNumberFormat="1" applyFont="1" applyFill="1" applyBorder="1" applyAlignment="1">
      <alignment horizontal="center" vertical="top" wrapText="1" shrinkToFit="1"/>
    </xf>
    <xf numFmtId="4" fontId="19" fillId="0" borderId="1" xfId="0" applyNumberFormat="1" applyFont="1" applyBorder="1" applyAlignment="1">
      <alignment horizontal="right" vertical="top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 shrinkToFit="1"/>
    </xf>
    <xf numFmtId="0" fontId="19" fillId="0" borderId="1" xfId="0" applyFont="1" applyFill="1" applyBorder="1" applyAlignment="1">
      <alignment vertical="top" wrapText="1"/>
    </xf>
    <xf numFmtId="49" fontId="19" fillId="0" borderId="1" xfId="8" applyNumberFormat="1" applyFont="1" applyBorder="1" applyAlignment="1">
      <alignment vertical="top" wrapText="1" shrinkToFit="1"/>
    </xf>
    <xf numFmtId="49" fontId="19" fillId="0" borderId="1" xfId="9" applyNumberFormat="1" applyFont="1" applyBorder="1" applyAlignment="1">
      <alignment vertical="top" wrapText="1" shrinkToFit="1"/>
    </xf>
    <xf numFmtId="49" fontId="19" fillId="0" borderId="1" xfId="8" applyNumberFormat="1" applyFont="1" applyFill="1" applyBorder="1" applyAlignment="1">
      <alignment vertical="top" wrapText="1" shrinkToFit="1"/>
    </xf>
    <xf numFmtId="49" fontId="19" fillId="0" borderId="1" xfId="9" applyNumberFormat="1" applyFont="1" applyFill="1" applyBorder="1" applyAlignment="1">
      <alignment vertical="top" wrapText="1" shrinkToFit="1"/>
    </xf>
    <xf numFmtId="167" fontId="19" fillId="0" borderId="1" xfId="10" applyNumberFormat="1" applyFont="1" applyBorder="1" applyAlignment="1">
      <alignment horizontal="left" vertical="top" wrapText="1" shrinkToFit="1"/>
    </xf>
    <xf numFmtId="49" fontId="22" fillId="0" borderId="0" xfId="0" applyNumberFormat="1" applyFont="1" applyAlignment="1">
      <alignment vertical="top" wrapText="1"/>
    </xf>
    <xf numFmtId="49" fontId="22" fillId="0" borderId="0" xfId="0" applyNumberFormat="1" applyFont="1" applyFill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49" fontId="22" fillId="0" borderId="0" xfId="0" applyNumberFormat="1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vertical="top" wrapText="1" shrinkToFit="1"/>
    </xf>
    <xf numFmtId="4" fontId="19" fillId="0" borderId="1" xfId="0" applyNumberFormat="1" applyFont="1" applyBorder="1" applyAlignment="1">
      <alignment vertical="top" wrapText="1"/>
    </xf>
    <xf numFmtId="4" fontId="19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/>
    </xf>
    <xf numFmtId="49" fontId="13" fillId="0" borderId="5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vertical="top" wrapText="1" shrinkToFit="1"/>
    </xf>
    <xf numFmtId="4" fontId="19" fillId="0" borderId="1" xfId="0" applyNumberFormat="1" applyFont="1" applyFill="1" applyBorder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" fontId="19" fillId="0" borderId="1" xfId="10" applyNumberFormat="1" applyFont="1" applyFill="1" applyBorder="1" applyAlignment="1">
      <alignment horizontal="left" vertical="top" wrapText="1" shrinkToFit="1"/>
    </xf>
    <xf numFmtId="49" fontId="27" fillId="0" borderId="0" xfId="0" applyNumberFormat="1" applyFont="1" applyAlignment="1">
      <alignment vertical="top" wrapText="1"/>
    </xf>
    <xf numFmtId="49" fontId="21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9" fillId="0" borderId="1" xfId="0" applyNumberFormat="1" applyFont="1" applyFill="1" applyBorder="1" applyAlignment="1">
      <alignment vertical="top" wrapText="1" shrinkToFit="1"/>
    </xf>
    <xf numFmtId="4" fontId="13" fillId="0" borderId="1" xfId="0" applyNumberFormat="1" applyFont="1" applyFill="1" applyBorder="1" applyAlignment="1">
      <alignment horizontal="right" vertical="top" wrapText="1"/>
    </xf>
    <xf numFmtId="167" fontId="19" fillId="0" borderId="1" xfId="0" applyNumberFormat="1" applyFont="1" applyBorder="1" applyAlignment="1">
      <alignment horizontal="left" vertical="top" wrapText="1" shrinkToFit="1"/>
    </xf>
    <xf numFmtId="49" fontId="31" fillId="0" borderId="0" xfId="0" applyNumberFormat="1" applyFont="1" applyFill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Border="1" applyAlignment="1">
      <alignment vertical="top" wrapText="1"/>
    </xf>
    <xf numFmtId="0" fontId="23" fillId="0" borderId="0" xfId="0" applyFont="1" applyBorder="1" applyAlignment="1"/>
    <xf numFmtId="4" fontId="13" fillId="0" borderId="1" xfId="0" applyNumberFormat="1" applyFont="1" applyFill="1" applyBorder="1" applyAlignment="1">
      <alignment vertical="top" wrapText="1"/>
    </xf>
    <xf numFmtId="49" fontId="13" fillId="0" borderId="1" xfId="8" applyNumberFormat="1" applyFont="1" applyFill="1" applyBorder="1" applyAlignment="1">
      <alignment vertical="top" wrapText="1" shrinkToFit="1"/>
    </xf>
    <xf numFmtId="0" fontId="0" fillId="0" borderId="0" xfId="0" applyFill="1"/>
    <xf numFmtId="49" fontId="13" fillId="2" borderId="1" xfId="0" applyNumberFormat="1" applyFont="1" applyFill="1" applyBorder="1" applyAlignment="1">
      <alignment vertical="top" wrapText="1"/>
    </xf>
    <xf numFmtId="49" fontId="13" fillId="2" borderId="0" xfId="0" applyNumberFormat="1" applyFont="1" applyFill="1" applyAlignment="1">
      <alignment vertical="top" wrapText="1"/>
    </xf>
    <xf numFmtId="49" fontId="31" fillId="2" borderId="0" xfId="0" applyNumberFormat="1" applyFont="1" applyFill="1" applyAlignment="1">
      <alignment vertical="top" wrapText="1"/>
    </xf>
    <xf numFmtId="49" fontId="37" fillId="2" borderId="0" xfId="0" applyNumberFormat="1" applyFont="1" applyFill="1" applyAlignment="1">
      <alignment vertical="top" wrapText="1"/>
    </xf>
    <xf numFmtId="49" fontId="38" fillId="2" borderId="0" xfId="0" applyNumberFormat="1" applyFont="1" applyFill="1" applyAlignment="1">
      <alignment vertical="top" wrapText="1"/>
    </xf>
    <xf numFmtId="49" fontId="31" fillId="0" borderId="0" xfId="0" applyNumberFormat="1" applyFont="1" applyFill="1" applyBorder="1" applyAlignment="1">
      <alignment vertical="top" wrapText="1"/>
    </xf>
    <xf numFmtId="49" fontId="34" fillId="0" borderId="0" xfId="0" applyNumberFormat="1" applyFont="1" applyFill="1" applyAlignment="1">
      <alignment vertical="top" wrapText="1"/>
    </xf>
    <xf numFmtId="49" fontId="38" fillId="0" borderId="0" xfId="0" applyNumberFormat="1" applyFont="1" applyFill="1" applyAlignment="1">
      <alignment vertical="top" wrapText="1"/>
    </xf>
    <xf numFmtId="0" fontId="33" fillId="0" borderId="0" xfId="0" applyFont="1" applyFill="1"/>
    <xf numFmtId="49" fontId="32" fillId="0" borderId="0" xfId="0" applyNumberFormat="1" applyFont="1" applyFill="1" applyAlignment="1">
      <alignment vertical="top" wrapText="1"/>
    </xf>
    <xf numFmtId="49" fontId="13" fillId="0" borderId="1" xfId="9" applyNumberFormat="1" applyFont="1" applyFill="1" applyBorder="1" applyAlignment="1">
      <alignment vertical="top" wrapText="1" shrinkToFit="1"/>
    </xf>
    <xf numFmtId="14" fontId="19" fillId="0" borderId="1" xfId="0" applyNumberFormat="1" applyFont="1" applyFill="1" applyBorder="1" applyAlignment="1">
      <alignment horizontal="left" vertical="top" wrapText="1" shrinkToFit="1"/>
    </xf>
    <xf numFmtId="4" fontId="13" fillId="0" borderId="1" xfId="0" applyNumberFormat="1" applyFont="1" applyBorder="1" applyAlignment="1">
      <alignment horizontal="left" vertical="top" wrapText="1"/>
    </xf>
    <xf numFmtId="0" fontId="41" fillId="0" borderId="1" xfId="0" applyFont="1" applyFill="1" applyBorder="1" applyAlignment="1">
      <alignment wrapText="1"/>
    </xf>
    <xf numFmtId="49" fontId="19" fillId="0" borderId="1" xfId="7" applyNumberFormat="1" applyFont="1" applyBorder="1" applyAlignment="1">
      <alignment vertical="top" wrapText="1" shrinkToFi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NumberFormat="1" applyFont="1" applyFill="1" applyBorder="1" applyAlignment="1">
      <alignment horizontal="left" vertical="top" wrapText="1" shrinkToFit="1"/>
    </xf>
    <xf numFmtId="4" fontId="12" fillId="0" borderId="1" xfId="0" applyNumberFormat="1" applyFont="1" applyBorder="1" applyAlignment="1">
      <alignment vertical="top" wrapText="1"/>
    </xf>
    <xf numFmtId="49" fontId="39" fillId="0" borderId="0" xfId="0" applyNumberFormat="1" applyFont="1" applyFill="1" applyAlignment="1">
      <alignment vertical="top" wrapText="1"/>
    </xf>
    <xf numFmtId="49" fontId="19" fillId="2" borderId="1" xfId="0" applyNumberFormat="1" applyFont="1" applyFill="1" applyBorder="1" applyAlignment="1">
      <alignment horizontal="left" vertical="top" wrapText="1"/>
    </xf>
    <xf numFmtId="49" fontId="35" fillId="0" borderId="0" xfId="0" applyNumberFormat="1" applyFont="1" applyAlignment="1">
      <alignment vertical="top" wrapText="1"/>
    </xf>
    <xf numFmtId="49" fontId="39" fillId="0" borderId="0" xfId="0" applyNumberFormat="1" applyFont="1" applyAlignment="1">
      <alignment vertical="top" wrapText="1"/>
    </xf>
    <xf numFmtId="49" fontId="20" fillId="0" borderId="1" xfId="8" applyNumberFormat="1" applyFont="1" applyFill="1" applyBorder="1" applyAlignment="1">
      <alignment vertical="top" wrapText="1" shrinkToFit="1"/>
    </xf>
    <xf numFmtId="49" fontId="20" fillId="0" borderId="1" xfId="0" applyNumberFormat="1" applyFont="1" applyFill="1" applyBorder="1" applyAlignment="1">
      <alignment vertical="top" wrapText="1"/>
    </xf>
    <xf numFmtId="167" fontId="19" fillId="0" borderId="1" xfId="10" applyNumberFormat="1" applyFont="1" applyFill="1" applyBorder="1" applyAlignment="1">
      <alignment horizontal="left" vertical="top" wrapText="1" shrinkToFit="1"/>
    </xf>
    <xf numFmtId="14" fontId="13" fillId="0" borderId="1" xfId="0" applyNumberFormat="1" applyFont="1" applyBorder="1" applyAlignment="1">
      <alignment horizontal="left" vertical="top" wrapText="1"/>
    </xf>
    <xf numFmtId="4" fontId="20" fillId="0" borderId="1" xfId="0" applyNumberFormat="1" applyFont="1" applyFill="1" applyBorder="1" applyAlignment="1">
      <alignment horizontal="left" vertical="top" wrapText="1" shrinkToFit="1"/>
    </xf>
    <xf numFmtId="49" fontId="12" fillId="0" borderId="1" xfId="0" applyNumberFormat="1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vertical="top" wrapText="1" shrinkToFit="1"/>
    </xf>
    <xf numFmtId="49" fontId="19" fillId="0" borderId="3" xfId="0" applyNumberFormat="1" applyFont="1" applyFill="1" applyBorder="1" applyAlignment="1">
      <alignment vertical="top" wrapText="1"/>
    </xf>
    <xf numFmtId="49" fontId="12" fillId="0" borderId="3" xfId="0" applyNumberFormat="1" applyFont="1" applyFill="1" applyBorder="1" applyAlignment="1">
      <alignment vertical="top" wrapText="1"/>
    </xf>
    <xf numFmtId="49" fontId="19" fillId="0" borderId="3" xfId="0" applyNumberFormat="1" applyFont="1" applyFill="1" applyBorder="1" applyAlignment="1">
      <alignment vertical="top" wrapText="1" shrinkToFit="1"/>
    </xf>
    <xf numFmtId="4" fontId="19" fillId="0" borderId="3" xfId="0" applyNumberFormat="1" applyFont="1" applyFill="1" applyBorder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0" fontId="11" fillId="0" borderId="0" xfId="0" applyFont="1"/>
    <xf numFmtId="49" fontId="18" fillId="0" borderId="1" xfId="0" applyNumberFormat="1" applyFont="1" applyBorder="1" applyAlignment="1">
      <alignment vertical="top" wrapText="1"/>
    </xf>
    <xf numFmtId="49" fontId="20" fillId="2" borderId="1" xfId="0" applyNumberFormat="1" applyFont="1" applyFill="1" applyBorder="1" applyAlignment="1">
      <alignment vertical="top" wrapText="1" shrinkToFit="1"/>
    </xf>
    <xf numFmtId="49" fontId="19" fillId="2" borderId="1" xfId="9" applyNumberFormat="1" applyFont="1" applyFill="1" applyBorder="1" applyAlignment="1">
      <alignment vertical="top" wrapText="1" shrinkToFit="1"/>
    </xf>
    <xf numFmtId="4" fontId="19" fillId="0" borderId="1" xfId="8" applyNumberFormat="1" applyFont="1" applyFill="1" applyBorder="1" applyAlignment="1">
      <alignment vertical="top" wrapText="1" shrinkToFit="1"/>
    </xf>
    <xf numFmtId="49" fontId="19" fillId="2" borderId="1" xfId="0" applyNumberFormat="1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/>
    </xf>
    <xf numFmtId="49" fontId="19" fillId="2" borderId="1" xfId="0" applyNumberFormat="1" applyFont="1" applyFill="1" applyBorder="1" applyAlignment="1">
      <alignment horizontal="left" vertical="top" wrapText="1" shrinkToFit="1"/>
    </xf>
    <xf numFmtId="167" fontId="19" fillId="0" borderId="1" xfId="0" applyNumberFormat="1" applyFont="1" applyFill="1" applyBorder="1" applyAlignment="1">
      <alignment horizontal="left" vertical="top" wrapText="1" shrinkToFit="1"/>
    </xf>
    <xf numFmtId="49" fontId="44" fillId="0" borderId="1" xfId="0" applyNumberFormat="1" applyFont="1" applyFill="1" applyBorder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vertical="top" wrapText="1"/>
    </xf>
    <xf numFmtId="49" fontId="29" fillId="0" borderId="0" xfId="0" applyNumberFormat="1" applyFont="1" applyAlignment="1">
      <alignment vertical="top" wrapText="1"/>
    </xf>
    <xf numFmtId="0" fontId="33" fillId="2" borderId="0" xfId="0" applyFont="1" applyFill="1"/>
    <xf numFmtId="4" fontId="13" fillId="0" borderId="3" xfId="0" applyNumberFormat="1" applyFont="1" applyBorder="1" applyAlignment="1">
      <alignment vertical="top" wrapText="1"/>
    </xf>
    <xf numFmtId="49" fontId="13" fillId="0" borderId="2" xfId="0" applyNumberFormat="1" applyFont="1" applyFill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0" fontId="25" fillId="0" borderId="1" xfId="0" applyFont="1" applyFill="1" applyBorder="1" applyAlignment="1">
      <alignment wrapText="1"/>
    </xf>
    <xf numFmtId="4" fontId="20" fillId="0" borderId="1" xfId="0" applyNumberFormat="1" applyFont="1" applyBorder="1" applyAlignment="1">
      <alignment horizontal="left" vertical="top" wrapText="1" shrinkToFit="1"/>
    </xf>
    <xf numFmtId="49" fontId="37" fillId="0" borderId="0" xfId="0" applyNumberFormat="1" applyFont="1" applyFill="1" applyAlignment="1">
      <alignment vertical="top" wrapText="1"/>
    </xf>
    <xf numFmtId="167" fontId="13" fillId="0" borderId="0" xfId="0" applyNumberFormat="1" applyFont="1" applyFill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left" vertical="top" wrapText="1"/>
    </xf>
    <xf numFmtId="167" fontId="19" fillId="2" borderId="1" xfId="0" applyNumberFormat="1" applyFont="1" applyFill="1" applyBorder="1" applyAlignment="1">
      <alignment horizontal="left" vertical="top" wrapText="1" shrinkToFit="1"/>
    </xf>
    <xf numFmtId="4" fontId="19" fillId="2" borderId="1" xfId="0" applyNumberFormat="1" applyFont="1" applyFill="1" applyBorder="1" applyAlignment="1">
      <alignment horizontal="left" vertical="top" wrapText="1" shrinkToFit="1"/>
    </xf>
    <xf numFmtId="4" fontId="13" fillId="0" borderId="3" xfId="0" applyNumberFormat="1" applyFont="1" applyFill="1" applyBorder="1" applyAlignment="1">
      <alignment vertical="top" wrapText="1"/>
    </xf>
    <xf numFmtId="49" fontId="13" fillId="0" borderId="0" xfId="0" applyNumberFormat="1" applyFont="1" applyAlignment="1">
      <alignment horizontal="left" vertical="top" wrapText="1"/>
    </xf>
    <xf numFmtId="4" fontId="48" fillId="0" borderId="1" xfId="18" applyNumberFormat="1" applyFont="1" applyFill="1" applyBorder="1" applyAlignment="1">
      <alignment vertical="top" wrapText="1" shrinkToFit="1"/>
    </xf>
    <xf numFmtId="49" fontId="36" fillId="0" borderId="3" xfId="0" applyNumberFormat="1" applyFont="1" applyFill="1" applyBorder="1" applyAlignment="1">
      <alignment vertical="top" wrapText="1" shrinkToFit="1"/>
    </xf>
    <xf numFmtId="49" fontId="19" fillId="0" borderId="4" xfId="0" applyNumberFormat="1" applyFont="1" applyFill="1" applyBorder="1" applyAlignment="1">
      <alignment vertical="top" wrapText="1" shrinkToFit="1"/>
    </xf>
    <xf numFmtId="49" fontId="19" fillId="0" borderId="4" xfId="0" applyNumberFormat="1" applyFont="1" applyFill="1" applyBorder="1" applyAlignment="1">
      <alignment vertical="top" wrapText="1"/>
    </xf>
    <xf numFmtId="49" fontId="49" fillId="0" borderId="1" xfId="0" applyNumberFormat="1" applyFont="1" applyFill="1" applyBorder="1" applyAlignment="1">
      <alignment horizontal="left" vertical="top" wrapText="1"/>
    </xf>
    <xf numFmtId="49" fontId="19" fillId="0" borderId="1" xfId="7" applyNumberFormat="1" applyFont="1" applyFill="1" applyBorder="1" applyAlignment="1">
      <alignment vertical="top" wrapText="1" shrinkToFit="1"/>
    </xf>
    <xf numFmtId="49" fontId="19" fillId="0" borderId="3" xfId="0" applyNumberFormat="1" applyFont="1" applyBorder="1" applyAlignment="1">
      <alignment vertical="top" wrapText="1"/>
    </xf>
    <xf numFmtId="49" fontId="19" fillId="0" borderId="4" xfId="0" applyNumberFormat="1" applyFont="1" applyBorder="1" applyAlignment="1">
      <alignment vertical="top" wrapText="1"/>
    </xf>
    <xf numFmtId="49" fontId="19" fillId="0" borderId="5" xfId="0" applyNumberFormat="1" applyFont="1" applyBorder="1" applyAlignment="1">
      <alignment vertical="top" wrapText="1"/>
    </xf>
    <xf numFmtId="49" fontId="19" fillId="2" borderId="1" xfId="8" applyNumberFormat="1" applyFont="1" applyFill="1" applyBorder="1" applyAlignment="1">
      <alignment vertical="top" wrapText="1" shrinkToFit="1"/>
    </xf>
    <xf numFmtId="49" fontId="19" fillId="0" borderId="3" xfId="8" applyNumberFormat="1" applyFont="1" applyFill="1" applyBorder="1" applyAlignment="1">
      <alignment vertical="top" wrapText="1" shrinkToFit="1"/>
    </xf>
    <xf numFmtId="49" fontId="19" fillId="0" borderId="5" xfId="0" applyNumberFormat="1" applyFont="1" applyFill="1" applyBorder="1" applyAlignment="1">
      <alignment vertical="top" wrapText="1"/>
    </xf>
    <xf numFmtId="49" fontId="19" fillId="2" borderId="1" xfId="7" applyNumberFormat="1" applyFont="1" applyFill="1" applyBorder="1" applyAlignment="1">
      <alignment vertical="top" wrapText="1" shrinkToFit="1"/>
    </xf>
    <xf numFmtId="4" fontId="19" fillId="0" borderId="3" xfId="0" applyNumberFormat="1" applyFont="1" applyBorder="1" applyAlignment="1">
      <alignment vertical="top" wrapText="1"/>
    </xf>
    <xf numFmtId="49" fontId="13" fillId="2" borderId="1" xfId="0" applyNumberFormat="1" applyFont="1" applyFill="1" applyBorder="1" applyAlignment="1">
      <alignment vertical="top" wrapText="1" shrinkToFit="1"/>
    </xf>
    <xf numFmtId="167" fontId="13" fillId="0" borderId="1" xfId="0" applyNumberFormat="1" applyFont="1" applyFill="1" applyBorder="1" applyAlignment="1">
      <alignment horizontal="left" vertical="top" wrapText="1" shrinkToFit="1"/>
    </xf>
    <xf numFmtId="167" fontId="13" fillId="2" borderId="1" xfId="0" applyNumberFormat="1" applyFont="1" applyFill="1" applyBorder="1" applyAlignment="1">
      <alignment horizontal="left" vertical="top" wrapText="1" shrinkToFit="1"/>
    </xf>
    <xf numFmtId="14" fontId="13" fillId="0" borderId="1" xfId="0" applyNumberFormat="1" applyFont="1" applyFill="1" applyBorder="1" applyAlignment="1">
      <alignment horizontal="left" vertical="top" wrapText="1"/>
    </xf>
    <xf numFmtId="49" fontId="13" fillId="0" borderId="3" xfId="9" applyNumberFormat="1" applyFont="1" applyFill="1" applyBorder="1" applyAlignment="1">
      <alignment vertical="top" wrapText="1" shrinkToFit="1"/>
    </xf>
    <xf numFmtId="4" fontId="13" fillId="0" borderId="1" xfId="0" applyNumberFormat="1" applyFont="1" applyFill="1" applyBorder="1" applyAlignment="1">
      <alignment horizontal="left" vertical="top" wrapText="1"/>
    </xf>
    <xf numFmtId="49" fontId="19" fillId="0" borderId="5" xfId="0" applyNumberFormat="1" applyFont="1" applyFill="1" applyBorder="1" applyAlignment="1">
      <alignment vertical="top" wrapText="1" shrinkToFit="1"/>
    </xf>
    <xf numFmtId="49" fontId="42" fillId="0" borderId="1" xfId="0" applyNumberFormat="1" applyFont="1" applyFill="1" applyBorder="1" applyAlignment="1">
      <alignment horizontal="left" vertical="top" wrapText="1"/>
    </xf>
    <xf numFmtId="49" fontId="18" fillId="0" borderId="3" xfId="0" applyNumberFormat="1" applyFont="1" applyBorder="1" applyAlignment="1">
      <alignment vertical="top" wrapText="1"/>
    </xf>
    <xf numFmtId="167" fontId="13" fillId="0" borderId="1" xfId="0" applyNumberFormat="1" applyFont="1" applyBorder="1" applyAlignment="1">
      <alignment vertical="top" wrapText="1"/>
    </xf>
    <xf numFmtId="167" fontId="13" fillId="0" borderId="1" xfId="0" applyNumberFormat="1" applyFont="1" applyBorder="1" applyAlignment="1">
      <alignment horizontal="left" vertical="top" wrapText="1"/>
    </xf>
    <xf numFmtId="0" fontId="19" fillId="0" borderId="3" xfId="0" applyFont="1" applyFill="1" applyBorder="1" applyAlignment="1">
      <alignment vertical="top" wrapText="1" shrinkToFit="1"/>
    </xf>
    <xf numFmtId="49" fontId="13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vertical="top"/>
    </xf>
    <xf numFmtId="4" fontId="13" fillId="0" borderId="1" xfId="0" applyNumberFormat="1" applyFont="1" applyBorder="1" applyAlignment="1">
      <alignment vertical="top" wrapText="1" shrinkToFit="1"/>
    </xf>
    <xf numFmtId="49" fontId="13" fillId="0" borderId="1" xfId="0" applyNumberFormat="1" applyFont="1" applyBorder="1" applyAlignment="1">
      <alignment horizontal="left" vertical="top" wrapText="1" shrinkToFit="1"/>
    </xf>
    <xf numFmtId="4" fontId="12" fillId="0" borderId="1" xfId="0" applyNumberFormat="1" applyFont="1" applyFill="1" applyBorder="1" applyAlignment="1">
      <alignment horizontal="left" vertical="top" wrapText="1" shrinkToFit="1"/>
    </xf>
    <xf numFmtId="49" fontId="13" fillId="0" borderId="6" xfId="0" applyNumberFormat="1" applyFont="1" applyFill="1" applyBorder="1" applyAlignment="1">
      <alignment vertical="top" wrapText="1"/>
    </xf>
    <xf numFmtId="49" fontId="47" fillId="0" borderId="3" xfId="0" applyNumberFormat="1" applyFont="1" applyFill="1" applyBorder="1" applyAlignment="1">
      <alignment vertical="top" wrapText="1"/>
    </xf>
    <xf numFmtId="49" fontId="50" fillId="0" borderId="1" xfId="0" applyNumberFormat="1" applyFont="1" applyFill="1" applyBorder="1" applyAlignment="1">
      <alignment vertical="top" wrapText="1" shrinkToFit="1"/>
    </xf>
    <xf numFmtId="49" fontId="44" fillId="0" borderId="6" xfId="0" applyNumberFormat="1" applyFont="1" applyFill="1" applyBorder="1" applyAlignment="1">
      <alignment vertical="top" wrapText="1"/>
    </xf>
    <xf numFmtId="49" fontId="19" fillId="0" borderId="4" xfId="0" applyNumberFormat="1" applyFont="1" applyBorder="1" applyAlignment="1">
      <alignment vertical="top" wrapText="1" shrinkToFit="1"/>
    </xf>
    <xf numFmtId="49" fontId="44" fillId="0" borderId="1" xfId="0" applyNumberFormat="1" applyFont="1" applyFill="1" applyBorder="1" applyAlignment="1">
      <alignment horizontal="left" vertical="top" wrapText="1"/>
    </xf>
    <xf numFmtId="0" fontId="19" fillId="0" borderId="1" xfId="0" applyNumberFormat="1" applyFont="1" applyFill="1" applyBorder="1" applyAlignment="1">
      <alignment horizontal="right" vertical="top" wrapText="1"/>
    </xf>
    <xf numFmtId="167" fontId="19" fillId="2" borderId="1" xfId="1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vertical="top"/>
    </xf>
    <xf numFmtId="0" fontId="19" fillId="0" borderId="1" xfId="10" applyNumberFormat="1" applyFont="1" applyFill="1" applyBorder="1" applyAlignment="1">
      <alignment horizontal="left" vertical="top" wrapText="1" shrinkToFit="1"/>
    </xf>
    <xf numFmtId="0" fontId="19" fillId="0" borderId="1" xfId="0" applyNumberFormat="1" applyFont="1" applyBorder="1" applyAlignment="1">
      <alignment horizontal="left" vertical="top" wrapText="1" shrinkToFit="1"/>
    </xf>
    <xf numFmtId="0" fontId="19" fillId="2" borderId="1" xfId="0" applyNumberFormat="1" applyFont="1" applyFill="1" applyBorder="1" applyAlignment="1">
      <alignment horizontal="left" vertical="top" wrapText="1" shrinkToFit="1"/>
    </xf>
    <xf numFmtId="0" fontId="13" fillId="0" borderId="1" xfId="0" applyNumberFormat="1" applyFont="1" applyFill="1" applyBorder="1" applyAlignment="1">
      <alignment horizontal="left" vertical="top" wrapText="1" shrinkToFit="1"/>
    </xf>
    <xf numFmtId="0" fontId="45" fillId="0" borderId="0" xfId="0" applyFont="1" applyFill="1"/>
    <xf numFmtId="0" fontId="45" fillId="0" borderId="0" xfId="0" applyFont="1"/>
    <xf numFmtId="167" fontId="18" fillId="0" borderId="1" xfId="0" applyNumberFormat="1" applyFont="1" applyBorder="1" applyAlignment="1">
      <alignment vertical="top" wrapText="1"/>
    </xf>
    <xf numFmtId="167" fontId="13" fillId="0" borderId="1" xfId="0" applyNumberFormat="1" applyFont="1" applyFill="1" applyBorder="1" applyAlignment="1">
      <alignment horizontal="left" vertical="top" wrapText="1"/>
    </xf>
    <xf numFmtId="49" fontId="53" fillId="0" borderId="0" xfId="0" applyNumberFormat="1" applyFont="1" applyAlignment="1">
      <alignment vertical="top" wrapText="1"/>
    </xf>
    <xf numFmtId="4" fontId="19" fillId="0" borderId="1" xfId="0" applyNumberFormat="1" applyFont="1" applyFill="1" applyBorder="1" applyAlignment="1">
      <alignment horizontal="left" vertical="top" wrapText="1" shrinkToFit="1"/>
    </xf>
    <xf numFmtId="49" fontId="19" fillId="2" borderId="5" xfId="0" applyNumberFormat="1" applyFont="1" applyFill="1" applyBorder="1" applyAlignment="1">
      <alignment horizontal="left" vertical="top" wrapText="1"/>
    </xf>
    <xf numFmtId="49" fontId="54" fillId="0" borderId="0" xfId="0" applyNumberFormat="1" applyFont="1" applyFill="1" applyAlignment="1">
      <alignment vertical="top" wrapText="1"/>
    </xf>
    <xf numFmtId="49" fontId="54" fillId="0" borderId="0" xfId="0" applyNumberFormat="1" applyFont="1" applyAlignment="1">
      <alignment vertical="top" wrapText="1"/>
    </xf>
    <xf numFmtId="0" fontId="56" fillId="0" borderId="1" xfId="0" applyFont="1" applyFill="1" applyBorder="1" applyAlignment="1">
      <alignment vertical="top" wrapText="1"/>
    </xf>
    <xf numFmtId="49" fontId="58" fillId="0" borderId="0" xfId="0" applyNumberFormat="1" applyFont="1" applyAlignment="1">
      <alignment vertical="top" wrapText="1"/>
    </xf>
    <xf numFmtId="49" fontId="58" fillId="0" borderId="1" xfId="0" applyNumberFormat="1" applyFont="1" applyFill="1" applyBorder="1" applyAlignment="1">
      <alignment vertical="top" wrapText="1"/>
    </xf>
    <xf numFmtId="49" fontId="58" fillId="0" borderId="0" xfId="0" applyNumberFormat="1" applyFont="1" applyFill="1" applyAlignment="1">
      <alignment vertical="top" wrapText="1"/>
    </xf>
    <xf numFmtId="49" fontId="60" fillId="0" borderId="0" xfId="0" applyNumberFormat="1" applyFont="1" applyAlignment="1">
      <alignment vertical="top" wrapText="1"/>
    </xf>
    <xf numFmtId="49" fontId="59" fillId="0" borderId="0" xfId="0" applyNumberFormat="1" applyFont="1" applyFill="1" applyAlignment="1">
      <alignment vertical="top" wrapText="1"/>
    </xf>
    <xf numFmtId="49" fontId="58" fillId="0" borderId="3" xfId="0" applyNumberFormat="1" applyFont="1" applyFill="1" applyBorder="1" applyAlignment="1">
      <alignment vertical="top" wrapText="1"/>
    </xf>
    <xf numFmtId="49" fontId="52" fillId="0" borderId="0" xfId="0" applyNumberFormat="1" applyFont="1" applyFill="1" applyAlignment="1">
      <alignment vertical="top" wrapText="1"/>
    </xf>
    <xf numFmtId="4" fontId="13" fillId="0" borderId="0" xfId="0" applyNumberFormat="1" applyFont="1" applyFill="1" applyAlignment="1">
      <alignment vertical="top" wrapText="1"/>
    </xf>
    <xf numFmtId="167" fontId="19" fillId="0" borderId="1" xfId="0" applyNumberFormat="1" applyFont="1" applyFill="1" applyBorder="1" applyAlignment="1">
      <alignment vertical="top" wrapText="1" shrinkToFit="1"/>
    </xf>
    <xf numFmtId="49" fontId="58" fillId="0" borderId="1" xfId="0" applyNumberFormat="1" applyFont="1" applyFill="1" applyBorder="1" applyAlignment="1">
      <alignment vertical="top" wrapText="1" shrinkToFit="1"/>
    </xf>
    <xf numFmtId="49" fontId="19" fillId="0" borderId="1" xfId="6" applyNumberFormat="1" applyFont="1" applyFill="1" applyBorder="1" applyAlignment="1">
      <alignment vertical="top" wrapText="1" shrinkToFit="1"/>
    </xf>
    <xf numFmtId="4" fontId="19" fillId="0" borderId="1" xfId="6" applyNumberFormat="1" applyFont="1" applyFill="1" applyBorder="1" applyAlignment="1">
      <alignment horizontal="right" vertical="top" wrapText="1" shrinkToFit="1"/>
    </xf>
    <xf numFmtId="49" fontId="19" fillId="0" borderId="1" xfId="10" applyNumberFormat="1" applyFont="1" applyFill="1" applyBorder="1" applyAlignment="1">
      <alignment vertical="top" wrapText="1" shrinkToFit="1"/>
    </xf>
    <xf numFmtId="49" fontId="58" fillId="0" borderId="1" xfId="8" applyNumberFormat="1" applyFont="1" applyFill="1" applyBorder="1" applyAlignment="1">
      <alignment vertical="top" wrapText="1" shrinkToFit="1"/>
    </xf>
    <xf numFmtId="167" fontId="19" fillId="0" borderId="1" xfId="0" applyNumberFormat="1" applyFont="1" applyFill="1" applyBorder="1" applyAlignment="1">
      <alignment horizontal="left" vertical="top" wrapText="1"/>
    </xf>
    <xf numFmtId="167" fontId="20" fillId="0" borderId="1" xfId="0" applyNumberFormat="1" applyFont="1" applyFill="1" applyBorder="1" applyAlignment="1">
      <alignment horizontal="left" vertical="top" wrapText="1"/>
    </xf>
    <xf numFmtId="167" fontId="13" fillId="0" borderId="1" xfId="0" applyNumberFormat="1" applyFont="1" applyBorder="1" applyAlignment="1">
      <alignment vertical="top" wrapText="1" shrinkToFit="1"/>
    </xf>
    <xf numFmtId="167" fontId="13" fillId="0" borderId="3" xfId="0" applyNumberFormat="1" applyFont="1" applyBorder="1" applyAlignment="1">
      <alignment horizontal="left" vertical="top" wrapText="1"/>
    </xf>
    <xf numFmtId="167" fontId="18" fillId="0" borderId="1" xfId="0" applyNumberFormat="1" applyFont="1" applyBorder="1" applyAlignment="1">
      <alignment horizontal="left" vertical="top" wrapText="1"/>
    </xf>
    <xf numFmtId="4" fontId="58" fillId="0" borderId="3" xfId="0" applyNumberFormat="1" applyFont="1" applyFill="1" applyBorder="1" applyAlignment="1">
      <alignment vertical="top" wrapText="1"/>
    </xf>
    <xf numFmtId="49" fontId="13" fillId="0" borderId="3" xfId="0" applyNumberFormat="1" applyFont="1" applyFill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49" fontId="25" fillId="0" borderId="1" xfId="0" applyNumberFormat="1" applyFont="1" applyFill="1" applyBorder="1" applyAlignment="1">
      <alignment horizontal="left" vertical="top" wrapText="1" shrinkToFit="1"/>
    </xf>
    <xf numFmtId="167" fontId="20" fillId="0" borderId="1" xfId="10" applyNumberFormat="1" applyFont="1" applyFill="1" applyBorder="1" applyAlignment="1">
      <alignment horizontal="left" vertical="top" wrapText="1" shrinkToFit="1"/>
    </xf>
    <xf numFmtId="49" fontId="19" fillId="2" borderId="3" xfId="0" applyNumberFormat="1" applyFont="1" applyFill="1" applyBorder="1" applyAlignment="1">
      <alignment vertical="top" wrapText="1" shrinkToFit="1"/>
    </xf>
    <xf numFmtId="49" fontId="19" fillId="2" borderId="4" xfId="0" applyNumberFormat="1" applyFont="1" applyFill="1" applyBorder="1" applyAlignment="1">
      <alignment vertical="top" wrapText="1" shrinkToFit="1"/>
    </xf>
    <xf numFmtId="49" fontId="19" fillId="2" borderId="5" xfId="0" applyNumberFormat="1" applyFont="1" applyFill="1" applyBorder="1" applyAlignment="1">
      <alignment vertical="top" wrapText="1" shrinkToFit="1"/>
    </xf>
    <xf numFmtId="49" fontId="64" fillId="0" borderId="0" xfId="0" applyNumberFormat="1" applyFont="1" applyAlignment="1">
      <alignment vertical="top" wrapText="1"/>
    </xf>
    <xf numFmtId="49" fontId="20" fillId="0" borderId="4" xfId="0" applyNumberFormat="1" applyFont="1" applyFill="1" applyBorder="1" applyAlignment="1">
      <alignment vertical="top" wrapText="1" shrinkToFit="1"/>
    </xf>
    <xf numFmtId="49" fontId="55" fillId="0" borderId="0" xfId="0" applyNumberFormat="1" applyFont="1" applyFill="1" applyAlignment="1">
      <alignment vertical="top" wrapText="1"/>
    </xf>
    <xf numFmtId="49" fontId="12" fillId="0" borderId="1" xfId="0" applyNumberFormat="1" applyFont="1" applyFill="1" applyBorder="1" applyAlignment="1">
      <alignment vertical="top" wrapText="1" shrinkToFit="1"/>
    </xf>
    <xf numFmtId="4" fontId="12" fillId="0" borderId="1" xfId="0" applyNumberFormat="1" applyFont="1" applyFill="1" applyBorder="1" applyAlignment="1">
      <alignment vertical="top" wrapText="1"/>
    </xf>
    <xf numFmtId="49" fontId="13" fillId="0" borderId="3" xfId="0" applyNumberFormat="1" applyFont="1" applyFill="1" applyBorder="1" applyAlignment="1">
      <alignment vertical="top" wrapText="1" shrinkToFit="1"/>
    </xf>
    <xf numFmtId="49" fontId="63" fillId="0" borderId="0" xfId="0" applyNumberFormat="1" applyFont="1" applyFill="1" applyAlignment="1">
      <alignment vertical="top" wrapText="1"/>
    </xf>
    <xf numFmtId="167" fontId="19" fillId="0" borderId="5" xfId="0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Fill="1" applyBorder="1" applyAlignment="1">
      <alignment horizontal="left" vertical="top" wrapText="1" shrinkToFit="1"/>
    </xf>
    <xf numFmtId="49" fontId="19" fillId="0" borderId="5" xfId="8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Fill="1" applyBorder="1" applyAlignment="1">
      <alignment horizontal="right" vertical="top" wrapText="1"/>
    </xf>
    <xf numFmtId="49" fontId="19" fillId="0" borderId="3" xfId="0" applyNumberFormat="1" applyFont="1" applyBorder="1" applyAlignment="1">
      <alignment vertical="top" wrapText="1" shrinkToFit="1"/>
    </xf>
    <xf numFmtId="49" fontId="19" fillId="0" borderId="5" xfId="0" applyNumberFormat="1" applyFont="1" applyBorder="1" applyAlignment="1">
      <alignment vertical="top" wrapText="1" shrinkToFit="1"/>
    </xf>
    <xf numFmtId="4" fontId="19" fillId="0" borderId="1" xfId="0" applyNumberFormat="1" applyFont="1" applyBorder="1" applyAlignment="1">
      <alignment horizontal="left" vertical="top" wrapText="1" shrinkToFit="1"/>
    </xf>
    <xf numFmtId="46" fontId="56" fillId="0" borderId="1" xfId="0" applyNumberFormat="1" applyFont="1" applyFill="1" applyBorder="1" applyAlignment="1">
      <alignment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49" fontId="19" fillId="0" borderId="6" xfId="0" applyNumberFormat="1" applyFont="1" applyFill="1" applyBorder="1" applyAlignment="1">
      <alignment vertical="top" wrapText="1" shrinkToFit="1"/>
    </xf>
    <xf numFmtId="4" fontId="19" fillId="0" borderId="1" xfId="0" applyNumberFormat="1" applyFont="1" applyFill="1" applyBorder="1" applyAlignment="1">
      <alignment horizontal="left" vertical="top"/>
    </xf>
    <xf numFmtId="49" fontId="19" fillId="0" borderId="4" xfId="8" applyNumberFormat="1" applyFont="1" applyFill="1" applyBorder="1" applyAlignment="1">
      <alignment vertical="top" wrapText="1" shrinkToFit="1"/>
    </xf>
    <xf numFmtId="4" fontId="19" fillId="0" borderId="4" xfId="0" applyNumberFormat="1" applyFont="1" applyFill="1" applyBorder="1" applyAlignment="1">
      <alignment vertical="top" wrapText="1"/>
    </xf>
    <xf numFmtId="49" fontId="19" fillId="2" borderId="1" xfId="10" applyNumberFormat="1" applyFont="1" applyFill="1" applyBorder="1" applyAlignment="1">
      <alignment vertical="top" wrapText="1" shrinkToFit="1"/>
    </xf>
    <xf numFmtId="49" fontId="42" fillId="0" borderId="1" xfId="0" applyNumberFormat="1" applyFont="1" applyBorder="1" applyAlignment="1">
      <alignment vertical="top" wrapText="1"/>
    </xf>
    <xf numFmtId="167" fontId="42" fillId="0" borderId="6" xfId="0" applyNumberFormat="1" applyFont="1" applyBorder="1" applyAlignment="1">
      <alignment vertical="top" wrapText="1"/>
    </xf>
    <xf numFmtId="49" fontId="19" fillId="2" borderId="3" xfId="0" applyNumberFormat="1" applyFont="1" applyFill="1" applyBorder="1" applyAlignment="1">
      <alignment horizontal="left" vertical="top" wrapText="1"/>
    </xf>
    <xf numFmtId="167" fontId="42" fillId="0" borderId="1" xfId="0" applyNumberFormat="1" applyFont="1" applyBorder="1" applyAlignment="1">
      <alignment vertical="top" wrapText="1"/>
    </xf>
    <xf numFmtId="4" fontId="58" fillId="0" borderId="1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61" fillId="0" borderId="0" xfId="0" applyFont="1" applyBorder="1" applyAlignment="1">
      <alignment horizontal="center" vertical="top" wrapText="1"/>
    </xf>
    <xf numFmtId="4" fontId="58" fillId="0" borderId="1" xfId="0" applyNumberFormat="1" applyFont="1" applyFill="1" applyBorder="1" applyAlignment="1">
      <alignment horizontal="right" vertical="top" wrapText="1"/>
    </xf>
    <xf numFmtId="49" fontId="58" fillId="0" borderId="2" xfId="0" applyNumberFormat="1" applyFont="1" applyFill="1" applyBorder="1" applyAlignment="1">
      <alignment horizontal="left" vertical="top" wrapText="1"/>
    </xf>
    <xf numFmtId="49" fontId="58" fillId="0" borderId="14" xfId="0" applyNumberFormat="1" applyFont="1" applyFill="1" applyBorder="1" applyAlignment="1">
      <alignment horizontal="left" vertical="top" wrapText="1"/>
    </xf>
    <xf numFmtId="49" fontId="58" fillId="0" borderId="2" xfId="0" applyNumberFormat="1" applyFont="1" applyFill="1" applyBorder="1" applyAlignment="1">
      <alignment vertical="top" wrapText="1"/>
    </xf>
    <xf numFmtId="4" fontId="48" fillId="0" borderId="9" xfId="18" applyNumberFormat="1" applyFont="1" applyFill="1" applyBorder="1" applyAlignment="1">
      <alignment vertical="top" wrapText="1" shrinkToFit="1"/>
    </xf>
    <xf numFmtId="49" fontId="13" fillId="0" borderId="14" xfId="0" applyNumberFormat="1" applyFont="1" applyFill="1" applyBorder="1" applyAlignment="1">
      <alignment vertical="top" wrapText="1"/>
    </xf>
    <xf numFmtId="49" fontId="13" fillId="0" borderId="9" xfId="0" applyNumberFormat="1" applyFont="1" applyFill="1" applyBorder="1" applyAlignment="1">
      <alignment vertical="top" wrapText="1"/>
    </xf>
    <xf numFmtId="49" fontId="44" fillId="0" borderId="1" xfId="0" applyNumberFormat="1" applyFont="1" applyBorder="1" applyAlignment="1">
      <alignment vertical="top" wrapText="1"/>
    </xf>
    <xf numFmtId="2" fontId="42" fillId="0" borderId="1" xfId="0" applyNumberFormat="1" applyFont="1" applyBorder="1" applyAlignment="1">
      <alignment horizontal="left" vertical="top" wrapText="1"/>
    </xf>
    <xf numFmtId="4" fontId="12" fillId="0" borderId="1" xfId="0" applyNumberFormat="1" applyFont="1" applyBorder="1"/>
    <xf numFmtId="4" fontId="46" fillId="0" borderId="0" xfId="26" applyNumberFormat="1" applyFont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0" xfId="0" applyNumberFormat="1" applyFont="1" applyAlignment="1">
      <alignment horizontal="center" vertical="top" wrapText="1"/>
    </xf>
    <xf numFmtId="49" fontId="63" fillId="0" borderId="0" xfId="0" applyNumberFormat="1" applyFont="1" applyAlignment="1">
      <alignment vertical="top" wrapText="1"/>
    </xf>
    <xf numFmtId="49" fontId="63" fillId="2" borderId="0" xfId="0" applyNumberFormat="1" applyFont="1" applyFill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66" fillId="0" borderId="0" xfId="0" applyFont="1" applyFill="1"/>
    <xf numFmtId="0" fontId="19" fillId="0" borderId="1" xfId="0" applyFont="1" applyFill="1" applyBorder="1" applyAlignment="1">
      <alignment horizontal="left" vertical="top" wrapText="1" shrinkToFit="1"/>
    </xf>
    <xf numFmtId="49" fontId="69" fillId="0" borderId="0" xfId="0" applyNumberFormat="1" applyFont="1" applyFill="1" applyAlignment="1">
      <alignment vertical="top" wrapText="1"/>
    </xf>
    <xf numFmtId="0" fontId="65" fillId="0" borderId="0" xfId="0" applyFont="1" applyFill="1"/>
    <xf numFmtId="0" fontId="65" fillId="0" borderId="0" xfId="0" applyFont="1"/>
    <xf numFmtId="49" fontId="42" fillId="0" borderId="6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19" fillId="0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49" fontId="13" fillId="0" borderId="0" xfId="0" applyNumberFormat="1" applyFont="1" applyFill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top" wrapText="1"/>
    </xf>
    <xf numFmtId="0" fontId="56" fillId="0" borderId="3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top" wrapText="1"/>
    </xf>
    <xf numFmtId="14" fontId="56" fillId="0" borderId="1" xfId="0" applyNumberFormat="1" applyFont="1" applyFill="1" applyBorder="1" applyAlignment="1">
      <alignment vertical="top" wrapText="1"/>
    </xf>
    <xf numFmtId="0" fontId="71" fillId="0" borderId="1" xfId="0" applyFont="1" applyFill="1" applyBorder="1" applyAlignment="1">
      <alignment vertical="top" wrapText="1"/>
    </xf>
    <xf numFmtId="0" fontId="56" fillId="0" borderId="5" xfId="0" applyFont="1" applyFill="1" applyBorder="1" applyAlignment="1">
      <alignment vertical="top" wrapText="1"/>
    </xf>
    <xf numFmtId="167" fontId="56" fillId="0" borderId="1" xfId="0" applyNumberFormat="1" applyFont="1" applyFill="1" applyBorder="1" applyAlignment="1">
      <alignment vertical="top" wrapText="1"/>
    </xf>
    <xf numFmtId="4" fontId="56" fillId="0" borderId="1" xfId="0" applyNumberFormat="1" applyFont="1" applyFill="1" applyBorder="1" applyAlignment="1">
      <alignment vertical="top" wrapText="1"/>
    </xf>
    <xf numFmtId="4" fontId="56" fillId="0" borderId="1" xfId="0" applyNumberFormat="1" applyFont="1" applyFill="1" applyBorder="1" applyAlignment="1">
      <alignment horizontal="right" vertical="top" wrapText="1"/>
    </xf>
    <xf numFmtId="4" fontId="56" fillId="0" borderId="1" xfId="0" applyNumberFormat="1" applyFont="1" applyFill="1" applyBorder="1" applyAlignment="1">
      <alignment horizontal="left" vertical="top" wrapText="1"/>
    </xf>
    <xf numFmtId="4" fontId="56" fillId="0" borderId="1" xfId="0" applyNumberFormat="1" applyFont="1" applyBorder="1" applyAlignment="1">
      <alignment vertical="top" wrapText="1"/>
    </xf>
    <xf numFmtId="4" fontId="56" fillId="0" borderId="3" xfId="0" applyNumberFormat="1" applyFont="1" applyFill="1" applyBorder="1" applyAlignment="1">
      <alignment vertical="top" wrapText="1"/>
    </xf>
    <xf numFmtId="0" fontId="56" fillId="0" borderId="2" xfId="0" applyFont="1" applyFill="1" applyBorder="1" applyAlignment="1">
      <alignment vertical="top" wrapText="1"/>
    </xf>
    <xf numFmtId="0" fontId="56" fillId="0" borderId="0" xfId="0" applyFont="1" applyFill="1" applyAlignment="1">
      <alignment vertical="top" wrapText="1"/>
    </xf>
    <xf numFmtId="49" fontId="70" fillId="3" borderId="1" xfId="0" applyNumberFormat="1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horizontal="center" vertical="top" wrapText="1"/>
    </xf>
    <xf numFmtId="2" fontId="70" fillId="3" borderId="1" xfId="0" applyNumberFormat="1" applyFont="1" applyFill="1" applyBorder="1" applyAlignment="1">
      <alignment horizontal="center" vertical="top" wrapText="1"/>
    </xf>
    <xf numFmtId="49" fontId="14" fillId="0" borderId="5" xfId="0" applyNumberFormat="1" applyFont="1" applyBorder="1" applyAlignment="1">
      <alignment vertical="top" wrapText="1"/>
    </xf>
    <xf numFmtId="49" fontId="18" fillId="0" borderId="10" xfId="0" applyNumberFormat="1" applyFont="1" applyFill="1" applyBorder="1" applyAlignment="1">
      <alignment vertical="top" wrapText="1"/>
    </xf>
    <xf numFmtId="49" fontId="18" fillId="0" borderId="10" xfId="0" applyNumberFormat="1" applyFont="1" applyBorder="1" applyAlignment="1">
      <alignment vertical="top" wrapText="1"/>
    </xf>
    <xf numFmtId="49" fontId="18" fillId="0" borderId="11" xfId="0" applyNumberFormat="1" applyFont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center" vertical="top" wrapText="1"/>
    </xf>
    <xf numFmtId="0" fontId="11" fillId="0" borderId="1" xfId="0" applyFont="1" applyBorder="1" applyAlignment="1"/>
    <xf numFmtId="49" fontId="13" fillId="0" borderId="1" xfId="0" applyNumberFormat="1" applyFont="1" applyBorder="1" applyAlignment="1">
      <alignment horizontal="center" vertical="top" wrapText="1" shrinkToFit="1"/>
    </xf>
    <xf numFmtId="167" fontId="19" fillId="0" borderId="1" xfId="10" applyNumberFormat="1" applyFont="1" applyFill="1" applyBorder="1" applyAlignment="1">
      <alignment horizontal="center" vertical="top" wrapText="1" shrinkToFit="1"/>
    </xf>
    <xf numFmtId="4" fontId="19" fillId="0" borderId="1" xfId="10" applyNumberFormat="1" applyFont="1" applyFill="1" applyBorder="1" applyAlignment="1">
      <alignment horizontal="center" vertical="top" wrapText="1" shrinkToFit="1"/>
    </xf>
    <xf numFmtId="167" fontId="19" fillId="0" borderId="1" xfId="10" applyNumberFormat="1" applyFont="1" applyBorder="1" applyAlignment="1">
      <alignment horizontal="center" vertical="top" wrapText="1" shrinkToFit="1"/>
    </xf>
    <xf numFmtId="49" fontId="19" fillId="0" borderId="1" xfId="0" applyNumberFormat="1" applyFont="1" applyBorder="1" applyAlignment="1">
      <alignment horizontal="center" vertical="top" wrapText="1" shrinkToFit="1"/>
    </xf>
    <xf numFmtId="0" fontId="19" fillId="0" borderId="1" xfId="10" applyNumberFormat="1" applyFont="1" applyFill="1" applyBorder="1" applyAlignment="1">
      <alignment horizontal="center" vertical="top" wrapText="1" shrinkToFit="1"/>
    </xf>
    <xf numFmtId="4" fontId="19" fillId="0" borderId="1" xfId="10" applyNumberFormat="1" applyFont="1" applyBorder="1" applyAlignment="1">
      <alignment horizontal="center" vertical="top" wrapText="1" shrinkToFit="1"/>
    </xf>
    <xf numFmtId="167" fontId="13" fillId="0" borderId="1" xfId="10" applyNumberFormat="1" applyFont="1" applyFill="1" applyBorder="1" applyAlignment="1">
      <alignment horizontal="center" vertical="top" wrapText="1" shrinkToFit="1"/>
    </xf>
    <xf numFmtId="49" fontId="19" fillId="0" borderId="1" xfId="6" applyNumberFormat="1" applyFont="1" applyFill="1" applyBorder="1" applyAlignment="1">
      <alignment horizontal="center" vertical="top" wrapText="1" shrinkToFit="1"/>
    </xf>
    <xf numFmtId="167" fontId="19" fillId="0" borderId="1" xfId="6" applyNumberFormat="1" applyFont="1" applyFill="1" applyBorder="1" applyAlignment="1">
      <alignment horizontal="center" vertical="top" wrapText="1" shrinkToFit="1"/>
    </xf>
    <xf numFmtId="167" fontId="13" fillId="0" borderId="1" xfId="0" applyNumberFormat="1" applyFont="1" applyBorder="1" applyAlignment="1">
      <alignment horizontal="center" vertical="top" wrapText="1"/>
    </xf>
    <xf numFmtId="167" fontId="19" fillId="0" borderId="1" xfId="0" applyNumberFormat="1" applyFont="1" applyFill="1" applyBorder="1" applyAlignment="1">
      <alignment horizontal="center" vertical="top" wrapText="1" shrinkToFit="1"/>
    </xf>
    <xf numFmtId="167" fontId="19" fillId="2" borderId="1" xfId="10" applyNumberFormat="1" applyFont="1" applyFill="1" applyBorder="1" applyAlignment="1">
      <alignment horizontal="center" vertical="top" wrapText="1" shrinkToFit="1"/>
    </xf>
    <xf numFmtId="49" fontId="19" fillId="2" borderId="1" xfId="0" applyNumberFormat="1" applyFont="1" applyFill="1" applyBorder="1" applyAlignment="1">
      <alignment horizontal="center" vertical="top" wrapText="1"/>
    </xf>
    <xf numFmtId="168" fontId="19" fillId="0" borderId="1" xfId="10" applyNumberFormat="1" applyFont="1" applyFill="1" applyBorder="1" applyAlignment="1">
      <alignment horizontal="center" vertical="top" wrapText="1" shrinkToFit="1"/>
    </xf>
    <xf numFmtId="4" fontId="19" fillId="2" borderId="1" xfId="10" applyNumberFormat="1" applyFont="1" applyFill="1" applyBorder="1" applyAlignment="1">
      <alignment horizontal="center" vertical="top" wrapText="1" shrinkToFit="1"/>
    </xf>
    <xf numFmtId="4" fontId="13" fillId="0" borderId="1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 shrinkToFit="1"/>
    </xf>
    <xf numFmtId="49" fontId="58" fillId="0" borderId="1" xfId="0" applyNumberFormat="1" applyFont="1" applyFill="1" applyBorder="1" applyAlignment="1">
      <alignment horizontal="center" vertical="top" wrapText="1" shrinkToFit="1"/>
    </xf>
    <xf numFmtId="49" fontId="19" fillId="0" borderId="3" xfId="0" applyNumberFormat="1" applyFont="1" applyFill="1" applyBorder="1" applyAlignment="1">
      <alignment horizontal="center" vertical="top" wrapText="1" shrinkToFit="1"/>
    </xf>
    <xf numFmtId="0" fontId="19" fillId="0" borderId="1" xfId="0" applyFont="1" applyFill="1" applyBorder="1" applyAlignment="1">
      <alignment horizontal="center" vertical="top" wrapText="1" shrinkToFi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167" fontId="13" fillId="0" borderId="1" xfId="0" applyNumberFormat="1" applyFont="1" applyBorder="1" applyAlignment="1">
      <alignment horizontal="center" vertical="top" wrapText="1" shrinkToFit="1"/>
    </xf>
    <xf numFmtId="49" fontId="44" fillId="0" borderId="1" xfId="0" applyNumberFormat="1" applyFont="1" applyBorder="1" applyAlignment="1">
      <alignment horizontal="center" vertical="top" wrapText="1" shrinkToFit="1"/>
    </xf>
    <xf numFmtId="4" fontId="13" fillId="0" borderId="1" xfId="0" applyNumberFormat="1" applyFont="1" applyFill="1" applyBorder="1" applyAlignment="1">
      <alignment horizontal="center" vertical="top" wrapText="1" shrinkToFit="1"/>
    </xf>
    <xf numFmtId="167" fontId="13" fillId="0" borderId="1" xfId="0" applyNumberFormat="1" applyFont="1" applyFill="1" applyBorder="1" applyAlignment="1">
      <alignment horizontal="center" vertical="top" wrapText="1" shrinkToFit="1"/>
    </xf>
    <xf numFmtId="4" fontId="19" fillId="0" borderId="1" xfId="0" applyNumberFormat="1" applyFont="1" applyFill="1" applyBorder="1" applyAlignment="1">
      <alignment horizontal="center" vertical="top" wrapText="1" shrinkToFit="1"/>
    </xf>
    <xf numFmtId="49" fontId="44" fillId="0" borderId="1" xfId="0" applyNumberFormat="1" applyFont="1" applyFill="1" applyBorder="1" applyAlignment="1">
      <alignment horizontal="center" vertical="top" wrapText="1" shrinkToFit="1"/>
    </xf>
    <xf numFmtId="49" fontId="12" fillId="0" borderId="1" xfId="0" applyNumberFormat="1" applyFont="1" applyFill="1" applyBorder="1" applyAlignment="1">
      <alignment horizontal="center" vertical="top" wrapText="1" shrinkToFit="1"/>
    </xf>
    <xf numFmtId="49" fontId="44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top" wrapText="1"/>
    </xf>
    <xf numFmtId="167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 wrapText="1" shrinkToFit="1"/>
    </xf>
    <xf numFmtId="14" fontId="19" fillId="0" borderId="3" xfId="0" applyNumberFormat="1" applyFont="1" applyFill="1" applyBorder="1" applyAlignment="1">
      <alignment horizontal="center" vertical="top" wrapText="1" shrinkToFit="1"/>
    </xf>
    <xf numFmtId="14" fontId="19" fillId="0" borderId="1" xfId="0" applyNumberFormat="1" applyFont="1" applyFill="1" applyBorder="1" applyAlignment="1">
      <alignment horizontal="center" vertical="top" wrapText="1" shrinkToFit="1"/>
    </xf>
    <xf numFmtId="49" fontId="13" fillId="0" borderId="6" xfId="0" applyNumberFormat="1" applyFont="1" applyFill="1" applyBorder="1" applyAlignment="1">
      <alignment horizontal="center" vertical="top" wrapText="1"/>
    </xf>
    <xf numFmtId="4" fontId="56" fillId="0" borderId="1" xfId="0" applyNumberFormat="1" applyFont="1" applyFill="1" applyBorder="1" applyAlignment="1">
      <alignment vertical="top" wrapText="1" shrinkToFit="1"/>
    </xf>
    <xf numFmtId="0" fontId="56" fillId="0" borderId="1" xfId="0" applyFont="1" applyFill="1" applyBorder="1" applyAlignment="1">
      <alignment horizontal="right" vertical="top" wrapText="1"/>
    </xf>
    <xf numFmtId="0" fontId="56" fillId="0" borderId="1" xfId="0" applyNumberFormat="1" applyFont="1" applyFill="1" applyBorder="1" applyAlignment="1">
      <alignment vertical="top" wrapText="1"/>
    </xf>
    <xf numFmtId="167" fontId="19" fillId="0" borderId="3" xfId="0" applyNumberFormat="1" applyFont="1" applyFill="1" applyBorder="1" applyAlignment="1">
      <alignment horizontal="left" vertical="top" wrapText="1" shrinkToFit="1"/>
    </xf>
    <xf numFmtId="49" fontId="13" fillId="0" borderId="0" xfId="0" applyNumberFormat="1" applyFont="1" applyAlignment="1">
      <alignment horizontal="center" vertical="top" wrapText="1"/>
    </xf>
    <xf numFmtId="0" fontId="56" fillId="0" borderId="1" xfId="0" applyNumberFormat="1" applyFont="1" applyFill="1" applyBorder="1" applyAlignment="1">
      <alignment horizontal="center" vertical="top" wrapText="1"/>
    </xf>
    <xf numFmtId="0" fontId="56" fillId="0" borderId="1" xfId="0" applyNumberFormat="1" applyFont="1" applyFill="1" applyBorder="1" applyAlignment="1">
      <alignment vertical="top" wrapText="1" shrinkToFit="1"/>
    </xf>
    <xf numFmtId="0" fontId="17" fillId="0" borderId="1" xfId="0" applyFont="1" applyFill="1" applyBorder="1" applyAlignment="1">
      <alignment vertical="top"/>
    </xf>
    <xf numFmtId="2" fontId="56" fillId="0" borderId="0" xfId="0" applyNumberFormat="1" applyFont="1" applyFill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4" fontId="14" fillId="0" borderId="3" xfId="0" applyNumberFormat="1" applyFont="1" applyFill="1" applyBorder="1" applyAlignment="1">
      <alignment vertical="top" wrapText="1"/>
    </xf>
    <xf numFmtId="49" fontId="56" fillId="0" borderId="0" xfId="0" applyNumberFormat="1" applyFont="1" applyAlignment="1">
      <alignment vertical="top" wrapText="1"/>
    </xf>
    <xf numFmtId="0" fontId="56" fillId="0" borderId="0" xfId="0" applyFont="1" applyAlignment="1">
      <alignment vertical="top" wrapText="1"/>
    </xf>
    <xf numFmtId="0" fontId="56" fillId="0" borderId="0" xfId="0" applyFont="1" applyFill="1" applyAlignment="1">
      <alignment horizontal="center" vertical="top" wrapText="1"/>
    </xf>
    <xf numFmtId="0" fontId="56" fillId="0" borderId="0" xfId="0" applyNumberFormat="1" applyFont="1" applyFill="1" applyAlignment="1">
      <alignment horizontal="center" vertical="top" wrapText="1"/>
    </xf>
    <xf numFmtId="49" fontId="70" fillId="4" borderId="1" xfId="0" applyNumberFormat="1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right" vertical="top" wrapText="1" shrinkToFit="1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49" fontId="62" fillId="0" borderId="1" xfId="0" applyNumberFormat="1" applyFont="1" applyFill="1" applyBorder="1" applyAlignment="1">
      <alignment vertical="top" wrapText="1" shrinkToFit="1"/>
    </xf>
    <xf numFmtId="49" fontId="0" fillId="0" borderId="1" xfId="0" applyNumberFormat="1" applyFont="1" applyFill="1" applyBorder="1" applyAlignment="1">
      <alignment vertical="top" wrapText="1" shrinkToFit="1"/>
    </xf>
    <xf numFmtId="0" fontId="58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58" fillId="0" borderId="1" xfId="0" applyFont="1" applyFill="1" applyBorder="1" applyAlignment="1">
      <alignment horizontal="left" vertical="top" wrapText="1" shrinkToFit="1"/>
    </xf>
    <xf numFmtId="4" fontId="14" fillId="0" borderId="3" xfId="0" applyNumberFormat="1" applyFont="1" applyBorder="1" applyAlignment="1">
      <alignment vertical="top" wrapText="1"/>
    </xf>
    <xf numFmtId="0" fontId="72" fillId="0" borderId="0" xfId="0" applyFont="1" applyFill="1" applyBorder="1" applyAlignment="1">
      <alignment vertical="top" wrapText="1"/>
    </xf>
    <xf numFmtId="2" fontId="70" fillId="0" borderId="0" xfId="0" applyNumberFormat="1" applyFont="1" applyFill="1" applyAlignment="1">
      <alignment vertical="top" wrapText="1"/>
    </xf>
    <xf numFmtId="0" fontId="70" fillId="0" borderId="0" xfId="0" applyFont="1" applyAlignment="1">
      <alignment vertical="top" wrapText="1"/>
    </xf>
    <xf numFmtId="49" fontId="19" fillId="0" borderId="9" xfId="0" applyNumberFormat="1" applyFont="1" applyFill="1" applyBorder="1" applyAlignment="1">
      <alignment vertical="top" wrapText="1" shrinkToFit="1"/>
    </xf>
    <xf numFmtId="49" fontId="19" fillId="2" borderId="5" xfId="9" applyNumberFormat="1" applyFont="1" applyFill="1" applyBorder="1" applyAlignment="1">
      <alignment vertical="top" wrapText="1" shrinkToFit="1"/>
    </xf>
    <xf numFmtId="0" fontId="73" fillId="0" borderId="0" xfId="0" applyFont="1" applyAlignment="1">
      <alignment horizontal="center"/>
    </xf>
    <xf numFmtId="0" fontId="74" fillId="0" borderId="0" xfId="0" applyFont="1"/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7" fillId="0" borderId="0" xfId="0" applyFont="1"/>
    <xf numFmtId="0" fontId="25" fillId="0" borderId="0" xfId="0" applyFont="1" applyAlignment="1">
      <alignment vertical="top"/>
    </xf>
    <xf numFmtId="49" fontId="19" fillId="2" borderId="2" xfId="0" applyNumberFormat="1" applyFont="1" applyFill="1" applyBorder="1" applyAlignment="1">
      <alignment vertical="top" wrapText="1"/>
    </xf>
    <xf numFmtId="49" fontId="19" fillId="2" borderId="6" xfId="0" applyNumberFormat="1" applyFont="1" applyFill="1" applyBorder="1" applyAlignment="1">
      <alignment vertical="top" wrapText="1"/>
    </xf>
    <xf numFmtId="167" fontId="19" fillId="0" borderId="3" xfId="0" applyNumberFormat="1" applyFont="1" applyBorder="1" applyAlignment="1">
      <alignment horizontal="left" vertical="top" wrapText="1" shrinkToFit="1"/>
    </xf>
    <xf numFmtId="167" fontId="19" fillId="0" borderId="3" xfId="0" applyNumberFormat="1" applyFont="1" applyFill="1" applyBorder="1" applyAlignment="1">
      <alignment horizontal="left" vertical="top" wrapText="1"/>
    </xf>
    <xf numFmtId="167" fontId="13" fillId="0" borderId="3" xfId="0" applyNumberFormat="1" applyFont="1" applyFill="1" applyBorder="1" applyAlignment="1">
      <alignment horizontal="left" vertical="top" wrapText="1"/>
    </xf>
    <xf numFmtId="49" fontId="58" fillId="0" borderId="3" xfId="0" applyNumberFormat="1" applyFont="1" applyFill="1" applyBorder="1" applyAlignment="1">
      <alignment vertical="top" wrapText="1" shrinkToFit="1"/>
    </xf>
    <xf numFmtId="49" fontId="19" fillId="0" borderId="2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top" wrapText="1"/>
    </xf>
    <xf numFmtId="49" fontId="58" fillId="0" borderId="1" xfId="9" applyNumberFormat="1" applyFont="1" applyFill="1" applyBorder="1" applyAlignment="1">
      <alignment vertical="top" wrapText="1" shrinkToFit="1"/>
    </xf>
    <xf numFmtId="49" fontId="13" fillId="0" borderId="1" xfId="8" applyNumberFormat="1" applyFont="1" applyFill="1" applyBorder="1" applyAlignment="1">
      <alignment horizontal="left" vertical="top" wrapText="1" shrinkToFit="1"/>
    </xf>
    <xf numFmtId="0" fontId="58" fillId="0" borderId="14" xfId="0" applyNumberFormat="1" applyFont="1" applyFill="1" applyBorder="1" applyAlignment="1">
      <alignment horizontal="left" vertical="top" wrapText="1"/>
    </xf>
    <xf numFmtId="49" fontId="19" fillId="0" borderId="3" xfId="19" applyNumberFormat="1" applyFont="1" applyFill="1" applyBorder="1" applyAlignment="1">
      <alignment vertical="top" wrapText="1" shrinkToFit="1"/>
    </xf>
    <xf numFmtId="0" fontId="13" fillId="0" borderId="2" xfId="0" applyNumberFormat="1" applyFont="1" applyFill="1" applyBorder="1" applyAlignment="1">
      <alignment horizontal="left" vertical="top" wrapText="1"/>
    </xf>
    <xf numFmtId="4" fontId="48" fillId="0" borderId="6" xfId="18" applyNumberFormat="1" applyFont="1" applyFill="1" applyBorder="1" applyAlignment="1">
      <alignment vertical="top" wrapText="1" shrinkToFit="1"/>
    </xf>
    <xf numFmtId="49" fontId="58" fillId="0" borderId="1" xfId="0" applyNumberFormat="1" applyFont="1" applyBorder="1" applyAlignment="1">
      <alignment vertical="top" wrapText="1"/>
    </xf>
    <xf numFmtId="49" fontId="13" fillId="0" borderId="2" xfId="0" applyNumberFormat="1" applyFont="1" applyFill="1" applyBorder="1" applyAlignment="1">
      <alignment vertical="top" wrapText="1" shrinkToFit="1"/>
    </xf>
    <xf numFmtId="49" fontId="48" fillId="0" borderId="2" xfId="21" applyNumberFormat="1" applyFont="1" applyFill="1" applyBorder="1" applyAlignment="1">
      <alignment horizontal="left" vertical="top" wrapText="1" shrinkToFit="1"/>
    </xf>
    <xf numFmtId="4" fontId="13" fillId="0" borderId="3" xfId="0" applyNumberFormat="1" applyFont="1" applyFill="1" applyBorder="1" applyAlignment="1">
      <alignment horizontal="left" vertical="top" wrapText="1"/>
    </xf>
    <xf numFmtId="167" fontId="13" fillId="0" borderId="1" xfId="0" applyNumberFormat="1" applyFont="1" applyFill="1" applyBorder="1" applyAlignment="1">
      <alignment vertical="top" wrapText="1"/>
    </xf>
    <xf numFmtId="0" fontId="19" fillId="0" borderId="1" xfId="0" applyNumberFormat="1" applyFont="1" applyFill="1" applyBorder="1" applyAlignment="1">
      <alignment horizontal="center" vertical="top" wrapText="1" shrinkToFit="1"/>
    </xf>
    <xf numFmtId="167" fontId="58" fillId="0" borderId="1" xfId="0" applyNumberFormat="1" applyFont="1" applyFill="1" applyBorder="1" applyAlignment="1">
      <alignment horizontal="center" vertical="top" wrapText="1" shrinkToFit="1"/>
    </xf>
    <xf numFmtId="49" fontId="12" fillId="0" borderId="1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 shrinkToFit="1"/>
    </xf>
    <xf numFmtId="4" fontId="19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9" fillId="0" borderId="5" xfId="0" applyNumberFormat="1" applyFont="1" applyBorder="1" applyAlignment="1">
      <alignment horizontal="center" vertical="top" wrapText="1" shrinkToFit="1"/>
    </xf>
    <xf numFmtId="49" fontId="42" fillId="0" borderId="5" xfId="0" applyNumberFormat="1" applyFont="1" applyBorder="1" applyAlignment="1">
      <alignment horizontal="center" vertical="top" wrapText="1" shrinkToFit="1"/>
    </xf>
    <xf numFmtId="0" fontId="13" fillId="0" borderId="14" xfId="0" applyFont="1" applyFill="1" applyBorder="1" applyAlignment="1">
      <alignment vertical="top" wrapText="1"/>
    </xf>
    <xf numFmtId="4" fontId="13" fillId="0" borderId="3" xfId="0" applyNumberFormat="1" applyFont="1" applyBorder="1" applyAlignment="1">
      <alignment horizontal="left" vertical="top" wrapText="1"/>
    </xf>
    <xf numFmtId="4" fontId="20" fillId="0" borderId="1" xfId="0" applyNumberFormat="1" applyFont="1" applyFill="1" applyBorder="1" applyAlignment="1">
      <alignment horizontal="left" vertical="top" wrapText="1"/>
    </xf>
    <xf numFmtId="49" fontId="20" fillId="0" borderId="1" xfId="0" applyNumberFormat="1" applyFont="1" applyFill="1" applyBorder="1" applyAlignment="1">
      <alignment horizontal="left" vertical="top" wrapText="1"/>
    </xf>
    <xf numFmtId="2" fontId="19" fillId="0" borderId="1" xfId="0" applyNumberFormat="1" applyFont="1" applyFill="1" applyBorder="1" applyAlignment="1">
      <alignment horizontal="left" vertical="top" wrapText="1"/>
    </xf>
    <xf numFmtId="0" fontId="56" fillId="0" borderId="1" xfId="0" applyFont="1" applyBorder="1" applyAlignment="1">
      <alignment horizontal="center" vertical="top" wrapText="1"/>
    </xf>
    <xf numFmtId="49" fontId="62" fillId="0" borderId="0" xfId="0" applyNumberFormat="1" applyFont="1" applyAlignment="1">
      <alignment vertical="top" wrapText="1"/>
    </xf>
    <xf numFmtId="49" fontId="62" fillId="3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vertical="top" wrapText="1" shrinkToFit="1"/>
    </xf>
    <xf numFmtId="49" fontId="0" fillId="0" borderId="3" xfId="0" applyNumberFormat="1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 shrinkToFit="1"/>
    </xf>
    <xf numFmtId="49" fontId="62" fillId="0" borderId="1" xfId="0" applyNumberFormat="1" applyFont="1" applyFill="1" applyBorder="1" applyAlignment="1">
      <alignment horizontal="left" vertical="top" wrapText="1" shrinkToFit="1"/>
    </xf>
    <xf numFmtId="49" fontId="62" fillId="0" borderId="2" xfId="0" applyNumberFormat="1" applyFont="1" applyFill="1" applyBorder="1" applyAlignment="1">
      <alignment vertical="top" wrapText="1" shrinkToFit="1"/>
    </xf>
    <xf numFmtId="49" fontId="0" fillId="0" borderId="2" xfId="0" applyNumberFormat="1" applyFont="1" applyFill="1" applyBorder="1" applyAlignment="1">
      <alignment vertical="top" wrapText="1" shrinkToFit="1"/>
    </xf>
    <xf numFmtId="0" fontId="62" fillId="0" borderId="1" xfId="0" applyFont="1" applyFill="1" applyBorder="1" applyAlignment="1">
      <alignment horizontal="left" vertical="top" wrapText="1"/>
    </xf>
    <xf numFmtId="49" fontId="62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49" fontId="0" fillId="0" borderId="2" xfId="0" applyNumberFormat="1" applyFont="1" applyFill="1" applyBorder="1" applyAlignment="1">
      <alignment vertical="top" wrapText="1"/>
    </xf>
    <xf numFmtId="49" fontId="62" fillId="0" borderId="2" xfId="0" applyNumberFormat="1" applyFont="1" applyFill="1" applyBorder="1" applyAlignment="1">
      <alignment vertical="top" wrapText="1"/>
    </xf>
    <xf numFmtId="49" fontId="0" fillId="0" borderId="0" xfId="0" applyNumberFormat="1" applyFont="1" applyAlignment="1">
      <alignment vertical="top" wrapText="1"/>
    </xf>
    <xf numFmtId="4" fontId="0" fillId="0" borderId="1" xfId="0" applyNumberFormat="1" applyFont="1" applyFill="1" applyBorder="1" applyAlignment="1">
      <alignment vertical="top" wrapText="1" shrinkToFit="1"/>
    </xf>
    <xf numFmtId="4" fontId="0" fillId="0" borderId="5" xfId="0" applyNumberFormat="1" applyFont="1" applyFill="1" applyBorder="1" applyAlignment="1">
      <alignment vertical="top" wrapText="1"/>
    </xf>
    <xf numFmtId="0" fontId="56" fillId="0" borderId="5" xfId="0" applyFont="1" applyFill="1" applyBorder="1" applyAlignment="1">
      <alignment horizontal="left" vertical="top" wrapText="1"/>
    </xf>
    <xf numFmtId="49" fontId="13" fillId="0" borderId="0" xfId="0" applyNumberFormat="1" applyFont="1" applyAlignment="1">
      <alignment horizontal="center" vertical="top" wrapText="1"/>
    </xf>
    <xf numFmtId="49" fontId="79" fillId="0" borderId="1" xfId="0" applyNumberFormat="1" applyFont="1" applyFill="1" applyBorder="1" applyAlignment="1">
      <alignment vertical="top" wrapText="1" shrinkToFit="1"/>
    </xf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center" vertical="top"/>
    </xf>
    <xf numFmtId="4" fontId="0" fillId="0" borderId="3" xfId="0" applyNumberFormat="1" applyFont="1" applyFill="1" applyBorder="1" applyAlignment="1">
      <alignment vertical="top" wrapText="1" shrinkToFit="1"/>
    </xf>
    <xf numFmtId="0" fontId="0" fillId="0" borderId="3" xfId="0" applyNumberFormat="1" applyFont="1" applyFill="1" applyBorder="1" applyAlignment="1">
      <alignment horizontal="right" vertical="top" wrapText="1" shrinkToFit="1"/>
    </xf>
    <xf numFmtId="0" fontId="0" fillId="0" borderId="1" xfId="0" applyNumberFormat="1" applyFont="1" applyFill="1" applyBorder="1" applyAlignment="1">
      <alignment horizontal="right" vertical="top" wrapText="1" shrinkToFit="1"/>
    </xf>
    <xf numFmtId="0" fontId="13" fillId="0" borderId="1" xfId="10" applyNumberFormat="1" applyFont="1" applyFill="1" applyBorder="1" applyAlignment="1">
      <alignment horizontal="center" vertical="top" wrapText="1" shrinkToFit="1"/>
    </xf>
    <xf numFmtId="168" fontId="13" fillId="0" borderId="1" xfId="10" applyNumberFormat="1" applyFont="1" applyFill="1" applyBorder="1" applyAlignment="1">
      <alignment horizontal="center" vertical="top" wrapText="1" shrinkToFit="1"/>
    </xf>
    <xf numFmtId="167" fontId="13" fillId="0" borderId="1" xfId="10" applyNumberFormat="1" applyFont="1" applyFill="1" applyBorder="1" applyAlignment="1">
      <alignment horizontal="left" vertical="top" wrapText="1" shrinkToFit="1"/>
    </xf>
    <xf numFmtId="4" fontId="19" fillId="0" borderId="5" xfId="0" applyNumberFormat="1" applyFont="1" applyFill="1" applyBorder="1" applyAlignment="1">
      <alignment horizontal="left" vertical="top" wrapText="1" shrinkToFit="1"/>
    </xf>
    <xf numFmtId="2" fontId="19" fillId="0" borderId="1" xfId="0" applyNumberFormat="1" applyFont="1" applyFill="1" applyBorder="1" applyAlignment="1">
      <alignment horizontal="left" vertical="top" wrapText="1" shrinkToFit="1"/>
    </xf>
    <xf numFmtId="0" fontId="1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/>
    </xf>
    <xf numFmtId="4" fontId="0" fillId="0" borderId="1" xfId="0" applyNumberFormat="1" applyFont="1" applyBorder="1" applyAlignment="1">
      <alignment vertical="top" wrapText="1" shrinkToFit="1"/>
    </xf>
    <xf numFmtId="0" fontId="0" fillId="0" borderId="1" xfId="0" applyNumberFormat="1" applyFont="1" applyFill="1" applyBorder="1" applyAlignment="1">
      <alignment vertical="top" wrapText="1" shrinkToFit="1"/>
    </xf>
    <xf numFmtId="4" fontId="0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 wrapText="1" shrinkToFit="1"/>
    </xf>
    <xf numFmtId="2" fontId="0" fillId="0" borderId="1" xfId="0" applyNumberFormat="1" applyFont="1" applyFill="1" applyBorder="1" applyAlignment="1">
      <alignment vertical="top" wrapText="1"/>
    </xf>
    <xf numFmtId="167" fontId="0" fillId="0" borderId="1" xfId="0" applyNumberFormat="1" applyFont="1" applyFill="1" applyBorder="1" applyAlignment="1">
      <alignment vertical="top" wrapText="1" shrinkToFit="1"/>
    </xf>
    <xf numFmtId="0" fontId="0" fillId="0" borderId="2" xfId="0" applyFon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right" vertical="top" wrapText="1"/>
    </xf>
    <xf numFmtId="0" fontId="58" fillId="0" borderId="2" xfId="0" applyFont="1" applyFill="1" applyBorder="1" applyAlignment="1">
      <alignment vertical="top" wrapText="1"/>
    </xf>
    <xf numFmtId="0" fontId="80" fillId="0" borderId="1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horizontal="right" vertical="top" wrapText="1" shrinkToFit="1"/>
    </xf>
    <xf numFmtId="49" fontId="0" fillId="0" borderId="1" xfId="0" applyNumberFormat="1" applyFont="1" applyFill="1" applyBorder="1" applyAlignment="1">
      <alignment horizontal="right" vertical="top" wrapText="1" shrinkToFit="1"/>
    </xf>
    <xf numFmtId="0" fontId="0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 shrinkToFit="1"/>
    </xf>
    <xf numFmtId="0" fontId="0" fillId="0" borderId="1" xfId="0" applyNumberFormat="1" applyFont="1" applyFill="1" applyBorder="1" applyAlignment="1">
      <alignment horizontal="right" vertical="top" wrapText="1"/>
    </xf>
    <xf numFmtId="0" fontId="82" fillId="0" borderId="1" xfId="0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vertical="top" wrapText="1" shrinkToFit="1"/>
    </xf>
    <xf numFmtId="0" fontId="0" fillId="0" borderId="5" xfId="0" applyNumberFormat="1" applyFont="1" applyFill="1" applyBorder="1" applyAlignment="1">
      <alignment horizontal="right" vertical="top" wrapText="1" shrinkToFit="1"/>
    </xf>
    <xf numFmtId="0" fontId="11" fillId="0" borderId="1" xfId="0" applyNumberFormat="1" applyFont="1" applyFill="1" applyBorder="1" applyAlignment="1">
      <alignment vertical="top" wrapText="1" shrinkToFit="1"/>
    </xf>
    <xf numFmtId="4" fontId="11" fillId="0" borderId="1" xfId="0" applyNumberFormat="1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vertical="top"/>
    </xf>
    <xf numFmtId="0" fontId="0" fillId="0" borderId="3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 shrinkToFit="1"/>
    </xf>
    <xf numFmtId="4" fontId="0" fillId="0" borderId="3" xfId="0" applyNumberFormat="1" applyFont="1" applyFill="1" applyBorder="1" applyAlignment="1">
      <alignment vertical="top" wrapText="1"/>
    </xf>
    <xf numFmtId="0" fontId="84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167" fontId="15" fillId="0" borderId="1" xfId="0" applyNumberFormat="1" applyFont="1" applyFill="1" applyBorder="1" applyAlignment="1">
      <alignment horizontal="right" vertical="top"/>
    </xf>
    <xf numFmtId="167" fontId="0" fillId="0" borderId="1" xfId="0" applyNumberFormat="1" applyFont="1" applyFill="1" applyBorder="1" applyAlignment="1">
      <alignment horizontal="right" vertical="top" wrapText="1" shrinkToFit="1"/>
    </xf>
    <xf numFmtId="0" fontId="15" fillId="0" borderId="5" xfId="0" applyFont="1" applyFill="1" applyBorder="1" applyAlignment="1">
      <alignment horizontal="right" vertical="top"/>
    </xf>
    <xf numFmtId="4" fontId="15" fillId="0" borderId="5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right" vertical="top"/>
    </xf>
    <xf numFmtId="4" fontId="15" fillId="0" borderId="3" xfId="0" applyNumberFormat="1" applyFont="1" applyFill="1" applyBorder="1" applyAlignment="1">
      <alignment horizontal="right" vertical="top"/>
    </xf>
    <xf numFmtId="4" fontId="15" fillId="0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 wrapText="1" shrinkToFit="1"/>
    </xf>
    <xf numFmtId="0" fontId="15" fillId="0" borderId="1" xfId="0" applyFont="1" applyFill="1" applyBorder="1" applyAlignment="1">
      <alignment vertical="top"/>
    </xf>
    <xf numFmtId="0" fontId="14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49" fontId="15" fillId="0" borderId="1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vertical="top" wrapText="1" shrinkToFit="1"/>
    </xf>
    <xf numFmtId="4" fontId="0" fillId="0" borderId="3" xfId="0" applyNumberFormat="1" applyFont="1" applyBorder="1" applyAlignment="1">
      <alignment vertical="top" wrapText="1"/>
    </xf>
    <xf numFmtId="4" fontId="15" fillId="0" borderId="1" xfId="0" applyNumberFormat="1" applyFont="1" applyFill="1" applyBorder="1" applyAlignment="1">
      <alignment vertical="top" wrapText="1"/>
    </xf>
    <xf numFmtId="4" fontId="0" fillId="0" borderId="5" xfId="0" applyNumberFormat="1" applyFont="1" applyFill="1" applyBorder="1" applyAlignment="1">
      <alignment vertical="top" wrapText="1" shrinkToFit="1"/>
    </xf>
    <xf numFmtId="0" fontId="0" fillId="2" borderId="1" xfId="0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vertical="top" wrapText="1"/>
    </xf>
    <xf numFmtId="0" fontId="79" fillId="0" borderId="1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Border="1" applyAlignment="1">
      <alignment vertical="top" wrapText="1" shrinkToFit="1"/>
    </xf>
    <xf numFmtId="4" fontId="11" fillId="0" borderId="3" xfId="0" applyNumberFormat="1" applyFont="1" applyFill="1" applyBorder="1" applyAlignment="1">
      <alignment vertical="top" wrapText="1" shrinkToFi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/>
    </xf>
    <xf numFmtId="0" fontId="84" fillId="0" borderId="1" xfId="0" applyNumberFormat="1" applyFont="1" applyFill="1" applyBorder="1" applyAlignment="1">
      <alignment horizontal="right" vertical="top" wrapText="1" shrinkToFit="1"/>
    </xf>
    <xf numFmtId="0" fontId="0" fillId="0" borderId="3" xfId="0" applyFont="1" applyBorder="1" applyAlignment="1">
      <alignment vertical="top" wrapText="1"/>
    </xf>
    <xf numFmtId="167" fontId="0" fillId="0" borderId="1" xfId="0" applyNumberFormat="1" applyFont="1" applyBorder="1" applyAlignment="1">
      <alignment horizontal="right" vertical="top" wrapText="1" shrinkToFit="1"/>
    </xf>
    <xf numFmtId="1" fontId="84" fillId="0" borderId="1" xfId="0" applyNumberFormat="1" applyFont="1" applyFill="1" applyBorder="1" applyAlignment="1">
      <alignment horizontal="center" vertical="top" wrapText="1" shrinkToFit="1"/>
    </xf>
    <xf numFmtId="0" fontId="84" fillId="0" borderId="1" xfId="0" applyNumberFormat="1" applyFont="1" applyFill="1" applyBorder="1" applyAlignment="1">
      <alignment vertical="top" wrapText="1" shrinkToFit="1"/>
    </xf>
    <xf numFmtId="4" fontId="84" fillId="0" borderId="1" xfId="0" applyNumberFormat="1" applyFont="1" applyFill="1" applyBorder="1" applyAlignment="1">
      <alignment vertical="top" wrapText="1"/>
    </xf>
    <xf numFmtId="0" fontId="85" fillId="0" borderId="1" xfId="0" applyFont="1" applyFill="1" applyBorder="1" applyAlignment="1">
      <alignment horizontal="left" vertical="top" wrapText="1"/>
    </xf>
    <xf numFmtId="167" fontId="0" fillId="0" borderId="1" xfId="0" applyNumberFormat="1" applyFont="1" applyFill="1" applyBorder="1" applyAlignment="1">
      <alignment vertical="top" wrapText="1"/>
    </xf>
    <xf numFmtId="4" fontId="0" fillId="0" borderId="1" xfId="0" applyNumberFormat="1" applyFont="1" applyBorder="1" applyAlignment="1">
      <alignment vertical="top"/>
    </xf>
    <xf numFmtId="4" fontId="0" fillId="0" borderId="12" xfId="0" applyNumberFormat="1" applyFont="1" applyFill="1" applyBorder="1" applyAlignment="1">
      <alignment vertical="top"/>
    </xf>
    <xf numFmtId="168" fontId="0" fillId="0" borderId="1" xfId="0" applyNumberFormat="1" applyFont="1" applyBorder="1" applyAlignment="1">
      <alignment vertical="top" wrapText="1"/>
    </xf>
    <xf numFmtId="4" fontId="84" fillId="0" borderId="1" xfId="0" applyNumberFormat="1" applyFont="1" applyBorder="1" applyAlignment="1">
      <alignment vertical="top" wrapText="1"/>
    </xf>
    <xf numFmtId="0" fontId="56" fillId="0" borderId="5" xfId="0" applyFont="1" applyFill="1" applyBorder="1" applyAlignment="1">
      <alignment horizontal="right" vertical="top" wrapText="1"/>
    </xf>
    <xf numFmtId="2" fontId="0" fillId="0" borderId="1" xfId="0" applyNumberFormat="1" applyFont="1" applyBorder="1" applyAlignment="1">
      <alignment vertical="top" wrapText="1"/>
    </xf>
    <xf numFmtId="167" fontId="0" fillId="0" borderId="1" xfId="0" applyNumberFormat="1" applyFont="1" applyBorder="1" applyAlignment="1">
      <alignment vertical="top" wrapText="1"/>
    </xf>
    <xf numFmtId="4" fontId="11" fillId="0" borderId="3" xfId="0" applyNumberFormat="1" applyFont="1" applyBorder="1" applyAlignment="1">
      <alignment vertical="top" wrapText="1"/>
    </xf>
    <xf numFmtId="167" fontId="0" fillId="0" borderId="3" xfId="0" applyNumberFormat="1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49" fontId="11" fillId="0" borderId="1" xfId="0" applyNumberFormat="1" applyFont="1" applyFill="1" applyBorder="1" applyAlignment="1">
      <alignment vertical="top" wrapText="1"/>
    </xf>
    <xf numFmtId="2" fontId="11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48" fillId="0" borderId="1" xfId="17" applyNumberFormat="1" applyFont="1" applyFill="1" applyBorder="1" applyAlignment="1">
      <alignment vertical="top" wrapText="1" shrinkToFit="1"/>
    </xf>
    <xf numFmtId="165" fontId="13" fillId="0" borderId="1" xfId="1" applyFont="1" applyFill="1" applyBorder="1" applyAlignment="1">
      <alignment horizontal="left" vertical="top" wrapText="1"/>
    </xf>
    <xf numFmtId="169" fontId="13" fillId="0" borderId="1" xfId="0" applyNumberFormat="1" applyFont="1" applyFill="1" applyBorder="1" applyAlignment="1">
      <alignment horizontal="left" vertical="top" wrapText="1"/>
    </xf>
    <xf numFmtId="4" fontId="13" fillId="0" borderId="3" xfId="0" applyNumberFormat="1" applyFont="1" applyFill="1" applyBorder="1" applyAlignment="1">
      <alignment horizontal="right" vertical="top" wrapText="1"/>
    </xf>
    <xf numFmtId="165" fontId="13" fillId="0" borderId="1" xfId="1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vertical="top" wrapText="1"/>
    </xf>
    <xf numFmtId="0" fontId="58" fillId="0" borderId="1" xfId="0" applyFont="1" applyBorder="1" applyAlignment="1">
      <alignment vertical="top" wrapText="1"/>
    </xf>
    <xf numFmtId="49" fontId="19" fillId="0" borderId="5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7" fontId="19" fillId="0" borderId="3" xfId="10" applyNumberFormat="1" applyFont="1" applyFill="1" applyBorder="1" applyAlignment="1">
      <alignment horizontal="center" vertical="top" wrapText="1" shrinkToFit="1"/>
    </xf>
    <xf numFmtId="0" fontId="19" fillId="0" borderId="5" xfId="10" applyNumberFormat="1" applyFont="1" applyFill="1" applyBorder="1" applyAlignment="1">
      <alignment horizontal="center" vertical="top" wrapText="1" shrinkToFit="1"/>
    </xf>
    <xf numFmtId="4" fontId="56" fillId="0" borderId="1" xfId="0" applyNumberFormat="1" applyFont="1" applyBorder="1" applyAlignment="1">
      <alignment horizontal="right" vertical="top" wrapText="1" shrinkToFit="1"/>
    </xf>
    <xf numFmtId="0" fontId="0" fillId="0" borderId="3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 shrinkToFi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49" fontId="0" fillId="0" borderId="3" xfId="0" applyNumberFormat="1" applyFont="1" applyFill="1" applyBorder="1" applyAlignment="1">
      <alignment horizontal="left" vertical="top" wrapText="1" shrinkToFit="1"/>
    </xf>
    <xf numFmtId="4" fontId="0" fillId="0" borderId="3" xfId="0" applyNumberFormat="1" applyFont="1" applyFill="1" applyBorder="1" applyAlignment="1">
      <alignment horizontal="right" vertical="top" wrapText="1" shrinkToFit="1"/>
    </xf>
    <xf numFmtId="4" fontId="0" fillId="0" borderId="5" xfId="0" applyNumberFormat="1" applyFont="1" applyFill="1" applyBorder="1" applyAlignment="1">
      <alignment horizontal="right" vertical="top" wrapText="1" shrinkToFit="1"/>
    </xf>
    <xf numFmtId="0" fontId="56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center"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5" xfId="0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 shrinkToFit="1"/>
    </xf>
    <xf numFmtId="4" fontId="19" fillId="0" borderId="3" xfId="0" applyNumberFormat="1" applyFont="1" applyFill="1" applyBorder="1" applyAlignment="1">
      <alignment horizontal="left" vertical="top" wrapText="1"/>
    </xf>
    <xf numFmtId="4" fontId="19" fillId="0" borderId="5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Fill="1" applyBorder="1" applyAlignment="1">
      <alignment horizontal="left" vertical="top" wrapText="1"/>
    </xf>
    <xf numFmtId="49" fontId="19" fillId="0" borderId="5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2" borderId="3" xfId="0" applyNumberFormat="1" applyFont="1" applyFill="1" applyBorder="1" applyAlignment="1">
      <alignment horizontal="left" vertical="top" wrapText="1" shrinkToFit="1"/>
    </xf>
    <xf numFmtId="49" fontId="19" fillId="2" borderId="5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19" fillId="0" borderId="1" xfId="7" applyNumberFormat="1" applyFont="1" applyFill="1" applyBorder="1" applyAlignment="1">
      <alignment horizontal="left" vertical="top" wrapText="1" shrinkToFit="1"/>
    </xf>
    <xf numFmtId="49" fontId="19" fillId="0" borderId="3" xfId="9" applyNumberFormat="1" applyFont="1" applyFill="1" applyBorder="1" applyAlignment="1">
      <alignment horizontal="left" vertical="top" wrapText="1" shrinkToFit="1"/>
    </xf>
    <xf numFmtId="49" fontId="19" fillId="2" borderId="1" xfId="7" applyNumberFormat="1" applyFont="1" applyFill="1" applyBorder="1" applyAlignment="1">
      <alignment horizontal="left" vertical="top" wrapText="1" shrinkToFit="1"/>
    </xf>
    <xf numFmtId="49" fontId="19" fillId="0" borderId="1" xfId="8" applyNumberFormat="1" applyFont="1" applyBorder="1" applyAlignment="1">
      <alignment horizontal="left" vertical="top" wrapText="1" shrinkToFit="1"/>
    </xf>
    <xf numFmtId="49" fontId="19" fillId="0" borderId="1" xfId="8" applyNumberFormat="1" applyFont="1" applyFill="1" applyBorder="1" applyAlignment="1">
      <alignment horizontal="left" vertical="top" wrapText="1" shrinkToFit="1"/>
    </xf>
    <xf numFmtId="0" fontId="19" fillId="0" borderId="1" xfId="0" applyFont="1" applyFill="1" applyBorder="1" applyAlignment="1">
      <alignment horizontal="left" vertical="top"/>
    </xf>
    <xf numFmtId="49" fontId="19" fillId="0" borderId="1" xfId="9" applyNumberFormat="1" applyFont="1" applyFill="1" applyBorder="1" applyAlignment="1">
      <alignment horizontal="left" vertical="top" wrapText="1" shrinkToFit="1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4" fontId="11" fillId="0" borderId="5" xfId="0" applyNumberFormat="1" applyFont="1" applyBorder="1" applyAlignment="1">
      <alignment vertical="top" wrapText="1"/>
    </xf>
    <xf numFmtId="167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168" fontId="11" fillId="0" borderId="1" xfId="0" applyNumberFormat="1" applyFont="1" applyBorder="1" applyAlignment="1">
      <alignment vertical="top" wrapText="1"/>
    </xf>
    <xf numFmtId="49" fontId="79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 shrinkToFit="1"/>
    </xf>
    <xf numFmtId="49" fontId="13" fillId="0" borderId="4" xfId="0" applyNumberFormat="1" applyFont="1" applyBorder="1" applyAlignment="1">
      <alignment vertical="top" wrapText="1"/>
    </xf>
    <xf numFmtId="169" fontId="19" fillId="0" borderId="1" xfId="9" applyNumberFormat="1" applyFont="1" applyFill="1" applyBorder="1" applyAlignment="1">
      <alignment vertical="top" wrapText="1" shrinkToFit="1"/>
    </xf>
    <xf numFmtId="49" fontId="19" fillId="0" borderId="3" xfId="8" applyNumberFormat="1" applyFont="1" applyBorder="1" applyAlignment="1">
      <alignment vertical="top" wrapText="1" shrinkToFit="1"/>
    </xf>
    <xf numFmtId="4" fontId="19" fillId="0" borderId="1" xfId="8" applyNumberFormat="1" applyFont="1" applyFill="1" applyBorder="1" applyAlignment="1">
      <alignment horizontal="left" vertical="top" wrapText="1" shrinkToFit="1"/>
    </xf>
    <xf numFmtId="4" fontId="19" fillId="0" borderId="1" xfId="8" applyNumberFormat="1" applyFont="1" applyBorder="1" applyAlignment="1">
      <alignment vertical="top" wrapText="1" shrinkToFit="1"/>
    </xf>
    <xf numFmtId="4" fontId="19" fillId="0" borderId="1" xfId="9" applyNumberFormat="1" applyFont="1" applyBorder="1" applyAlignment="1">
      <alignment vertical="top" wrapText="1" shrinkToFit="1"/>
    </xf>
    <xf numFmtId="49" fontId="89" fillId="0" borderId="0" xfId="0" applyNumberFormat="1" applyFont="1" applyFill="1" applyAlignment="1">
      <alignment vertical="top" wrapText="1"/>
    </xf>
    <xf numFmtId="0" fontId="19" fillId="0" borderId="1" xfId="9" applyNumberFormat="1" applyFont="1" applyFill="1" applyBorder="1" applyAlignment="1">
      <alignment vertical="top" wrapText="1" shrinkToFit="1"/>
    </xf>
    <xf numFmtId="4" fontId="19" fillId="2" borderId="1" xfId="10" applyNumberFormat="1" applyFont="1" applyFill="1" applyBorder="1" applyAlignment="1">
      <alignment horizontal="left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49" fontId="19" fillId="0" borderId="3" xfId="0" applyNumberFormat="1" applyFont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1" fontId="0" fillId="0" borderId="1" xfId="0" applyNumberFormat="1" applyFont="1" applyBorder="1" applyAlignment="1">
      <alignment horizontal="center" vertical="top" wrapText="1" shrinkToFit="1"/>
    </xf>
    <xf numFmtId="49" fontId="0" fillId="0" borderId="3" xfId="0" applyNumberFormat="1" applyFill="1" applyBorder="1" applyAlignment="1">
      <alignment vertical="top" wrapText="1" shrinkToFit="1"/>
    </xf>
    <xf numFmtId="0" fontId="15" fillId="0" borderId="5" xfId="0" applyFont="1" applyFill="1" applyBorder="1" applyAlignment="1">
      <alignment horizontal="left" vertical="top"/>
    </xf>
    <xf numFmtId="0" fontId="58" fillId="0" borderId="0" xfId="0" applyFont="1" applyFill="1" applyBorder="1" applyAlignment="1">
      <alignment vertical="top" wrapText="1"/>
    </xf>
    <xf numFmtId="49" fontId="62" fillId="0" borderId="1" xfId="0" applyNumberFormat="1" applyFont="1" applyBorder="1" applyAlignment="1">
      <alignment vertical="top" wrapText="1" shrinkToFi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  <xf numFmtId="167" fontId="0" fillId="0" borderId="1" xfId="0" applyNumberFormat="1" applyBorder="1" applyAlignment="1">
      <alignment vertical="top" wrapText="1" shrinkToFit="1"/>
    </xf>
    <xf numFmtId="4" fontId="0" fillId="0" borderId="1" xfId="0" applyNumberFormat="1" applyBorder="1" applyAlignment="1">
      <alignment vertical="top" wrapText="1" shrinkToFit="1"/>
    </xf>
    <xf numFmtId="49" fontId="0" fillId="0" borderId="1" xfId="0" applyNumberFormat="1" applyBorder="1" applyAlignment="1">
      <alignment vertical="top" wrapText="1" shrinkToFit="1"/>
    </xf>
    <xf numFmtId="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right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 wrapText="1"/>
    </xf>
    <xf numFmtId="0" fontId="80" fillId="0" borderId="1" xfId="0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6" fontId="0" fillId="0" borderId="1" xfId="0" applyNumberFormat="1" applyFont="1" applyFill="1" applyBorder="1" applyAlignment="1">
      <alignment horizontal="left" vertical="top" wrapText="1"/>
    </xf>
    <xf numFmtId="0" fontId="8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left" vertical="top" wrapText="1"/>
    </xf>
    <xf numFmtId="0" fontId="84" fillId="0" borderId="1" xfId="0" applyFont="1" applyFill="1" applyBorder="1" applyAlignment="1">
      <alignment horizontal="left" vertical="top" wrapText="1"/>
    </xf>
    <xf numFmtId="4" fontId="15" fillId="0" borderId="1" xfId="0" applyNumberFormat="1" applyFont="1" applyFill="1" applyBorder="1" applyAlignment="1">
      <alignment horizontal="left" vertical="top"/>
    </xf>
    <xf numFmtId="4" fontId="15" fillId="0" borderId="5" xfId="0" applyNumberFormat="1" applyFont="1" applyFill="1" applyBorder="1" applyAlignment="1">
      <alignment horizontal="left" vertical="top"/>
    </xf>
    <xf numFmtId="0" fontId="82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58" fillId="0" borderId="5" xfId="0" applyFont="1" applyFill="1" applyBorder="1" applyAlignment="1">
      <alignment horizontal="left" vertical="top" wrapText="1"/>
    </xf>
    <xf numFmtId="0" fontId="56" fillId="0" borderId="1" xfId="0" applyFont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 wrapText="1" shrinkToFit="1"/>
    </xf>
    <xf numFmtId="0" fontId="0" fillId="0" borderId="1" xfId="0" applyNumberFormat="1" applyFont="1" applyFill="1" applyBorder="1" applyAlignment="1">
      <alignment horizontal="left" vertical="top" wrapText="1" shrinkToFit="1"/>
    </xf>
    <xf numFmtId="0" fontId="87" fillId="0" borderId="1" xfId="0" applyFont="1" applyFill="1" applyBorder="1" applyAlignment="1">
      <alignment horizontal="left" vertical="top" wrapText="1"/>
    </xf>
    <xf numFmtId="167" fontId="0" fillId="0" borderId="1" xfId="0" applyNumberFormat="1" applyFont="1" applyFill="1" applyBorder="1" applyAlignment="1">
      <alignment horizontal="left" vertical="top" wrapText="1"/>
    </xf>
    <xf numFmtId="167" fontId="0" fillId="0" borderId="3" xfId="0" applyNumberFormat="1" applyFont="1" applyFill="1" applyBorder="1" applyAlignment="1">
      <alignment horizontal="left" vertical="top" wrapText="1"/>
    </xf>
    <xf numFmtId="167" fontId="56" fillId="0" borderId="1" xfId="0" applyNumberFormat="1" applyFont="1" applyBorder="1" applyAlignment="1">
      <alignment horizontal="left" vertical="top" wrapText="1"/>
    </xf>
    <xf numFmtId="167" fontId="14" fillId="0" borderId="1" xfId="0" applyNumberFormat="1" applyFont="1" applyBorder="1" applyAlignment="1">
      <alignment horizontal="left" vertical="top" wrapText="1"/>
    </xf>
    <xf numFmtId="0" fontId="56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4" xfId="0" applyNumberFormat="1" applyFont="1" applyFill="1" applyBorder="1" applyAlignment="1">
      <alignment horizontal="left" vertical="top" wrapText="1" shrinkToFit="1"/>
    </xf>
    <xf numFmtId="49" fontId="19" fillId="0" borderId="5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19" fillId="0" borderId="5" xfId="0" applyNumberFormat="1" applyFont="1" applyBorder="1" applyAlignment="1">
      <alignment horizontal="left" vertical="top" wrapText="1" shrinkToFit="1"/>
    </xf>
    <xf numFmtId="49" fontId="19" fillId="0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 shrinkToFit="1"/>
    </xf>
    <xf numFmtId="49" fontId="13" fillId="0" borderId="3" xfId="0" applyNumberFormat="1" applyFont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49" fontId="13" fillId="0" borderId="6" xfId="0" applyNumberFormat="1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 shrinkToFit="1"/>
    </xf>
    <xf numFmtId="49" fontId="19" fillId="0" borderId="2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Fill="1" applyBorder="1" applyAlignment="1">
      <alignment horizontal="left" vertical="top" wrapText="1" shrinkToFit="1"/>
    </xf>
    <xf numFmtId="49" fontId="19" fillId="0" borderId="14" xfId="0" applyNumberFormat="1" applyFont="1" applyFill="1" applyBorder="1" applyAlignment="1">
      <alignment horizontal="left" vertical="top" wrapText="1" shrinkToFit="1"/>
    </xf>
    <xf numFmtId="49" fontId="19" fillId="0" borderId="2" xfId="0" applyNumberFormat="1" applyFont="1" applyBorder="1" applyAlignment="1">
      <alignment horizontal="left" vertical="top" wrapText="1" shrinkToFit="1"/>
    </xf>
    <xf numFmtId="4" fontId="19" fillId="0" borderId="3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49" fontId="19" fillId="0" borderId="14" xfId="0" applyNumberFormat="1" applyFont="1" applyBorder="1" applyAlignment="1">
      <alignment horizontal="left" vertical="top" wrapText="1" shrinkToFit="1"/>
    </xf>
    <xf numFmtId="49" fontId="13" fillId="0" borderId="1" xfId="0" applyNumberFormat="1" applyFont="1" applyFill="1" applyBorder="1" applyAlignment="1">
      <alignment horizontal="left" vertical="top" wrapText="1" shrinkToFit="1"/>
    </xf>
    <xf numFmtId="49" fontId="13" fillId="0" borderId="5" xfId="0" applyNumberFormat="1" applyFont="1" applyFill="1" applyBorder="1" applyAlignment="1">
      <alignment horizontal="left" vertical="top" wrapText="1" shrinkToFit="1"/>
    </xf>
    <xf numFmtId="49" fontId="13" fillId="0" borderId="1" xfId="0" applyNumberFormat="1" applyFont="1" applyBorder="1" applyAlignment="1">
      <alignment horizontal="center" vertical="top" wrapText="1"/>
    </xf>
    <xf numFmtId="4" fontId="19" fillId="0" borderId="6" xfId="18" applyNumberFormat="1" applyFont="1" applyFill="1" applyBorder="1" applyAlignment="1">
      <alignment vertical="top" wrapText="1" shrinkToFit="1"/>
    </xf>
    <xf numFmtId="49" fontId="58" fillId="0" borderId="1" xfId="0" applyNumberFormat="1" applyFont="1" applyFill="1" applyBorder="1" applyAlignment="1">
      <alignment horizontal="left" vertical="top" wrapText="1"/>
    </xf>
    <xf numFmtId="165" fontId="13" fillId="0" borderId="3" xfId="1" applyNumberFormat="1" applyFont="1" applyFill="1" applyBorder="1" applyAlignment="1">
      <alignment horizontal="left" vertical="top" wrapText="1"/>
    </xf>
    <xf numFmtId="4" fontId="19" fillId="0" borderId="9" xfId="18" applyNumberFormat="1" applyFont="1" applyFill="1" applyBorder="1" applyAlignment="1">
      <alignment vertical="top" wrapText="1" shrinkToFit="1"/>
    </xf>
    <xf numFmtId="167" fontId="19" fillId="0" borderId="9" xfId="18" applyNumberFormat="1" applyFont="1" applyFill="1" applyBorder="1" applyAlignment="1">
      <alignment vertical="top" wrapText="1" shrinkToFit="1"/>
    </xf>
    <xf numFmtId="49" fontId="58" fillId="0" borderId="14" xfId="0" applyNumberFormat="1" applyFont="1" applyFill="1" applyBorder="1" applyAlignment="1">
      <alignment vertical="top" wrapText="1"/>
    </xf>
    <xf numFmtId="4" fontId="19" fillId="0" borderId="1" xfId="18" applyNumberFormat="1" applyFont="1" applyFill="1" applyBorder="1" applyAlignment="1">
      <alignment vertical="top" wrapText="1" shrinkToFit="1"/>
    </xf>
    <xf numFmtId="49" fontId="19" fillId="0" borderId="2" xfId="21" applyNumberFormat="1" applyFont="1" applyFill="1" applyBorder="1" applyAlignment="1">
      <alignment horizontal="left" vertical="top" wrapText="1" shrinkToFit="1"/>
    </xf>
    <xf numFmtId="0" fontId="0" fillId="0" borderId="1" xfId="0" applyFont="1" applyBorder="1" applyAlignment="1">
      <alignment vertical="top" wrapText="1" shrinkToFit="1"/>
    </xf>
    <xf numFmtId="0" fontId="0" fillId="0" borderId="1" xfId="0" applyFont="1" applyBorder="1" applyAlignment="1">
      <alignment horizontal="right" vertical="top" wrapText="1" shrinkToFit="1"/>
    </xf>
    <xf numFmtId="0" fontId="56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5" fillId="0" borderId="5" xfId="0" applyFont="1" applyBorder="1" applyAlignment="1">
      <alignment horizontal="left" vertical="top"/>
    </xf>
    <xf numFmtId="4" fontId="15" fillId="0" borderId="5" xfId="0" applyNumberFormat="1" applyFont="1" applyBorder="1" applyAlignment="1">
      <alignment horizontal="right" vertical="top"/>
    </xf>
    <xf numFmtId="167" fontId="0" fillId="0" borderId="1" xfId="0" applyNumberFormat="1" applyFont="1" applyBorder="1" applyAlignment="1">
      <alignment vertical="top" wrapText="1" shrinkToFit="1"/>
    </xf>
    <xf numFmtId="0" fontId="56" fillId="0" borderId="3" xfId="0" applyFont="1" applyBorder="1" applyAlignment="1">
      <alignment vertical="top" wrapText="1"/>
    </xf>
    <xf numFmtId="167" fontId="0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49" fontId="62" fillId="0" borderId="1" xfId="0" applyNumberFormat="1" applyFont="1" applyBorder="1" applyAlignment="1">
      <alignment vertical="top" wrapText="1"/>
    </xf>
    <xf numFmtId="0" fontId="19" fillId="0" borderId="1" xfId="0" applyFont="1" applyBorder="1" applyAlignment="1">
      <alignment vertical="top" wrapText="1" shrinkToFit="1"/>
    </xf>
    <xf numFmtId="49" fontId="31" fillId="0" borderId="1" xfId="0" applyNumberFormat="1" applyFont="1" applyBorder="1" applyAlignment="1">
      <alignment vertical="top" wrapText="1"/>
    </xf>
    <xf numFmtId="49" fontId="31" fillId="0" borderId="3" xfId="0" applyNumberFormat="1" applyFont="1" applyBorder="1" applyAlignment="1">
      <alignment horizontal="left" vertical="top" wrapText="1"/>
    </xf>
    <xf numFmtId="49" fontId="30" fillId="0" borderId="1" xfId="0" applyNumberFormat="1" applyFont="1" applyBorder="1" applyAlignment="1">
      <alignment horizontal="left" vertical="top" wrapText="1" shrinkToFit="1"/>
    </xf>
    <xf numFmtId="49" fontId="13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30" fillId="0" borderId="3" xfId="0" applyNumberFormat="1" applyFont="1" applyBorder="1" applyAlignment="1">
      <alignment horizontal="left" vertical="top" wrapText="1" shrinkToFit="1"/>
    </xf>
    <xf numFmtId="49" fontId="30" fillId="0" borderId="1" xfId="0" applyNumberFormat="1" applyFont="1" applyBorder="1" applyAlignment="1">
      <alignment horizontal="left" vertical="top" wrapText="1"/>
    </xf>
    <xf numFmtId="4" fontId="30" fillId="0" borderId="1" xfId="0" applyNumberFormat="1" applyFont="1" applyBorder="1" applyAlignment="1">
      <alignment horizontal="left" vertical="top" wrapText="1" shrinkToFit="1"/>
    </xf>
    <xf numFmtId="4" fontId="30" fillId="0" borderId="1" xfId="0" applyNumberFormat="1" applyFont="1" applyBorder="1" applyAlignment="1">
      <alignment horizontal="left" vertical="top" wrapText="1"/>
    </xf>
    <xf numFmtId="4" fontId="30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 shrinkToFit="1"/>
    </xf>
    <xf numFmtId="0" fontId="86" fillId="0" borderId="1" xfId="0" applyFont="1" applyBorder="1" applyAlignment="1">
      <alignment vertical="top" wrapText="1"/>
    </xf>
    <xf numFmtId="49" fontId="19" fillId="0" borderId="3" xfId="9" applyNumberFormat="1" applyFont="1" applyBorder="1" applyAlignment="1">
      <alignment horizontal="left" vertical="top" wrapText="1" shrinkToFit="1"/>
    </xf>
    <xf numFmtId="0" fontId="19" fillId="2" borderId="1" xfId="10" applyFont="1" applyFill="1" applyBorder="1" applyAlignment="1">
      <alignment horizontal="left" vertical="top" wrapText="1" shrinkToFit="1"/>
    </xf>
    <xf numFmtId="49" fontId="19" fillId="0" borderId="3" xfId="9" applyNumberFormat="1" applyFont="1" applyBorder="1" applyAlignment="1">
      <alignment vertical="top" wrapText="1" shrinkToFit="1"/>
    </xf>
    <xf numFmtId="0" fontId="91" fillId="0" borderId="1" xfId="0" applyFont="1" applyFill="1" applyBorder="1" applyAlignment="1">
      <alignment vertical="top" wrapText="1"/>
    </xf>
    <xf numFmtId="4" fontId="19" fillId="0" borderId="1" xfId="0" applyNumberFormat="1" applyFont="1" applyBorder="1" applyAlignment="1">
      <alignment horizontal="right" vertical="top" wrapText="1" shrinkToFit="1"/>
    </xf>
    <xf numFmtId="49" fontId="13" fillId="0" borderId="5" xfId="0" applyNumberFormat="1" applyFont="1" applyBorder="1" applyAlignment="1">
      <alignment horizontal="center" vertical="top" wrapText="1"/>
    </xf>
    <xf numFmtId="0" fontId="90" fillId="0" borderId="1" xfId="0" applyNumberFormat="1" applyFont="1" applyFill="1" applyBorder="1" applyAlignment="1">
      <alignment horizontal="right" vertical="top" wrapText="1" shrinkToFit="1"/>
    </xf>
    <xf numFmtId="0" fontId="0" fillId="0" borderId="3" xfId="0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 shrinkToFit="1"/>
    </xf>
    <xf numFmtId="0" fontId="11" fillId="0" borderId="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5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 shrinkToFit="1"/>
    </xf>
    <xf numFmtId="49" fontId="19" fillId="0" borderId="3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19" fillId="0" borderId="3" xfId="9" applyNumberFormat="1" applyFont="1" applyBorder="1" applyAlignment="1">
      <alignment horizontal="left" vertical="top" wrapText="1" shrinkToFit="1"/>
    </xf>
    <xf numFmtId="0" fontId="19" fillId="0" borderId="1" xfId="0" applyFont="1" applyFill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left" vertical="top" wrapText="1"/>
    </xf>
    <xf numFmtId="49" fontId="19" fillId="2" borderId="1" xfId="7" applyNumberFormat="1" applyFont="1" applyFill="1" applyBorder="1" applyAlignment="1">
      <alignment horizontal="left" vertical="top" wrapText="1" shrinkToFit="1"/>
    </xf>
    <xf numFmtId="49" fontId="19" fillId="0" borderId="1" xfId="8" applyNumberFormat="1" applyFont="1" applyFill="1" applyBorder="1" applyAlignment="1">
      <alignment horizontal="left" vertical="top" wrapText="1" shrinkToFit="1"/>
    </xf>
    <xf numFmtId="49" fontId="13" fillId="0" borderId="1" xfId="0" applyNumberFormat="1" applyFont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9" fillId="0" borderId="1" xfId="10" applyNumberFormat="1" applyFont="1" applyBorder="1" applyAlignment="1">
      <alignment vertical="top" wrapText="1" shrinkToFit="1"/>
    </xf>
    <xf numFmtId="4" fontId="19" fillId="0" borderId="1" xfId="10" applyNumberFormat="1" applyFont="1" applyBorder="1" applyAlignment="1">
      <alignment horizontal="left" vertical="top" wrapText="1" shrinkToFit="1"/>
    </xf>
    <xf numFmtId="169" fontId="19" fillId="0" borderId="1" xfId="9" applyNumberFormat="1" applyFont="1" applyBorder="1" applyAlignment="1">
      <alignment vertical="top" wrapText="1" shrinkToFit="1"/>
    </xf>
    <xf numFmtId="49" fontId="13" fillId="0" borderId="5" xfId="0" applyNumberFormat="1" applyFont="1" applyBorder="1" applyAlignment="1">
      <alignment horizontal="left" vertical="top" wrapText="1" shrinkToFit="1"/>
    </xf>
    <xf numFmtId="49" fontId="19" fillId="0" borderId="2" xfId="9" applyNumberFormat="1" applyFont="1" applyBorder="1" applyAlignment="1">
      <alignment vertical="top" wrapText="1" shrinkToFit="1"/>
    </xf>
    <xf numFmtId="49" fontId="19" fillId="0" borderId="1" xfId="10" applyNumberFormat="1" applyFont="1" applyFill="1" applyBorder="1" applyAlignment="1">
      <alignment horizontal="center" vertical="top" wrapText="1" shrinkToFit="1"/>
    </xf>
    <xf numFmtId="0" fontId="19" fillId="0" borderId="1" xfId="10" applyFont="1" applyBorder="1" applyAlignment="1">
      <alignment horizontal="center" vertical="top" wrapText="1" shrinkToFit="1"/>
    </xf>
    <xf numFmtId="49" fontId="13" fillId="0" borderId="1" xfId="9" applyNumberFormat="1" applyFont="1" applyBorder="1" applyAlignment="1">
      <alignment vertical="top" wrapText="1" shrinkToFit="1"/>
    </xf>
    <xf numFmtId="49" fontId="58" fillId="0" borderId="1" xfId="9" applyNumberFormat="1" applyFont="1" applyBorder="1" applyAlignment="1">
      <alignment vertical="top" wrapText="1" shrinkToFit="1"/>
    </xf>
    <xf numFmtId="167" fontId="13" fillId="0" borderId="0" xfId="0" applyNumberFormat="1" applyFont="1" applyAlignment="1">
      <alignment horizontal="center" vertical="top" wrapText="1"/>
    </xf>
    <xf numFmtId="4" fontId="0" fillId="0" borderId="3" xfId="0" applyNumberFormat="1" applyFont="1" applyBorder="1" applyAlignment="1">
      <alignment vertical="top" wrapText="1" shrinkToFit="1"/>
    </xf>
    <xf numFmtId="4" fontId="0" fillId="0" borderId="5" xfId="0" applyNumberFormat="1" applyFont="1" applyBorder="1" applyAlignment="1">
      <alignment vertical="top" wrapText="1" shrinkToFit="1"/>
    </xf>
    <xf numFmtId="0" fontId="0" fillId="0" borderId="5" xfId="0" applyFont="1" applyBorder="1" applyAlignment="1">
      <alignment vertical="top" wrapText="1"/>
    </xf>
    <xf numFmtId="4" fontId="0" fillId="0" borderId="5" xfId="0" applyNumberFormat="1" applyFont="1" applyBorder="1" applyAlignment="1">
      <alignment horizontal="right" vertical="top" wrapText="1" shrinkToFit="1"/>
    </xf>
    <xf numFmtId="0" fontId="15" fillId="0" borderId="1" xfId="0" applyFont="1" applyBorder="1" applyAlignment="1">
      <alignment horizontal="center" vertical="top"/>
    </xf>
    <xf numFmtId="0" fontId="62" fillId="0" borderId="1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/>
    </xf>
    <xf numFmtId="4" fontId="15" fillId="0" borderId="3" xfId="0" applyNumberFormat="1" applyFont="1" applyBorder="1" applyAlignment="1">
      <alignment horizontal="right" vertical="top"/>
    </xf>
    <xf numFmtId="4" fontId="15" fillId="0" borderId="4" xfId="0" applyNumberFormat="1" applyFont="1" applyFill="1" applyBorder="1" applyAlignment="1">
      <alignment horizontal="right" vertical="top"/>
    </xf>
    <xf numFmtId="4" fontId="0" fillId="0" borderId="5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0" fontId="0" fillId="0" borderId="5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 shrinkToFit="1"/>
    </xf>
    <xf numFmtId="0" fontId="0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vertical="top" wrapText="1"/>
    </xf>
    <xf numFmtId="0" fontId="56" fillId="0" borderId="0" xfId="0" applyFont="1" applyFill="1" applyBorder="1" applyAlignment="1">
      <alignment horizontal="center" vertical="top" wrapText="1"/>
    </xf>
    <xf numFmtId="4" fontId="0" fillId="0" borderId="0" xfId="0" applyNumberFormat="1" applyFont="1" applyFill="1" applyBorder="1" applyAlignment="1">
      <alignment vertical="top" wrapText="1" shrinkToFit="1"/>
    </xf>
    <xf numFmtId="4" fontId="0" fillId="0" borderId="0" xfId="0" applyNumberFormat="1" applyFont="1" applyFill="1" applyBorder="1" applyAlignment="1">
      <alignment vertical="top" wrapText="1"/>
    </xf>
    <xf numFmtId="49" fontId="13" fillId="0" borderId="5" xfId="0" applyNumberFormat="1" applyFont="1" applyFill="1" applyBorder="1" applyAlignment="1">
      <alignment vertical="top" wrapText="1" shrinkToFit="1"/>
    </xf>
    <xf numFmtId="4" fontId="19" fillId="2" borderId="5" xfId="0" applyNumberFormat="1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horizontal="center"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2" borderId="3" xfId="0" applyNumberFormat="1" applyFont="1" applyFill="1" applyBorder="1" applyAlignment="1">
      <alignment horizontal="left" vertical="top" wrapText="1" shrinkToFit="1"/>
    </xf>
    <xf numFmtId="49" fontId="19" fillId="2" borderId="4" xfId="0" applyNumberFormat="1" applyFont="1" applyFill="1" applyBorder="1" applyAlignment="1">
      <alignment horizontal="left" vertical="top" wrapText="1" shrinkToFit="1"/>
    </xf>
    <xf numFmtId="49" fontId="19" fillId="0" borderId="3" xfId="0" applyNumberFormat="1" applyFont="1" applyBorder="1" applyAlignment="1">
      <alignment horizontal="left" vertical="top" wrapText="1" shrinkToFit="1"/>
    </xf>
    <xf numFmtId="49" fontId="92" fillId="0" borderId="1" xfId="0" applyNumberFormat="1" applyFont="1" applyFill="1" applyBorder="1" applyAlignment="1">
      <alignment horizontal="left" vertical="top" wrapText="1"/>
    </xf>
    <xf numFmtId="49" fontId="92" fillId="2" borderId="3" xfId="0" applyNumberFormat="1" applyFont="1" applyFill="1" applyBorder="1" applyAlignment="1">
      <alignment horizontal="left" vertical="top" wrapText="1" shrinkToFit="1"/>
    </xf>
    <xf numFmtId="167" fontId="92" fillId="0" borderId="1" xfId="0" applyNumberFormat="1" applyFont="1" applyFill="1" applyBorder="1" applyAlignment="1">
      <alignment horizontal="left" vertical="top" wrapText="1" shrinkToFit="1"/>
    </xf>
    <xf numFmtId="49" fontId="19" fillId="0" borderId="4" xfId="0" applyNumberFormat="1" applyFont="1" applyFill="1" applyBorder="1" applyAlignment="1">
      <alignment horizontal="left" vertical="top" wrapText="1" shrinkToFit="1"/>
    </xf>
    <xf numFmtId="49" fontId="19" fillId="0" borderId="5" xfId="0" applyNumberFormat="1" applyFont="1" applyBorder="1" applyAlignment="1">
      <alignment horizontal="left" vertical="top" wrapText="1" shrinkToFit="1"/>
    </xf>
    <xf numFmtId="49" fontId="19" fillId="0" borderId="4" xfId="0" applyNumberFormat="1" applyFont="1" applyBorder="1" applyAlignment="1">
      <alignment horizontal="left" vertical="top" wrapText="1" shrinkToFit="1"/>
    </xf>
    <xf numFmtId="49" fontId="13" fillId="0" borderId="8" xfId="0" applyNumberFormat="1" applyFont="1" applyBorder="1" applyAlignment="1">
      <alignment horizontal="left" vertical="top" wrapText="1"/>
    </xf>
    <xf numFmtId="49" fontId="13" fillId="0" borderId="11" xfId="0" applyNumberFormat="1" applyFont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 shrinkToFit="1"/>
    </xf>
    <xf numFmtId="4" fontId="19" fillId="0" borderId="5" xfId="0" applyNumberFormat="1" applyFont="1" applyBorder="1" applyAlignment="1">
      <alignment horizontal="center" vertical="top" wrapText="1"/>
    </xf>
    <xf numFmtId="49" fontId="93" fillId="0" borderId="2" xfId="0" applyNumberFormat="1" applyFont="1" applyFill="1" applyBorder="1" applyAlignment="1">
      <alignment vertical="top" wrapText="1" shrinkToFit="1"/>
    </xf>
    <xf numFmtId="49" fontId="92" fillId="0" borderId="14" xfId="0" applyNumberFormat="1" applyFont="1" applyFill="1" applyBorder="1" applyAlignment="1">
      <alignment vertical="top" wrapText="1" shrinkToFit="1"/>
    </xf>
    <xf numFmtId="49" fontId="93" fillId="0" borderId="1" xfId="0" applyNumberFormat="1" applyFont="1" applyFill="1" applyBorder="1" applyAlignment="1">
      <alignment vertical="top" wrapText="1" shrinkToFit="1"/>
    </xf>
    <xf numFmtId="49" fontId="93" fillId="0" borderId="3" xfId="0" applyNumberFormat="1" applyFont="1" applyFill="1" applyBorder="1" applyAlignment="1">
      <alignment horizontal="center" vertical="top" wrapText="1" shrinkToFit="1"/>
    </xf>
    <xf numFmtId="49" fontId="19" fillId="2" borderId="5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Fill="1" applyBorder="1" applyAlignment="1">
      <alignment vertical="top" wrapText="1" shrinkToFit="1"/>
    </xf>
    <xf numFmtId="49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Fill="1" applyBorder="1" applyAlignment="1">
      <alignment vertical="top" wrapText="1" shrinkToFit="1"/>
    </xf>
    <xf numFmtId="4" fontId="19" fillId="0" borderId="3" xfId="0" applyNumberFormat="1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92" fillId="0" borderId="1" xfId="0" applyNumberFormat="1" applyFont="1" applyFill="1" applyBorder="1" applyAlignment="1">
      <alignment vertical="top" wrapText="1" shrinkToFit="1"/>
    </xf>
    <xf numFmtId="49" fontId="92" fillId="0" borderId="3" xfId="0" applyNumberFormat="1" applyFont="1" applyFill="1" applyBorder="1" applyAlignment="1">
      <alignment vertical="top" wrapText="1" shrinkToFit="1"/>
    </xf>
    <xf numFmtId="49" fontId="92" fillId="0" borderId="4" xfId="0" applyNumberFormat="1" applyFont="1" applyFill="1" applyBorder="1" applyAlignment="1">
      <alignment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92" fillId="0" borderId="3" xfId="0" applyNumberFormat="1" applyFont="1" applyFill="1" applyBorder="1" applyAlignment="1">
      <alignment horizontal="left" vertical="top" wrapText="1" shrinkToFit="1"/>
    </xf>
    <xf numFmtId="49" fontId="92" fillId="0" borderId="1" xfId="0" applyNumberFormat="1" applyFont="1" applyFill="1" applyBorder="1" applyAlignment="1">
      <alignment horizontal="left" vertical="top" wrapText="1" shrinkToFit="1"/>
    </xf>
    <xf numFmtId="49" fontId="13" fillId="0" borderId="1" xfId="0" applyNumberFormat="1" applyFont="1" applyBorder="1" applyAlignment="1">
      <alignment horizontal="center" vertical="top" wrapText="1" shrinkToFi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92" fillId="0" borderId="9" xfId="0" applyNumberFormat="1" applyFont="1" applyFill="1" applyBorder="1" applyAlignment="1">
      <alignment horizontal="left" vertical="top" wrapText="1" shrinkToFi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0" fontId="19" fillId="0" borderId="3" xfId="0" applyFont="1" applyFill="1" applyBorder="1" applyAlignment="1">
      <alignment horizontal="left" vertical="top" wrapText="1" shrinkToFi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 shrinkToFit="1"/>
    </xf>
    <xf numFmtId="0" fontId="56" fillId="0" borderId="1" xfId="0" applyFont="1" applyFill="1" applyBorder="1" applyAlignment="1">
      <alignment horizontal="right" vertical="top" wrapText="1"/>
    </xf>
    <xf numFmtId="4" fontId="0" fillId="0" borderId="1" xfId="0" applyNumberFormat="1" applyFont="1" applyFill="1" applyBorder="1" applyAlignment="1">
      <alignment vertical="top" wrapText="1" shrinkToFit="1"/>
    </xf>
    <xf numFmtId="4" fontId="0" fillId="0" borderId="1" xfId="0" applyNumberFormat="1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center" vertical="top" wrapText="1" shrinkToFit="1"/>
    </xf>
    <xf numFmtId="1" fontId="0" fillId="0" borderId="4" xfId="0" applyNumberFormat="1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95" fillId="0" borderId="1" xfId="0" applyNumberFormat="1" applyFont="1" applyFill="1" applyBorder="1" applyAlignment="1">
      <alignment vertical="top" wrapText="1"/>
    </xf>
    <xf numFmtId="49" fontId="95" fillId="0" borderId="14" xfId="0" applyNumberFormat="1" applyFont="1" applyFill="1" applyBorder="1" applyAlignment="1">
      <alignment vertical="top" wrapText="1"/>
    </xf>
    <xf numFmtId="49" fontId="95" fillId="0" borderId="3" xfId="0" applyNumberFormat="1" applyFont="1" applyFill="1" applyBorder="1" applyAlignment="1">
      <alignment vertical="top" wrapText="1" shrinkToFit="1"/>
    </xf>
    <xf numFmtId="4" fontId="92" fillId="0" borderId="9" xfId="18" applyNumberFormat="1" applyFont="1" applyFill="1" applyBorder="1" applyAlignment="1">
      <alignment vertical="top" wrapText="1" shrinkToFit="1"/>
    </xf>
    <xf numFmtId="49" fontId="95" fillId="0" borderId="1" xfId="0" applyNumberFormat="1" applyFont="1" applyFill="1" applyBorder="1" applyAlignment="1">
      <alignment horizontal="left" vertical="top" wrapText="1"/>
    </xf>
    <xf numFmtId="49" fontId="92" fillId="0" borderId="1" xfId="21" applyNumberFormat="1" applyFont="1" applyFill="1" applyBorder="1" applyAlignment="1">
      <alignment horizontal="left" vertical="top" wrapText="1" shrinkToFit="1"/>
    </xf>
    <xf numFmtId="0" fontId="0" fillId="0" borderId="1" xfId="0" applyFont="1" applyFill="1" applyBorder="1" applyAlignment="1">
      <alignment horizontal="left" vertical="top" wrapText="1"/>
    </xf>
    <xf numFmtId="4" fontId="88" fillId="0" borderId="12" xfId="0" applyNumberFormat="1" applyFont="1" applyFill="1" applyBorder="1" applyAlignment="1">
      <alignment vertical="center" wrapText="1"/>
    </xf>
    <xf numFmtId="49" fontId="13" fillId="0" borderId="12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vertical="top" wrapText="1" shrinkToFit="1"/>
    </xf>
    <xf numFmtId="49" fontId="0" fillId="0" borderId="1" xfId="0" applyNumberForma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 shrinkToFit="1"/>
    </xf>
    <xf numFmtId="0" fontId="97" fillId="0" borderId="1" xfId="0" applyFont="1" applyFill="1" applyBorder="1" applyAlignment="1">
      <alignment vertical="top" wrapText="1"/>
    </xf>
    <xf numFmtId="4" fontId="97" fillId="0" borderId="1" xfId="0" applyNumberFormat="1" applyFont="1" applyFill="1" applyBorder="1" applyAlignment="1">
      <alignment vertical="top" wrapText="1" shrinkToFit="1"/>
    </xf>
    <xf numFmtId="14" fontId="97" fillId="0" borderId="1" xfId="0" applyNumberFormat="1" applyFont="1" applyFill="1" applyBorder="1" applyAlignment="1">
      <alignment vertical="top" wrapText="1"/>
    </xf>
    <xf numFmtId="4" fontId="97" fillId="0" borderId="1" xfId="0" applyNumberFormat="1" applyFont="1" applyFill="1" applyBorder="1" applyAlignment="1">
      <alignment vertical="top" wrapText="1"/>
    </xf>
    <xf numFmtId="0" fontId="97" fillId="0" borderId="1" xfId="0" applyFont="1" applyFill="1" applyBorder="1" applyAlignment="1">
      <alignment horizontal="left" vertical="top" wrapText="1"/>
    </xf>
    <xf numFmtId="167" fontId="97" fillId="0" borderId="1" xfId="0" applyNumberFormat="1" applyFont="1" applyFill="1" applyBorder="1" applyAlignment="1">
      <alignment vertical="top" wrapText="1"/>
    </xf>
    <xf numFmtId="0" fontId="92" fillId="0" borderId="5" xfId="0" applyFont="1" applyFill="1" applyBorder="1" applyAlignment="1">
      <alignment horizontal="right" vertical="top"/>
    </xf>
    <xf numFmtId="0" fontId="92" fillId="0" borderId="5" xfId="0" applyFont="1" applyFill="1" applyBorder="1" applyAlignment="1">
      <alignment horizontal="left" vertical="top"/>
    </xf>
    <xf numFmtId="4" fontId="92" fillId="0" borderId="1" xfId="0" applyNumberFormat="1" applyFont="1" applyFill="1" applyBorder="1" applyAlignment="1">
      <alignment horizontal="right" vertical="top"/>
    </xf>
    <xf numFmtId="2" fontId="97" fillId="0" borderId="1" xfId="0" applyNumberFormat="1" applyFont="1" applyFill="1" applyBorder="1" applyAlignment="1">
      <alignment vertical="top" wrapText="1"/>
    </xf>
    <xf numFmtId="0" fontId="97" fillId="0" borderId="3" xfId="0" applyFont="1" applyFill="1" applyBorder="1" applyAlignment="1">
      <alignment vertical="top" wrapText="1"/>
    </xf>
    <xf numFmtId="0" fontId="92" fillId="0" borderId="3" xfId="0" applyFont="1" applyFill="1" applyBorder="1" applyAlignment="1">
      <alignment horizontal="left" vertical="top" wrapText="1"/>
    </xf>
    <xf numFmtId="0" fontId="97" fillId="0" borderId="1" xfId="0" applyNumberFormat="1" applyFont="1" applyFill="1" applyBorder="1" applyAlignment="1">
      <alignment horizontal="right" vertical="top" wrapText="1" shrinkToFit="1"/>
    </xf>
    <xf numFmtId="0" fontId="97" fillId="0" borderId="5" xfId="0" applyFont="1" applyFill="1" applyBorder="1" applyAlignment="1">
      <alignment vertical="top" wrapText="1"/>
    </xf>
    <xf numFmtId="4" fontId="97" fillId="0" borderId="5" xfId="0" applyNumberFormat="1" applyFont="1" applyFill="1" applyBorder="1" applyAlignment="1">
      <alignment horizontal="right" vertical="top" wrapText="1" shrinkToFit="1"/>
    </xf>
    <xf numFmtId="0" fontId="92" fillId="0" borderId="1" xfId="0" applyFont="1" applyFill="1" applyBorder="1" applyAlignment="1">
      <alignment horizontal="right" vertical="top"/>
    </xf>
    <xf numFmtId="0" fontId="92" fillId="0" borderId="1" xfId="0" applyFont="1" applyFill="1" applyBorder="1" applyAlignment="1">
      <alignment horizontal="left" vertical="top" wrapText="1"/>
    </xf>
    <xf numFmtId="0" fontId="92" fillId="0" borderId="3" xfId="0" applyFont="1" applyFill="1" applyBorder="1" applyAlignment="1">
      <alignment horizontal="left" vertical="top"/>
    </xf>
    <xf numFmtId="4" fontId="92" fillId="0" borderId="3" xfId="0" applyNumberFormat="1" applyFont="1" applyFill="1" applyBorder="1" applyAlignment="1">
      <alignment horizontal="right" vertical="top"/>
    </xf>
    <xf numFmtId="0" fontId="96" fillId="0" borderId="1" xfId="0" applyNumberFormat="1" applyFont="1" applyFill="1" applyBorder="1" applyAlignment="1">
      <alignment vertical="top" wrapText="1" shrinkToFit="1"/>
    </xf>
    <xf numFmtId="0" fontId="97" fillId="0" borderId="1" xfId="0" applyNumberFormat="1" applyFont="1" applyFill="1" applyBorder="1" applyAlignment="1">
      <alignment vertical="top" wrapText="1" shrinkToFit="1"/>
    </xf>
    <xf numFmtId="0" fontId="95" fillId="0" borderId="1" xfId="0" applyFont="1" applyFill="1" applyBorder="1" applyAlignment="1">
      <alignment vertical="top" wrapText="1"/>
    </xf>
    <xf numFmtId="49" fontId="92" fillId="0" borderId="1" xfId="0" applyNumberFormat="1" applyFont="1" applyFill="1" applyBorder="1" applyAlignment="1">
      <alignment horizontal="right" vertical="top"/>
    </xf>
    <xf numFmtId="0" fontId="97" fillId="0" borderId="1" xfId="0" applyNumberFormat="1" applyFont="1" applyFill="1" applyBorder="1" applyAlignment="1">
      <alignment vertical="top" wrapText="1"/>
    </xf>
    <xf numFmtId="4" fontId="92" fillId="0" borderId="1" xfId="0" applyNumberFormat="1" applyFont="1" applyFill="1" applyBorder="1" applyAlignment="1">
      <alignment vertical="top"/>
    </xf>
    <xf numFmtId="4" fontId="95" fillId="0" borderId="1" xfId="0" applyNumberFormat="1" applyFont="1" applyFill="1" applyBorder="1" applyAlignment="1">
      <alignment vertical="top" wrapTex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4" fontId="58" fillId="0" borderId="1" xfId="0" applyNumberFormat="1" applyFont="1" applyFill="1" applyBorder="1" applyAlignment="1">
      <alignment vertical="top" wrapText="1" shrinkToFit="1"/>
    </xf>
    <xf numFmtId="0" fontId="15" fillId="0" borderId="1" xfId="0" applyNumberFormat="1" applyFont="1" applyFill="1" applyBorder="1" applyAlignment="1">
      <alignment vertical="top" wrapText="1" shrinkToFit="1"/>
    </xf>
    <xf numFmtId="0" fontId="98" fillId="0" borderId="1" xfId="0" applyFont="1" applyBorder="1" applyAlignment="1">
      <alignment horizontal="left" vertical="top"/>
    </xf>
    <xf numFmtId="4" fontId="15" fillId="0" borderId="1" xfId="0" applyNumberFormat="1" applyFont="1" applyFill="1" applyBorder="1" applyAlignment="1">
      <alignment horizontal="right" vertical="top" wrapText="1" shrinkToFit="1"/>
    </xf>
    <xf numFmtId="0" fontId="58" fillId="0" borderId="1" xfId="0" applyNumberFormat="1" applyFont="1" applyFill="1" applyBorder="1" applyAlignment="1">
      <alignment vertical="top" wrapText="1" shrinkToFit="1"/>
    </xf>
    <xf numFmtId="0" fontId="15" fillId="0" borderId="1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vertical="top" wrapText="1" shrinkToFit="1"/>
    </xf>
    <xf numFmtId="0" fontId="15" fillId="0" borderId="1" xfId="0" applyNumberFormat="1" applyFont="1" applyFill="1" applyBorder="1" applyAlignment="1">
      <alignment horizontal="right" vertical="top" wrapText="1" shrinkToFit="1"/>
    </xf>
    <xf numFmtId="4" fontId="92" fillId="0" borderId="1" xfId="18" applyNumberFormat="1" applyFont="1" applyFill="1" applyBorder="1" applyAlignment="1">
      <alignment vertical="top" wrapText="1" shrinkToFit="1"/>
    </xf>
    <xf numFmtId="49" fontId="95" fillId="0" borderId="0" xfId="0" applyNumberFormat="1" applyFont="1" applyFill="1" applyBorder="1" applyAlignment="1">
      <alignment vertical="top" wrapText="1"/>
    </xf>
    <xf numFmtId="49" fontId="19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Fill="1" applyBorder="1"/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/>
    <xf numFmtId="49" fontId="13" fillId="0" borderId="1" xfId="0" applyNumberFormat="1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left" vertical="top" wrapText="1"/>
    </xf>
    <xf numFmtId="49" fontId="19" fillId="0" borderId="2" xfId="0" applyNumberFormat="1" applyFont="1" applyFill="1" applyBorder="1" applyAlignment="1">
      <alignment horizontal="left" vertical="top" wrapText="1" shrinkToFit="1"/>
    </xf>
    <xf numFmtId="49" fontId="13" fillId="0" borderId="2" xfId="0" applyNumberFormat="1" applyFont="1" applyFill="1" applyBorder="1" applyAlignment="1">
      <alignment horizontal="center" vertical="top" wrapText="1"/>
    </xf>
    <xf numFmtId="49" fontId="13" fillId="0" borderId="14" xfId="0" applyNumberFormat="1" applyFont="1" applyFill="1" applyBorder="1" applyAlignment="1">
      <alignment horizontal="left" vertical="top" wrapText="1"/>
    </xf>
    <xf numFmtId="49" fontId="58" fillId="0" borderId="3" xfId="0" applyNumberFormat="1" applyFont="1" applyFill="1" applyBorder="1" applyAlignment="1">
      <alignment horizontal="left" vertical="top" wrapText="1"/>
    </xf>
    <xf numFmtId="49" fontId="58" fillId="0" borderId="5" xfId="0" applyNumberFormat="1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vertical="top" wrapText="1" shrinkToFit="1"/>
    </xf>
    <xf numFmtId="4" fontId="95" fillId="0" borderId="1" xfId="0" applyNumberFormat="1" applyFont="1" applyFill="1" applyBorder="1" applyAlignment="1">
      <alignment horizontal="right" vertical="top" wrapText="1"/>
    </xf>
    <xf numFmtId="4" fontId="92" fillId="0" borderId="1" xfId="20" applyNumberFormat="1" applyFont="1" applyFill="1" applyBorder="1" applyAlignment="1">
      <alignment horizontal="right" vertical="top" wrapText="1" shrinkToFit="1"/>
    </xf>
    <xf numFmtId="4" fontId="92" fillId="0" borderId="1" xfId="20" applyNumberFormat="1" applyFont="1" applyFill="1" applyBorder="1" applyAlignment="1">
      <alignment vertical="top" wrapText="1" shrinkToFit="1"/>
    </xf>
    <xf numFmtId="4" fontId="95" fillId="0" borderId="3" xfId="0" applyNumberFormat="1" applyFont="1" applyFill="1" applyBorder="1" applyAlignment="1">
      <alignment horizontal="right" vertical="top" wrapText="1"/>
    </xf>
    <xf numFmtId="4" fontId="95" fillId="0" borderId="3" xfId="0" applyNumberFormat="1" applyFont="1" applyFill="1" applyBorder="1" applyAlignment="1">
      <alignment vertical="top" wrapText="1"/>
    </xf>
    <xf numFmtId="4" fontId="101" fillId="0" borderId="3" xfId="18" applyNumberFormat="1" applyFont="1" applyFill="1" applyBorder="1" applyAlignment="1">
      <alignment vertical="top" wrapText="1" shrinkToFit="1"/>
    </xf>
    <xf numFmtId="4" fontId="92" fillId="0" borderId="3" xfId="18" applyNumberFormat="1" applyFont="1" applyFill="1" applyBorder="1" applyAlignment="1">
      <alignment vertical="top" wrapText="1" shrinkToFit="1"/>
    </xf>
    <xf numFmtId="4" fontId="101" fillId="0" borderId="9" xfId="18" applyNumberFormat="1" applyFont="1" applyFill="1" applyBorder="1" applyAlignment="1">
      <alignment vertical="top" wrapText="1" shrinkToFit="1"/>
    </xf>
    <xf numFmtId="49" fontId="102" fillId="0" borderId="0" xfId="0" applyNumberFormat="1" applyFont="1" applyFill="1" applyAlignment="1">
      <alignment vertical="top" wrapText="1"/>
    </xf>
    <xf numFmtId="49" fontId="103" fillId="0" borderId="0" xfId="0" applyNumberFormat="1" applyFont="1" applyFill="1" applyAlignment="1">
      <alignment vertical="top" wrapText="1"/>
    </xf>
    <xf numFmtId="49" fontId="104" fillId="0" borderId="1" xfId="0" applyNumberFormat="1" applyFont="1" applyFill="1" applyBorder="1" applyAlignment="1">
      <alignment horizontal="center" vertical="top" wrapText="1"/>
    </xf>
    <xf numFmtId="49" fontId="104" fillId="0" borderId="2" xfId="0" applyNumberFormat="1" applyFont="1" applyFill="1" applyBorder="1" applyAlignment="1">
      <alignment horizontal="center" vertical="top" wrapText="1"/>
    </xf>
    <xf numFmtId="0" fontId="95" fillId="0" borderId="0" xfId="0" applyFont="1" applyFill="1" applyBorder="1" applyAlignment="1">
      <alignment wrapText="1"/>
    </xf>
    <xf numFmtId="164" fontId="31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right" wrapText="1"/>
    </xf>
    <xf numFmtId="170" fontId="31" fillId="0" borderId="0" xfId="1" applyNumberFormat="1" applyFont="1" applyFill="1" applyBorder="1" applyAlignment="1">
      <alignment wrapText="1"/>
    </xf>
    <xf numFmtId="14" fontId="31" fillId="0" borderId="0" xfId="0" applyNumberFormat="1" applyFont="1" applyFill="1" applyBorder="1" applyAlignment="1">
      <alignment wrapText="1"/>
    </xf>
    <xf numFmtId="166" fontId="31" fillId="0" borderId="0" xfId="22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49" fontId="31" fillId="0" borderId="0" xfId="0" applyNumberFormat="1" applyFont="1" applyFill="1" applyBorder="1" applyAlignment="1">
      <alignment horizontal="right" wrapText="1"/>
    </xf>
    <xf numFmtId="0" fontId="95" fillId="0" borderId="0" xfId="0" applyFont="1" applyFill="1" applyBorder="1"/>
    <xf numFmtId="164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horizontal="right"/>
    </xf>
    <xf numFmtId="170" fontId="13" fillId="0" borderId="0" xfId="1" applyNumberFormat="1" applyFont="1" applyFill="1" applyBorder="1" applyAlignment="1"/>
    <xf numFmtId="14" fontId="13" fillId="0" borderId="0" xfId="0" applyNumberFormat="1" applyFont="1" applyFill="1" applyBorder="1" applyAlignment="1"/>
    <xf numFmtId="166" fontId="13" fillId="0" borderId="0" xfId="22" applyFont="1" applyFill="1" applyBorder="1" applyAlignment="1"/>
    <xf numFmtId="0" fontId="13" fillId="0" borderId="0" xfId="0" applyFont="1" applyFill="1" applyBorder="1"/>
    <xf numFmtId="49" fontId="95" fillId="0" borderId="0" xfId="0" applyNumberFormat="1" applyFont="1" applyFill="1" applyAlignment="1">
      <alignment vertical="top" wrapText="1"/>
    </xf>
    <xf numFmtId="49" fontId="100" fillId="0" borderId="0" xfId="0" applyNumberFormat="1" applyFont="1" applyFill="1" applyAlignment="1">
      <alignment vertical="top" wrapText="1"/>
    </xf>
    <xf numFmtId="0" fontId="57" fillId="0" borderId="0" xfId="0" applyFont="1" applyFill="1"/>
    <xf numFmtId="0" fontId="11" fillId="0" borderId="0" xfId="0" applyFont="1" applyFill="1"/>
    <xf numFmtId="0" fontId="105" fillId="0" borderId="0" xfId="0" applyFont="1" applyFill="1" applyAlignment="1">
      <alignment vertical="top" wrapText="1"/>
    </xf>
    <xf numFmtId="0" fontId="106" fillId="0" borderId="0" xfId="0" applyFont="1" applyFill="1" applyAlignment="1">
      <alignment vertical="top" wrapText="1"/>
    </xf>
    <xf numFmtId="49" fontId="95" fillId="0" borderId="3" xfId="0" applyNumberFormat="1" applyFont="1" applyFill="1" applyBorder="1" applyAlignment="1">
      <alignment horizontal="left" vertical="top" wrapText="1"/>
    </xf>
    <xf numFmtId="49" fontId="92" fillId="0" borderId="14" xfId="21" applyNumberFormat="1" applyFont="1" applyFill="1" applyBorder="1" applyAlignment="1">
      <alignment horizontal="left" vertical="top" wrapText="1" shrinkToFit="1"/>
    </xf>
    <xf numFmtId="49" fontId="99" fillId="0" borderId="3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wrapText="1"/>
    </xf>
    <xf numFmtId="49" fontId="101" fillId="0" borderId="2" xfId="21" applyNumberFormat="1" applyFont="1" applyFill="1" applyBorder="1" applyAlignment="1">
      <alignment horizontal="left" vertical="top" wrapText="1" shrinkToFit="1"/>
    </xf>
    <xf numFmtId="49" fontId="101" fillId="0" borderId="1" xfId="17" applyNumberFormat="1" applyFont="1" applyFill="1" applyBorder="1" applyAlignment="1">
      <alignment vertical="top" wrapText="1" shrinkToFit="1"/>
    </xf>
    <xf numFmtId="4" fontId="101" fillId="0" borderId="1" xfId="18" applyNumberFormat="1" applyFont="1" applyFill="1" applyBorder="1" applyAlignment="1">
      <alignment vertical="top" wrapText="1" shrinkToFit="1"/>
    </xf>
    <xf numFmtId="0" fontId="95" fillId="0" borderId="1" xfId="0" applyFont="1" applyFill="1" applyBorder="1" applyAlignment="1">
      <alignment horizontal="center"/>
    </xf>
    <xf numFmtId="0" fontId="95" fillId="0" borderId="1" xfId="0" applyFont="1" applyFill="1" applyBorder="1" applyAlignment="1">
      <alignment horizontal="left" vertical="top"/>
    </xf>
    <xf numFmtId="49" fontId="19" fillId="0" borderId="1" xfId="17" applyNumberFormat="1" applyFont="1" applyFill="1" applyBorder="1" applyAlignment="1">
      <alignment vertical="top" wrapText="1" shrinkToFit="1"/>
    </xf>
    <xf numFmtId="0" fontId="13" fillId="0" borderId="1" xfId="0" applyFont="1" applyFill="1" applyBorder="1" applyAlignment="1">
      <alignment horizontal="left" vertical="top"/>
    </xf>
    <xf numFmtId="49" fontId="92" fillId="0" borderId="1" xfId="17" applyNumberFormat="1" applyFont="1" applyFill="1" applyBorder="1" applyAlignment="1">
      <alignment vertical="top" wrapText="1" shrinkToFit="1"/>
    </xf>
    <xf numFmtId="4" fontId="19" fillId="0" borderId="3" xfId="18" applyNumberFormat="1" applyFont="1" applyFill="1" applyBorder="1" applyAlignment="1">
      <alignment vertical="top" wrapText="1" shrinkToFit="1"/>
    </xf>
    <xf numFmtId="4" fontId="19" fillId="0" borderId="0" xfId="0" applyNumberFormat="1" applyFont="1" applyFill="1"/>
    <xf numFmtId="0" fontId="95" fillId="0" borderId="0" xfId="0" applyNumberFormat="1" applyFont="1" applyFill="1" applyAlignment="1">
      <alignment vertical="top" wrapText="1"/>
    </xf>
    <xf numFmtId="169" fontId="13" fillId="0" borderId="1" xfId="0" applyNumberFormat="1" applyFont="1" applyFill="1" applyBorder="1" applyAlignment="1">
      <alignment vertical="top" wrapText="1"/>
    </xf>
    <xf numFmtId="49" fontId="95" fillId="0" borderId="2" xfId="0" applyNumberFormat="1" applyFont="1" applyFill="1" applyBorder="1" applyAlignment="1">
      <alignment horizontal="left" vertical="top" wrapText="1"/>
    </xf>
    <xf numFmtId="169" fontId="13" fillId="0" borderId="2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wrapText="1"/>
    </xf>
    <xf numFmtId="169" fontId="19" fillId="0" borderId="2" xfId="0" applyNumberFormat="1" applyFont="1" applyFill="1" applyBorder="1" applyAlignment="1">
      <alignment horizontal="left" vertical="top" wrapText="1" shrinkToFit="1"/>
    </xf>
    <xf numFmtId="49" fontId="95" fillId="0" borderId="14" xfId="0" applyNumberFormat="1" applyFont="1" applyFill="1" applyBorder="1" applyAlignment="1">
      <alignment horizontal="left" vertical="top" wrapText="1"/>
    </xf>
    <xf numFmtId="165" fontId="95" fillId="0" borderId="1" xfId="1" applyFont="1" applyFill="1" applyBorder="1" applyAlignment="1">
      <alignment horizontal="left" vertical="top" wrapText="1"/>
    </xf>
    <xf numFmtId="4" fontId="101" fillId="0" borderId="6" xfId="18" applyNumberFormat="1" applyFont="1" applyFill="1" applyBorder="1" applyAlignment="1">
      <alignment vertical="top" wrapText="1" shrinkToFit="1"/>
    </xf>
    <xf numFmtId="49" fontId="97" fillId="0" borderId="1" xfId="0" applyNumberFormat="1" applyFont="1" applyFill="1" applyBorder="1" applyAlignment="1">
      <alignment vertical="top" wrapText="1"/>
    </xf>
    <xf numFmtId="165" fontId="95" fillId="0" borderId="1" xfId="1" applyNumberFormat="1" applyFont="1" applyFill="1" applyBorder="1" applyAlignment="1">
      <alignment horizontal="left" vertical="top" wrapText="1"/>
    </xf>
    <xf numFmtId="4" fontId="92" fillId="0" borderId="6" xfId="18" applyNumberFormat="1" applyFont="1" applyFill="1" applyBorder="1" applyAlignment="1">
      <alignment vertical="top" wrapText="1" shrinkToFit="1"/>
    </xf>
    <xf numFmtId="49" fontId="97" fillId="0" borderId="14" xfId="0" applyNumberFormat="1" applyFont="1" applyFill="1" applyBorder="1" applyAlignment="1">
      <alignment horizontal="left" vertical="top" wrapText="1"/>
    </xf>
    <xf numFmtId="49" fontId="97" fillId="0" borderId="5" xfId="0" applyNumberFormat="1" applyFont="1" applyFill="1" applyBorder="1" applyAlignment="1">
      <alignment horizontal="left" vertical="top" wrapText="1"/>
    </xf>
    <xf numFmtId="167" fontId="92" fillId="0" borderId="9" xfId="18" applyNumberFormat="1" applyFont="1" applyFill="1" applyBorder="1" applyAlignment="1">
      <alignment vertical="top" wrapText="1" shrinkToFit="1"/>
    </xf>
    <xf numFmtId="49" fontId="97" fillId="0" borderId="14" xfId="0" applyNumberFormat="1" applyFont="1" applyFill="1" applyBorder="1" applyAlignment="1">
      <alignment vertical="top" wrapText="1"/>
    </xf>
    <xf numFmtId="49" fontId="97" fillId="0" borderId="3" xfId="0" applyNumberFormat="1" applyFont="1" applyFill="1" applyBorder="1" applyAlignment="1">
      <alignment vertical="top" wrapText="1"/>
    </xf>
    <xf numFmtId="49" fontId="95" fillId="0" borderId="3" xfId="0" applyNumberFormat="1" applyFont="1" applyFill="1" applyBorder="1" applyAlignment="1">
      <alignment vertical="top" wrapText="1"/>
    </xf>
    <xf numFmtId="49" fontId="95" fillId="0" borderId="1" xfId="0" applyNumberFormat="1" applyFont="1" applyFill="1" applyBorder="1" applyAlignment="1">
      <alignment vertical="top" wrapText="1" shrinkToFit="1"/>
    </xf>
    <xf numFmtId="49" fontId="19" fillId="0" borderId="14" xfId="21" applyNumberFormat="1" applyFont="1" applyFill="1" applyBorder="1" applyAlignment="1">
      <alignment horizontal="left" vertical="top" wrapText="1" shrinkToFit="1"/>
    </xf>
    <xf numFmtId="49" fontId="107" fillId="0" borderId="3" xfId="0" applyNumberFormat="1" applyFont="1" applyFill="1" applyBorder="1" applyAlignment="1">
      <alignment vertical="top" wrapText="1" shrinkToFit="1"/>
    </xf>
    <xf numFmtId="49" fontId="92" fillId="0" borderId="2" xfId="21" applyNumberFormat="1" applyFont="1" applyFill="1" applyBorder="1" applyAlignment="1">
      <alignment horizontal="left" vertical="top" wrapText="1" shrinkToFit="1"/>
    </xf>
    <xf numFmtId="0" fontId="92" fillId="0" borderId="1" xfId="0" applyFont="1" applyFill="1" applyBorder="1" applyAlignment="1">
      <alignment horizontal="left" vertical="top" wrapText="1" shrinkToFit="1"/>
    </xf>
    <xf numFmtId="0" fontId="92" fillId="0" borderId="3" xfId="0" applyFont="1" applyFill="1" applyBorder="1" applyAlignment="1">
      <alignment vertical="top" wrapText="1" shrinkToFit="1"/>
    </xf>
    <xf numFmtId="49" fontId="95" fillId="0" borderId="2" xfId="0" applyNumberFormat="1" applyFont="1" applyFill="1" applyBorder="1" applyAlignment="1">
      <alignment vertical="top" wrapText="1"/>
    </xf>
    <xf numFmtId="0" fontId="97" fillId="0" borderId="14" xfId="0" applyNumberFormat="1" applyFont="1" applyFill="1" applyBorder="1" applyAlignment="1">
      <alignment horizontal="left" vertical="top" wrapText="1"/>
    </xf>
    <xf numFmtId="4" fontId="95" fillId="0" borderId="1" xfId="0" applyNumberFormat="1" applyFont="1" applyFill="1" applyBorder="1" applyAlignment="1">
      <alignment horizontal="left" vertical="top" wrapText="1"/>
    </xf>
    <xf numFmtId="49" fontId="107" fillId="0" borderId="1" xfId="0" applyNumberFormat="1" applyFont="1" applyFill="1" applyBorder="1" applyAlignment="1">
      <alignment vertical="top" wrapText="1" shrinkToFit="1"/>
    </xf>
    <xf numFmtId="49" fontId="101" fillId="0" borderId="14" xfId="21" applyNumberFormat="1" applyFont="1" applyFill="1" applyBorder="1" applyAlignment="1">
      <alignment horizontal="left" vertical="top" wrapText="1" shrinkToFit="1"/>
    </xf>
    <xf numFmtId="169" fontId="95" fillId="0" borderId="3" xfId="0" applyNumberFormat="1" applyFont="1" applyFill="1" applyBorder="1" applyAlignment="1">
      <alignment horizontal="left" vertical="top" wrapText="1"/>
    </xf>
    <xf numFmtId="0" fontId="95" fillId="0" borderId="1" xfId="0" applyNumberFormat="1" applyFont="1" applyFill="1" applyBorder="1" applyAlignment="1">
      <alignment horizontal="left" vertical="top" wrapText="1"/>
    </xf>
    <xf numFmtId="0" fontId="95" fillId="0" borderId="1" xfId="0" applyNumberFormat="1" applyFont="1" applyFill="1" applyBorder="1" applyAlignment="1">
      <alignment vertical="top" wrapText="1" shrinkToFit="1"/>
    </xf>
    <xf numFmtId="49" fontId="95" fillId="0" borderId="6" xfId="0" applyNumberFormat="1" applyFont="1" applyFill="1" applyBorder="1" applyAlignment="1">
      <alignment vertical="top" wrapText="1" shrinkToFit="1"/>
    </xf>
    <xf numFmtId="4" fontId="92" fillId="0" borderId="3" xfId="20" applyNumberFormat="1" applyFont="1" applyFill="1" applyBorder="1" applyAlignment="1">
      <alignment vertical="top" wrapText="1" shrinkToFit="1"/>
    </xf>
    <xf numFmtId="49" fontId="95" fillId="0" borderId="14" xfId="0" applyNumberFormat="1" applyFont="1" applyFill="1" applyBorder="1" applyAlignment="1">
      <alignment vertical="top" wrapText="1" shrinkToFit="1"/>
    </xf>
    <xf numFmtId="49" fontId="99" fillId="0" borderId="1" xfId="0" applyNumberFormat="1" applyFont="1" applyFill="1" applyBorder="1" applyAlignment="1">
      <alignment vertical="top" wrapText="1"/>
    </xf>
    <xf numFmtId="49" fontId="95" fillId="0" borderId="2" xfId="0" applyNumberFormat="1" applyFont="1" applyFill="1" applyBorder="1" applyAlignment="1">
      <alignment vertical="top" wrapText="1" shrinkToFit="1"/>
    </xf>
    <xf numFmtId="49" fontId="48" fillId="0" borderId="2" xfId="21" applyNumberFormat="1" applyFont="1" applyFill="1" applyBorder="1" applyAlignment="1">
      <alignment vertical="top" wrapText="1" shrinkToFit="1"/>
    </xf>
    <xf numFmtId="49" fontId="21" fillId="0" borderId="1" xfId="0" applyNumberFormat="1" applyFont="1" applyFill="1" applyBorder="1" applyAlignment="1">
      <alignment vertical="top" wrapText="1"/>
    </xf>
    <xf numFmtId="4" fontId="95" fillId="0" borderId="3" xfId="0" applyNumberFormat="1" applyFont="1" applyFill="1" applyBorder="1" applyAlignment="1">
      <alignment horizontal="left" vertical="top" wrapText="1"/>
    </xf>
    <xf numFmtId="169" fontId="95" fillId="0" borderId="3" xfId="0" applyNumberFormat="1" applyFont="1" applyFill="1" applyBorder="1" applyAlignment="1">
      <alignment vertical="top" wrapText="1" shrinkToFi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0" fontId="70" fillId="3" borderId="1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right" vertical="top" wrapText="1"/>
    </xf>
    <xf numFmtId="171" fontId="13" fillId="0" borderId="1" xfId="0" applyNumberFormat="1" applyFont="1" applyFill="1" applyBorder="1" applyAlignment="1">
      <alignment horizontal="right" vertical="top" wrapText="1"/>
    </xf>
    <xf numFmtId="0" fontId="56" fillId="0" borderId="1" xfId="0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49" fontId="92" fillId="2" borderId="1" xfId="9" applyNumberFormat="1" applyFont="1" applyFill="1" applyBorder="1" applyAlignment="1">
      <alignment vertical="top" wrapText="1" shrinkToFit="1"/>
    </xf>
    <xf numFmtId="49" fontId="108" fillId="0" borderId="1" xfId="0" applyNumberFormat="1" applyFont="1" applyFill="1" applyBorder="1" applyAlignment="1">
      <alignment vertical="top" wrapText="1"/>
    </xf>
    <xf numFmtId="4" fontId="108" fillId="0" borderId="6" xfId="18" applyNumberFormat="1" applyFont="1" applyFill="1" applyBorder="1" applyAlignment="1">
      <alignment vertical="top" wrapText="1" shrinkToFit="1"/>
    </xf>
    <xf numFmtId="49" fontId="110" fillId="0" borderId="3" xfId="0" applyNumberFormat="1" applyFont="1" applyFill="1" applyBorder="1" applyAlignment="1">
      <alignment vertical="top" wrapText="1"/>
    </xf>
    <xf numFmtId="49" fontId="54" fillId="0" borderId="1" xfId="0" applyNumberFormat="1" applyFont="1" applyFill="1" applyBorder="1" applyAlignment="1">
      <alignment vertical="top" wrapText="1" shrinkToFit="1"/>
    </xf>
    <xf numFmtId="0" fontId="109" fillId="0" borderId="1" xfId="0" applyFont="1" applyFill="1" applyBorder="1" applyAlignment="1">
      <alignment vertical="top" wrapText="1"/>
    </xf>
    <xf numFmtId="4" fontId="54" fillId="0" borderId="1" xfId="0" applyNumberFormat="1" applyFont="1" applyFill="1" applyBorder="1" applyAlignment="1">
      <alignment horizontal="right" vertical="top" wrapText="1"/>
    </xf>
    <xf numFmtId="0" fontId="109" fillId="0" borderId="14" xfId="0" applyFont="1" applyFill="1" applyBorder="1" applyAlignment="1">
      <alignment vertical="top" wrapText="1"/>
    </xf>
    <xf numFmtId="3" fontId="0" fillId="0" borderId="0" xfId="0" applyNumberFormat="1" applyFont="1" applyAlignment="1">
      <alignment vertical="top" wrapText="1"/>
    </xf>
    <xf numFmtId="49" fontId="108" fillId="0" borderId="1" xfId="0" applyNumberFormat="1" applyFont="1" applyBorder="1" applyAlignment="1">
      <alignment vertical="top" wrapText="1"/>
    </xf>
    <xf numFmtId="0" fontId="109" fillId="0" borderId="1" xfId="0" applyFont="1" applyBorder="1" applyAlignment="1">
      <alignment vertical="top" wrapText="1"/>
    </xf>
    <xf numFmtId="0" fontId="109" fillId="0" borderId="14" xfId="0" applyFont="1" applyBorder="1" applyAlignment="1">
      <alignment vertical="top" wrapText="1"/>
    </xf>
    <xf numFmtId="4" fontId="108" fillId="0" borderId="6" xfId="18" applyNumberFormat="1" applyFont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 shrinkToFit="1"/>
    </xf>
    <xf numFmtId="0" fontId="0" fillId="0" borderId="3" xfId="0" applyFont="1" applyFill="1" applyBorder="1" applyAlignment="1">
      <alignment vertical="top" wrapText="1" shrinkToFit="1"/>
    </xf>
    <xf numFmtId="0" fontId="0" fillId="0" borderId="3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 wrapText="1" shrinkToFit="1"/>
    </xf>
    <xf numFmtId="0" fontId="56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2" fontId="58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Border="1" applyAlignment="1">
      <alignment horizontal="right" vertical="top" wrapText="1"/>
    </xf>
    <xf numFmtId="1" fontId="0" fillId="0" borderId="1" xfId="0" applyNumberFormat="1" applyFont="1" applyFill="1" applyBorder="1" applyAlignment="1">
      <alignment vertical="top" wrapText="1" shrinkToFit="1"/>
    </xf>
    <xf numFmtId="4" fontId="0" fillId="0" borderId="1" xfId="0" applyNumberFormat="1" applyFont="1" applyFill="1" applyBorder="1" applyAlignment="1">
      <alignment horizontal="right" vertical="top" wrapText="1"/>
    </xf>
    <xf numFmtId="49" fontId="0" fillId="5" borderId="1" xfId="0" applyNumberFormat="1" applyFill="1" applyBorder="1" applyAlignment="1">
      <alignment vertical="top" wrapText="1" shrinkToFit="1"/>
    </xf>
    <xf numFmtId="49" fontId="108" fillId="0" borderId="1" xfId="0" applyNumberFormat="1" applyFont="1" applyBorder="1" applyAlignment="1">
      <alignment horizontal="left" vertical="top" wrapText="1"/>
    </xf>
    <xf numFmtId="0" fontId="108" fillId="0" borderId="14" xfId="0" applyFont="1" applyBorder="1" applyAlignment="1">
      <alignment horizontal="left" vertical="top" wrapText="1"/>
    </xf>
    <xf numFmtId="49" fontId="54" fillId="0" borderId="1" xfId="0" applyNumberFormat="1" applyFont="1" applyFill="1" applyBorder="1" applyAlignment="1">
      <alignment vertical="top" wrapText="1"/>
    </xf>
    <xf numFmtId="4" fontId="111" fillId="0" borderId="6" xfId="18" applyNumberFormat="1" applyFont="1" applyFill="1" applyBorder="1" applyAlignment="1">
      <alignment vertical="top" wrapText="1" shrinkToFit="1"/>
    </xf>
    <xf numFmtId="49" fontId="54" fillId="0" borderId="1" xfId="0" applyNumberFormat="1" applyFont="1" applyFill="1" applyBorder="1" applyAlignment="1">
      <alignment horizontal="left" vertical="top" wrapText="1"/>
    </xf>
    <xf numFmtId="4" fontId="111" fillId="0" borderId="3" xfId="18" applyNumberFormat="1" applyFont="1" applyFill="1" applyBorder="1" applyAlignment="1">
      <alignment vertical="top" wrapText="1" shrinkToFit="1"/>
    </xf>
    <xf numFmtId="49" fontId="54" fillId="0" borderId="1" xfId="0" applyNumberFormat="1" applyFont="1" applyBorder="1" applyAlignment="1">
      <alignment vertical="top" wrapText="1"/>
    </xf>
    <xf numFmtId="49" fontId="13" fillId="0" borderId="2" xfId="0" applyNumberFormat="1" applyFont="1" applyFill="1" applyBorder="1" applyAlignment="1">
      <alignment horizontal="left" vertical="top" wrapText="1"/>
    </xf>
    <xf numFmtId="49" fontId="92" fillId="0" borderId="3" xfId="0" applyNumberFormat="1" applyFont="1" applyFill="1" applyBorder="1" applyAlignment="1">
      <alignment horizontal="left" vertical="top" wrapText="1"/>
    </xf>
    <xf numFmtId="49" fontId="92" fillId="0" borderId="1" xfId="0" applyNumberFormat="1" applyFont="1" applyFill="1" applyBorder="1" applyAlignment="1">
      <alignment vertical="top" wrapText="1"/>
    </xf>
    <xf numFmtId="49" fontId="92" fillId="0" borderId="3" xfId="0" applyNumberFormat="1" applyFont="1" applyFill="1" applyBorder="1" applyAlignment="1">
      <alignment vertical="top" wrapText="1"/>
    </xf>
    <xf numFmtId="49" fontId="92" fillId="0" borderId="3" xfId="21" applyNumberFormat="1" applyFont="1" applyFill="1" applyBorder="1" applyAlignment="1">
      <alignment horizontal="left" vertical="top" wrapText="1" shrinkToFit="1"/>
    </xf>
    <xf numFmtId="49" fontId="92" fillId="0" borderId="14" xfId="0" applyNumberFormat="1" applyFont="1" applyFill="1" applyBorder="1" applyAlignment="1">
      <alignment vertical="top" wrapText="1"/>
    </xf>
    <xf numFmtId="4" fontId="92" fillId="0" borderId="3" xfId="0" applyNumberFormat="1" applyFont="1" applyFill="1" applyBorder="1" applyAlignment="1">
      <alignment horizontal="right" vertical="top" wrapText="1"/>
    </xf>
    <xf numFmtId="49" fontId="95" fillId="0" borderId="1" xfId="0" applyNumberFormat="1" applyFont="1" applyFill="1" applyBorder="1" applyAlignment="1">
      <alignment horizontal="right" vertical="top" wrapText="1"/>
    </xf>
    <xf numFmtId="4" fontId="92" fillId="0" borderId="1" xfId="0" applyNumberFormat="1" applyFont="1" applyFill="1" applyBorder="1" applyAlignment="1">
      <alignment horizontal="right" vertical="top" wrapText="1"/>
    </xf>
    <xf numFmtId="49" fontId="112" fillId="0" borderId="1" xfId="8" applyNumberFormat="1" applyFont="1" applyFill="1" applyBorder="1" applyAlignment="1">
      <alignment vertical="top" wrapText="1" shrinkToFit="1"/>
    </xf>
    <xf numFmtId="49" fontId="92" fillId="0" borderId="1" xfId="8" applyNumberFormat="1" applyFont="1" applyFill="1" applyBorder="1" applyAlignment="1">
      <alignment vertical="top" wrapText="1" shrinkToFit="1"/>
    </xf>
    <xf numFmtId="49" fontId="113" fillId="0" borderId="1" xfId="8" applyNumberFormat="1" applyFont="1" applyFill="1" applyBorder="1" applyAlignment="1">
      <alignment vertical="top" wrapText="1" shrinkToFit="1"/>
    </xf>
    <xf numFmtId="49" fontId="92" fillId="0" borderId="1" xfId="8" applyNumberFormat="1" applyFont="1" applyFill="1" applyBorder="1" applyAlignment="1">
      <alignment horizontal="left" vertical="top" wrapText="1" shrinkToFit="1"/>
    </xf>
    <xf numFmtId="49" fontId="112" fillId="0" borderId="1" xfId="0" applyNumberFormat="1" applyFont="1" applyFill="1" applyBorder="1" applyAlignment="1">
      <alignment vertical="top" wrapText="1"/>
    </xf>
    <xf numFmtId="49" fontId="114" fillId="0" borderId="1" xfId="8" applyNumberFormat="1" applyFont="1" applyFill="1" applyBorder="1" applyAlignment="1">
      <alignment vertical="top" wrapText="1" shrinkToFit="1"/>
    </xf>
    <xf numFmtId="49" fontId="95" fillId="0" borderId="1" xfId="8" applyNumberFormat="1" applyFont="1" applyFill="1" applyBorder="1" applyAlignment="1">
      <alignment vertical="top" wrapText="1" shrinkToFit="1"/>
    </xf>
    <xf numFmtId="169" fontId="92" fillId="0" borderId="1" xfId="8" applyNumberFormat="1" applyFont="1" applyFill="1" applyBorder="1" applyAlignment="1">
      <alignment vertical="top" wrapText="1" shrinkToFit="1"/>
    </xf>
    <xf numFmtId="0" fontId="92" fillId="0" borderId="1" xfId="0" applyFont="1" applyFill="1" applyBorder="1" applyAlignment="1">
      <alignment vertical="top"/>
    </xf>
    <xf numFmtId="49" fontId="97" fillId="0" borderId="1" xfId="8" applyNumberFormat="1" applyFont="1" applyFill="1" applyBorder="1" applyAlignment="1">
      <alignment vertical="top" wrapText="1" shrinkToFit="1"/>
    </xf>
    <xf numFmtId="49" fontId="92" fillId="0" borderId="1" xfId="7" applyNumberFormat="1" applyFont="1" applyFill="1" applyBorder="1" applyAlignment="1">
      <alignment vertical="top" wrapText="1" shrinkToFit="1"/>
    </xf>
    <xf numFmtId="49" fontId="95" fillId="0" borderId="1" xfId="7" applyNumberFormat="1" applyFont="1" applyFill="1" applyBorder="1" applyAlignment="1">
      <alignment vertical="top" wrapText="1" shrinkToFit="1"/>
    </xf>
    <xf numFmtId="169" fontId="92" fillId="0" borderId="1" xfId="7" applyNumberFormat="1" applyFont="1" applyFill="1" applyBorder="1" applyAlignment="1">
      <alignment vertical="top" wrapText="1" shrinkToFit="1"/>
    </xf>
    <xf numFmtId="0" fontId="92" fillId="0" borderId="1" xfId="0" applyFont="1" applyFill="1" applyBorder="1" applyAlignment="1">
      <alignment horizontal="left" vertical="top"/>
    </xf>
    <xf numFmtId="49" fontId="115" fillId="0" borderId="1" xfId="0" applyNumberFormat="1" applyFont="1" applyFill="1" applyBorder="1" applyAlignment="1">
      <alignment horizontal="left" vertical="top" wrapText="1"/>
    </xf>
    <xf numFmtId="0" fontId="116" fillId="0" borderId="1" xfId="0" applyFont="1" applyFill="1" applyBorder="1" applyAlignment="1">
      <alignment horizontal="left" vertical="top"/>
    </xf>
    <xf numFmtId="49" fontId="92" fillId="0" borderId="2" xfId="8" applyNumberFormat="1" applyFont="1" applyFill="1" applyBorder="1" applyAlignment="1">
      <alignment horizontal="right" vertical="top" wrapText="1" shrinkToFit="1"/>
    </xf>
    <xf numFmtId="167" fontId="92" fillId="0" borderId="1" xfId="10" applyNumberFormat="1" applyFont="1" applyFill="1" applyBorder="1" applyAlignment="1">
      <alignment horizontal="right" vertical="top" wrapText="1" shrinkToFit="1"/>
    </xf>
    <xf numFmtId="49" fontId="95" fillId="0" borderId="2" xfId="8" applyNumberFormat="1" applyFont="1" applyFill="1" applyBorder="1" applyAlignment="1">
      <alignment horizontal="right" vertical="top" wrapText="1" shrinkToFit="1"/>
    </xf>
    <xf numFmtId="167" fontId="95" fillId="0" borderId="1" xfId="10" applyNumberFormat="1" applyFont="1" applyFill="1" applyBorder="1" applyAlignment="1">
      <alignment horizontal="right" vertical="top" wrapText="1" shrinkToFit="1"/>
    </xf>
    <xf numFmtId="4" fontId="92" fillId="0" borderId="1" xfId="10" applyNumberFormat="1" applyFont="1" applyFill="1" applyBorder="1" applyAlignment="1">
      <alignment horizontal="right" vertical="top" wrapText="1" shrinkToFit="1"/>
    </xf>
    <xf numFmtId="49" fontId="92" fillId="0" borderId="2" xfId="0" applyNumberFormat="1" applyFont="1" applyFill="1" applyBorder="1" applyAlignment="1">
      <alignment horizontal="right" vertical="top" wrapText="1"/>
    </xf>
    <xf numFmtId="49" fontId="92" fillId="0" borderId="2" xfId="6" applyNumberFormat="1" applyFont="1" applyFill="1" applyBorder="1" applyAlignment="1">
      <alignment horizontal="right" vertical="top" wrapText="1" shrinkToFit="1"/>
    </xf>
    <xf numFmtId="49" fontId="92" fillId="0" borderId="1" xfId="8" applyNumberFormat="1" applyFont="1" applyFill="1" applyBorder="1" applyAlignment="1">
      <alignment horizontal="right" vertical="top" wrapText="1" shrinkToFit="1"/>
    </xf>
    <xf numFmtId="49" fontId="95" fillId="0" borderId="1" xfId="8" applyNumberFormat="1" applyFont="1" applyFill="1" applyBorder="1" applyAlignment="1">
      <alignment horizontal="right" vertical="top" wrapText="1" shrinkToFit="1"/>
    </xf>
    <xf numFmtId="49" fontId="92" fillId="0" borderId="1" xfId="0" applyNumberFormat="1" applyFont="1" applyFill="1" applyBorder="1" applyAlignment="1">
      <alignment horizontal="right" vertical="top" wrapText="1"/>
    </xf>
    <xf numFmtId="49" fontId="92" fillId="0" borderId="1" xfId="0" applyNumberFormat="1" applyFont="1" applyFill="1" applyBorder="1" applyAlignment="1">
      <alignment horizontal="center" vertical="top" wrapText="1" shrinkToFit="1"/>
    </xf>
    <xf numFmtId="49" fontId="92" fillId="0" borderId="1" xfId="0" applyNumberFormat="1" applyFont="1" applyFill="1" applyBorder="1" applyAlignment="1">
      <alignment horizontal="center" vertical="top" wrapText="1"/>
    </xf>
    <xf numFmtId="49" fontId="95" fillId="0" borderId="1" xfId="0" applyNumberFormat="1" applyFont="1" applyFill="1" applyBorder="1" applyAlignment="1">
      <alignment horizontal="center" vertical="top" wrapText="1"/>
    </xf>
    <xf numFmtId="4" fontId="92" fillId="0" borderId="1" xfId="0" applyNumberFormat="1" applyFont="1" applyFill="1" applyBorder="1" applyAlignment="1">
      <alignment horizontal="center" vertical="top" wrapText="1"/>
    </xf>
    <xf numFmtId="3" fontId="92" fillId="0" borderId="1" xfId="0" applyNumberFormat="1" applyFont="1" applyFill="1" applyBorder="1" applyAlignment="1">
      <alignment horizontal="center" vertical="top" wrapText="1"/>
    </xf>
    <xf numFmtId="1" fontId="92" fillId="0" borderId="1" xfId="0" applyNumberFormat="1" applyFont="1" applyFill="1" applyBorder="1" applyAlignment="1">
      <alignment horizontal="center" vertical="top" wrapText="1"/>
    </xf>
    <xf numFmtId="49" fontId="92" fillId="0" borderId="1" xfId="0" applyNumberFormat="1" applyFont="1" applyFill="1" applyBorder="1" applyAlignment="1">
      <alignment horizontal="right" vertical="top" wrapText="1" shrinkToFit="1"/>
    </xf>
    <xf numFmtId="0" fontId="92" fillId="0" borderId="1" xfId="10" applyFont="1" applyFill="1" applyBorder="1" applyAlignment="1">
      <alignment horizontal="right" vertical="top" wrapText="1" shrinkToFit="1"/>
    </xf>
    <xf numFmtId="167" fontId="92" fillId="0" borderId="1" xfId="6" applyNumberFormat="1" applyFont="1" applyFill="1" applyBorder="1" applyAlignment="1">
      <alignment horizontal="right" vertical="top" wrapText="1" shrinkToFit="1"/>
    </xf>
    <xf numFmtId="167" fontId="95" fillId="0" borderId="1" xfId="0" applyNumberFormat="1" applyFont="1" applyFill="1" applyBorder="1" applyAlignment="1">
      <alignment horizontal="right" vertical="top" wrapText="1"/>
    </xf>
    <xf numFmtId="167" fontId="92" fillId="0" borderId="1" xfId="0" applyNumberFormat="1" applyFont="1" applyFill="1" applyBorder="1" applyAlignment="1">
      <alignment horizontal="right" vertical="top" wrapText="1" shrinkToFit="1"/>
    </xf>
    <xf numFmtId="167" fontId="92" fillId="0" borderId="5" xfId="10" applyNumberFormat="1" applyFont="1" applyFill="1" applyBorder="1" applyAlignment="1">
      <alignment horizontal="right" vertical="top" wrapText="1" shrinkToFit="1"/>
    </xf>
    <xf numFmtId="0" fontId="95" fillId="0" borderId="1" xfId="10" applyFont="1" applyFill="1" applyBorder="1" applyAlignment="1">
      <alignment horizontal="right" vertical="top" wrapText="1" shrinkToFit="1"/>
    </xf>
    <xf numFmtId="168" fontId="95" fillId="0" borderId="1" xfId="10" applyNumberFormat="1" applyFont="1" applyFill="1" applyBorder="1" applyAlignment="1">
      <alignment horizontal="right" vertical="top" wrapText="1" shrinkToFit="1"/>
    </xf>
    <xf numFmtId="168" fontId="92" fillId="0" borderId="1" xfId="10" applyNumberFormat="1" applyFont="1" applyFill="1" applyBorder="1" applyAlignment="1">
      <alignment horizontal="right" vertical="top" wrapText="1" shrinkToFit="1"/>
    </xf>
    <xf numFmtId="167" fontId="92" fillId="0" borderId="1" xfId="0" applyNumberFormat="1" applyFont="1" applyFill="1" applyBorder="1" applyAlignment="1">
      <alignment horizontal="right" vertical="top" wrapText="1"/>
    </xf>
    <xf numFmtId="4" fontId="92" fillId="0" borderId="1" xfId="0" applyNumberFormat="1" applyFont="1" applyFill="1" applyBorder="1" applyAlignment="1">
      <alignment horizontal="right" vertical="top" wrapText="1" shrinkToFit="1"/>
    </xf>
    <xf numFmtId="0" fontId="95" fillId="0" borderId="1" xfId="0" applyFont="1" applyFill="1" applyBorder="1" applyAlignment="1">
      <alignment horizontal="right" vertical="top" wrapText="1"/>
    </xf>
    <xf numFmtId="4" fontId="92" fillId="0" borderId="1" xfId="0" applyNumberFormat="1" applyFont="1" applyFill="1" applyBorder="1" applyAlignment="1">
      <alignment vertical="top" wrapText="1"/>
    </xf>
    <xf numFmtId="4" fontId="92" fillId="0" borderId="0" xfId="0" applyNumberFormat="1" applyFont="1" applyFill="1" applyAlignment="1">
      <alignment vertical="top"/>
    </xf>
    <xf numFmtId="4" fontId="92" fillId="0" borderId="3" xfId="0" applyNumberFormat="1" applyFont="1" applyFill="1" applyBorder="1" applyAlignment="1">
      <alignment vertical="center" wrapText="1"/>
    </xf>
    <xf numFmtId="4" fontId="92" fillId="0" borderId="4" xfId="0" applyNumberFormat="1" applyFont="1" applyFill="1" applyBorder="1" applyAlignment="1">
      <alignment vertical="center" wrapText="1"/>
    </xf>
    <xf numFmtId="4" fontId="92" fillId="0" borderId="5" xfId="0" applyNumberFormat="1" applyFont="1" applyFill="1" applyBorder="1" applyAlignment="1">
      <alignment vertical="center" wrapText="1"/>
    </xf>
    <xf numFmtId="4" fontId="92" fillId="0" borderId="5" xfId="0" applyNumberFormat="1" applyFont="1" applyFill="1" applyBorder="1" applyAlignment="1">
      <alignment horizontal="right" vertical="top" wrapText="1"/>
    </xf>
    <xf numFmtId="4" fontId="92" fillId="0" borderId="1" xfId="6" applyNumberFormat="1" applyFont="1" applyFill="1" applyBorder="1" applyAlignment="1">
      <alignment horizontal="right" vertical="top" wrapText="1" shrinkToFit="1"/>
    </xf>
    <xf numFmtId="4" fontId="92" fillId="0" borderId="5" xfId="0" applyNumberFormat="1" applyFont="1" applyFill="1" applyBorder="1" applyAlignment="1">
      <alignment vertical="top" wrapText="1"/>
    </xf>
    <xf numFmtId="0" fontId="92" fillId="0" borderId="0" xfId="0" applyFont="1" applyFill="1" applyAlignment="1">
      <alignment vertical="top"/>
    </xf>
    <xf numFmtId="4" fontId="92" fillId="0" borderId="1" xfId="0" applyNumberFormat="1" applyFont="1" applyFill="1" applyBorder="1" applyAlignment="1">
      <alignment horizontal="right" vertical="center" wrapText="1"/>
    </xf>
    <xf numFmtId="4" fontId="92" fillId="0" borderId="1" xfId="0" applyNumberFormat="1" applyFont="1" applyFill="1" applyBorder="1" applyAlignment="1">
      <alignment vertical="center" wrapText="1"/>
    </xf>
    <xf numFmtId="0" fontId="92" fillId="0" borderId="1" xfId="0" applyFont="1" applyFill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17" fillId="0" borderId="1" xfId="0" applyNumberFormat="1" applyFont="1" applyFill="1" applyBorder="1" applyAlignment="1">
      <alignment horizontal="left" vertical="top" wrapText="1"/>
    </xf>
    <xf numFmtId="0" fontId="117" fillId="0" borderId="1" xfId="0" applyFont="1" applyBorder="1" applyAlignment="1">
      <alignment vertical="top" wrapText="1"/>
    </xf>
    <xf numFmtId="0" fontId="117" fillId="0" borderId="1" xfId="0" applyFont="1" applyBorder="1" applyAlignment="1">
      <alignment horizontal="left" vertical="top" wrapText="1" shrinkToFit="1"/>
    </xf>
    <xf numFmtId="49" fontId="118" fillId="0" borderId="1" xfId="0" applyNumberFormat="1" applyFont="1" applyBorder="1" applyAlignment="1">
      <alignment horizontal="left" vertical="top" wrapText="1"/>
    </xf>
    <xf numFmtId="2" fontId="117" fillId="0" borderId="1" xfId="0" applyNumberFormat="1" applyFont="1" applyBorder="1" applyAlignment="1">
      <alignment vertical="top" wrapText="1"/>
    </xf>
    <xf numFmtId="49" fontId="119" fillId="0" borderId="1" xfId="0" applyNumberFormat="1" applyFont="1" applyBorder="1" applyAlignment="1">
      <alignment vertical="top" wrapText="1"/>
    </xf>
    <xf numFmtId="4" fontId="117" fillId="0" borderId="1" xfId="0" applyNumberFormat="1" applyFont="1" applyBorder="1" applyAlignment="1">
      <alignment vertical="top" wrapText="1"/>
    </xf>
    <xf numFmtId="49" fontId="119" fillId="0" borderId="0" xfId="0" applyNumberFormat="1" applyFont="1" applyAlignment="1">
      <alignment vertical="top" wrapText="1"/>
    </xf>
    <xf numFmtId="49" fontId="117" fillId="0" borderId="1" xfId="0" applyNumberFormat="1" applyFont="1" applyBorder="1" applyAlignment="1">
      <alignment vertical="top" wrapText="1"/>
    </xf>
    <xf numFmtId="169" fontId="92" fillId="0" borderId="1" xfId="0" applyNumberFormat="1" applyFont="1" applyFill="1" applyBorder="1" applyAlignment="1">
      <alignment horizontal="left" vertical="top" wrapText="1" shrinkToFit="1"/>
    </xf>
    <xf numFmtId="0" fontId="97" fillId="0" borderId="1" xfId="0" applyFont="1" applyFill="1" applyBorder="1" applyAlignment="1">
      <alignment horizontal="left" vertical="top" wrapText="1" shrinkToFit="1"/>
    </xf>
    <xf numFmtId="4" fontId="92" fillId="0" borderId="1" xfId="0" applyNumberFormat="1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0" fontId="19" fillId="0" borderId="1" xfId="0" applyFont="1" applyFill="1" applyBorder="1" applyAlignment="1">
      <alignment horizontal="left" vertical="top"/>
    </xf>
    <xf numFmtId="49" fontId="13" fillId="0" borderId="1" xfId="0" applyNumberFormat="1" applyFont="1" applyBorder="1" applyAlignment="1">
      <alignment horizontal="center" vertical="top" wrapTex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1" fontId="0" fillId="0" borderId="5" xfId="0" applyNumberFormat="1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vertical="top" wrapText="1" shrinkToFit="1"/>
    </xf>
    <xf numFmtId="0" fontId="0" fillId="0" borderId="4" xfId="0" applyFont="1" applyFill="1" applyBorder="1" applyAlignment="1">
      <alignment vertical="top" wrapText="1" shrinkToFit="1"/>
    </xf>
    <xf numFmtId="0" fontId="0" fillId="0" borderId="5" xfId="0" applyFont="1" applyFill="1" applyBorder="1" applyAlignment="1">
      <alignment vertical="top" wrapText="1" shrinkToFit="1"/>
    </xf>
    <xf numFmtId="0" fontId="0" fillId="0" borderId="3" xfId="0" applyFont="1" applyFill="1" applyBorder="1" applyAlignment="1">
      <alignment horizontal="center" vertical="top" wrapText="1" shrinkToFit="1"/>
    </xf>
    <xf numFmtId="0" fontId="0" fillId="0" borderId="4" xfId="0" applyFont="1" applyFill="1" applyBorder="1" applyAlignment="1">
      <alignment horizontal="center" vertical="top" wrapText="1" shrinkToFit="1"/>
    </xf>
    <xf numFmtId="0" fontId="0" fillId="0" borderId="5" xfId="0" applyFont="1" applyFill="1" applyBorder="1" applyAlignment="1">
      <alignment horizontal="center" vertical="top" wrapText="1" shrinkToFit="1"/>
    </xf>
    <xf numFmtId="1" fontId="0" fillId="0" borderId="4" xfId="0" applyNumberFormat="1" applyFont="1" applyFill="1" applyBorder="1" applyAlignment="1">
      <alignment horizontal="center" vertical="top" wrapText="1" shrinkToFit="1"/>
    </xf>
    <xf numFmtId="1" fontId="15" fillId="0" borderId="3" xfId="0" applyNumberFormat="1" applyFont="1" applyFill="1" applyBorder="1" applyAlignment="1">
      <alignment horizontal="center" vertical="top" wrapText="1" shrinkToFit="1"/>
    </xf>
    <xf numFmtId="1" fontId="15" fillId="0" borderId="4" xfId="0" applyNumberFormat="1" applyFont="1" applyFill="1" applyBorder="1" applyAlignment="1">
      <alignment horizontal="center" vertical="top" wrapText="1" shrinkToFit="1"/>
    </xf>
    <xf numFmtId="1" fontId="15" fillId="0" borderId="5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Fill="1" applyBorder="1" applyAlignment="1">
      <alignment vertical="top" wrapText="1" shrinkToFit="1"/>
    </xf>
    <xf numFmtId="0" fontId="0" fillId="0" borderId="4" xfId="0" applyFill="1" applyBorder="1" applyAlignment="1">
      <alignment vertical="top" wrapText="1" shrinkToFit="1"/>
    </xf>
    <xf numFmtId="0" fontId="0" fillId="0" borderId="5" xfId="0" applyFill="1" applyBorder="1" applyAlignment="1">
      <alignment vertical="top" wrapText="1" shrinkToFit="1"/>
    </xf>
    <xf numFmtId="1" fontId="0" fillId="0" borderId="3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 vertical="top"/>
    </xf>
    <xf numFmtId="1" fontId="0" fillId="0" borderId="5" xfId="0" applyNumberFormat="1" applyFont="1" applyFill="1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0" fontId="56" fillId="0" borderId="4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 shrinkToFit="1"/>
    </xf>
    <xf numFmtId="0" fontId="0" fillId="0" borderId="5" xfId="0" applyFont="1" applyFill="1" applyBorder="1" applyAlignment="1">
      <alignment horizontal="left" vertical="top" wrapText="1" shrinkToFit="1"/>
    </xf>
    <xf numFmtId="0" fontId="0" fillId="0" borderId="1" xfId="0" applyFill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56" fillId="0" borderId="5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0" fillId="0" borderId="3" xfId="0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0" fillId="0" borderId="5" xfId="0" applyBorder="1" applyAlignment="1">
      <alignment vertical="top" wrapText="1" shrinkToFit="1"/>
    </xf>
    <xf numFmtId="1" fontId="0" fillId="0" borderId="3" xfId="0" applyNumberFormat="1" applyBorder="1" applyAlignment="1">
      <alignment horizontal="center" vertical="top" wrapText="1" shrinkToFit="1"/>
    </xf>
    <xf numFmtId="1" fontId="0" fillId="0" borderId="4" xfId="0" applyNumberFormat="1" applyBorder="1" applyAlignment="1">
      <alignment horizontal="center" vertical="top" wrapText="1" shrinkToFit="1"/>
    </xf>
    <xf numFmtId="1" fontId="0" fillId="0" borderId="5" xfId="0" applyNumberFormat="1" applyBorder="1" applyAlignment="1">
      <alignment horizontal="center" vertical="top" wrapText="1" shrinkToFit="1"/>
    </xf>
    <xf numFmtId="0" fontId="0" fillId="0" borderId="3" xfId="0" applyBorder="1" applyAlignment="1">
      <alignment horizontal="center" vertical="top" wrapText="1" shrinkToFit="1"/>
    </xf>
    <xf numFmtId="0" fontId="0" fillId="0" borderId="4" xfId="0" applyBorder="1" applyAlignment="1">
      <alignment horizontal="center" vertical="top" wrapText="1" shrinkToFit="1"/>
    </xf>
    <xf numFmtId="0" fontId="0" fillId="0" borderId="5" xfId="0" applyBorder="1" applyAlignment="1">
      <alignment horizontal="center" vertical="top" wrapText="1" shrinkToFi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3" xfId="0" applyFont="1" applyBorder="1" applyAlignment="1">
      <alignment horizontal="center" vertical="top" wrapText="1" shrinkToFit="1"/>
    </xf>
    <xf numFmtId="0" fontId="0" fillId="0" borderId="4" xfId="0" applyFont="1" applyBorder="1" applyAlignment="1">
      <alignment horizontal="center" vertical="top" wrapText="1" shrinkToFit="1"/>
    </xf>
    <xf numFmtId="1" fontId="11" fillId="0" borderId="3" xfId="0" applyNumberFormat="1" applyFont="1" applyBorder="1" applyAlignment="1">
      <alignment horizontal="center" vertical="top" wrapText="1" shrinkToFit="1"/>
    </xf>
    <xf numFmtId="1" fontId="11" fillId="0" borderId="4" xfId="0" applyNumberFormat="1" applyFont="1" applyBorder="1" applyAlignment="1">
      <alignment horizontal="center" vertical="top" wrapText="1" shrinkToFit="1"/>
    </xf>
    <xf numFmtId="0" fontId="90" fillId="0" borderId="3" xfId="0" applyFont="1" applyFill="1" applyBorder="1" applyAlignment="1">
      <alignment horizontal="center" vertical="top" wrapText="1" shrinkToFit="1"/>
    </xf>
    <xf numFmtId="49" fontId="0" fillId="0" borderId="3" xfId="0" applyNumberFormat="1" applyFont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 wrapText="1"/>
    </xf>
    <xf numFmtId="49" fontId="0" fillId="0" borderId="5" xfId="0" applyNumberFormat="1" applyFont="1" applyBorder="1" applyAlignment="1">
      <alignment horizontal="center" vertical="top" wrapText="1"/>
    </xf>
    <xf numFmtId="49" fontId="0" fillId="0" borderId="5" xfId="0" applyNumberFormat="1" applyFont="1" applyFill="1" applyBorder="1" applyAlignment="1">
      <alignment horizontal="center" vertical="top" wrapText="1"/>
    </xf>
    <xf numFmtId="0" fontId="56" fillId="0" borderId="3" xfId="0" applyFont="1" applyBorder="1" applyAlignment="1">
      <alignment horizontal="center" vertical="top" wrapText="1"/>
    </xf>
    <xf numFmtId="0" fontId="56" fillId="0" borderId="4" xfId="0" applyFont="1" applyBorder="1" applyAlignment="1">
      <alignment horizontal="center" vertical="top" wrapText="1"/>
    </xf>
    <xf numFmtId="0" fontId="56" fillId="0" borderId="5" xfId="0" applyFont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56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 shrinkToFit="1"/>
    </xf>
    <xf numFmtId="1" fontId="11" fillId="0" borderId="3" xfId="0" applyNumberFormat="1" applyFont="1" applyFill="1" applyBorder="1" applyAlignment="1">
      <alignment horizontal="center" vertical="top" wrapText="1" shrinkToFit="1"/>
    </xf>
    <xf numFmtId="0" fontId="11" fillId="0" borderId="4" xfId="0" applyFont="1" applyFill="1" applyBorder="1"/>
    <xf numFmtId="2" fontId="0" fillId="0" borderId="3" xfId="0" applyNumberFormat="1" applyFont="1" applyFill="1" applyBorder="1" applyAlignment="1">
      <alignment vertical="top" wrapText="1" shrinkToFit="1"/>
    </xf>
    <xf numFmtId="2" fontId="0" fillId="0" borderId="4" xfId="0" applyNumberFormat="1" applyFont="1" applyFill="1" applyBorder="1" applyAlignment="1">
      <alignment vertical="top" wrapText="1" shrinkToFit="1"/>
    </xf>
    <xf numFmtId="2" fontId="0" fillId="0" borderId="5" xfId="0" applyNumberFormat="1" applyFont="1" applyFill="1" applyBorder="1" applyAlignment="1">
      <alignment vertical="top" wrapText="1" shrinkToFit="1"/>
    </xf>
    <xf numFmtId="0" fontId="56" fillId="0" borderId="3" xfId="0" applyFont="1" applyFill="1" applyBorder="1" applyAlignment="1">
      <alignment horizontal="center" vertical="top" wrapText="1" shrinkToFit="1"/>
    </xf>
    <xf numFmtId="0" fontId="56" fillId="0" borderId="5" xfId="0" applyFont="1" applyFill="1" applyBorder="1" applyAlignment="1">
      <alignment horizontal="center" vertical="top" wrapText="1" shrinkToFit="1"/>
    </xf>
    <xf numFmtId="1" fontId="0" fillId="0" borderId="13" xfId="0" applyNumberFormat="1" applyFont="1" applyFill="1" applyBorder="1" applyAlignment="1">
      <alignment horizontal="center" vertical="top" wrapText="1" shrinkToFit="1"/>
    </xf>
    <xf numFmtId="1" fontId="0" fillId="0" borderId="11" xfId="0" applyNumberFormat="1" applyFont="1" applyFill="1" applyBorder="1" applyAlignment="1">
      <alignment horizontal="center" vertical="top" wrapText="1" shrinkToFit="1"/>
    </xf>
    <xf numFmtId="0" fontId="56" fillId="0" borderId="4" xfId="0" applyFont="1" applyFill="1" applyBorder="1" applyAlignment="1">
      <alignment horizontal="center" vertical="top" wrapText="1" shrinkToFit="1"/>
    </xf>
    <xf numFmtId="4" fontId="0" fillId="0" borderId="3" xfId="0" applyNumberFormat="1" applyFont="1" applyFill="1" applyBorder="1" applyAlignment="1">
      <alignment horizontal="center" vertical="top" wrapText="1"/>
    </xf>
    <xf numFmtId="4" fontId="0" fillId="0" borderId="4" xfId="0" applyNumberFormat="1" applyFont="1" applyFill="1" applyBorder="1" applyAlignment="1">
      <alignment horizontal="center" vertical="top" wrapText="1"/>
    </xf>
    <xf numFmtId="4" fontId="0" fillId="0" borderId="5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/>
    <xf numFmtId="0" fontId="0" fillId="0" borderId="1" xfId="0" applyFont="1" applyFill="1" applyBorder="1"/>
    <xf numFmtId="0" fontId="11" fillId="0" borderId="3" xfId="0" applyFont="1" applyFill="1" applyBorder="1" applyAlignment="1">
      <alignment vertical="top" wrapText="1" shrinkToFit="1"/>
    </xf>
    <xf numFmtId="0" fontId="11" fillId="0" borderId="4" xfId="0" applyFont="1" applyFill="1" applyBorder="1" applyAlignment="1">
      <alignment vertical="top" wrapText="1" shrinkToFit="1"/>
    </xf>
    <xf numFmtId="0" fontId="11" fillId="0" borderId="5" xfId="0" applyFont="1" applyFill="1" applyBorder="1" applyAlignment="1">
      <alignment vertical="top" wrapText="1" shrinkToFit="1"/>
    </xf>
    <xf numFmtId="0" fontId="11" fillId="0" borderId="3" xfId="0" applyFont="1" applyFill="1" applyBorder="1" applyAlignment="1">
      <alignment horizontal="center" vertical="top" wrapText="1" shrinkToFit="1"/>
    </xf>
    <xf numFmtId="0" fontId="11" fillId="0" borderId="4" xfId="0" applyFont="1" applyFill="1" applyBorder="1" applyAlignment="1">
      <alignment horizontal="center" vertical="top" wrapText="1" shrinkToFit="1"/>
    </xf>
    <xf numFmtId="0" fontId="11" fillId="0" borderId="5" xfId="0" applyFont="1" applyFill="1" applyBorder="1" applyAlignment="1">
      <alignment horizontal="center" vertical="top" wrapText="1" shrinkToFit="1"/>
    </xf>
    <xf numFmtId="1" fontId="11" fillId="0" borderId="4" xfId="0" applyNumberFormat="1" applyFont="1" applyFill="1" applyBorder="1" applyAlignment="1">
      <alignment horizontal="center" vertical="top" wrapText="1" shrinkToFit="1"/>
    </xf>
    <xf numFmtId="1" fontId="11" fillId="0" borderId="5" xfId="0" applyNumberFormat="1" applyFont="1" applyFill="1" applyBorder="1" applyAlignment="1">
      <alignment horizontal="center" vertical="top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56" fillId="0" borderId="1" xfId="0" applyFont="1" applyFill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vertical="top" wrapText="1" shrinkToFit="1"/>
    </xf>
    <xf numFmtId="0" fontId="0" fillId="0" borderId="5" xfId="0" applyFont="1" applyBorder="1" applyAlignment="1">
      <alignment horizontal="center" vertical="top" wrapText="1" shrinkToFit="1"/>
    </xf>
    <xf numFmtId="1" fontId="0" fillId="0" borderId="5" xfId="0" applyNumberFormat="1" applyFont="1" applyBorder="1" applyAlignment="1">
      <alignment horizontal="center" vertical="top" wrapText="1" shrinkToFit="1"/>
    </xf>
    <xf numFmtId="0" fontId="70" fillId="0" borderId="0" xfId="0" applyFont="1" applyFill="1" applyAlignment="1">
      <alignment horizontal="center" vertical="top" wrapText="1"/>
    </xf>
    <xf numFmtId="0" fontId="0" fillId="0" borderId="4" xfId="0" applyFont="1" applyFill="1" applyBorder="1"/>
    <xf numFmtId="1" fontId="90" fillId="0" borderId="3" xfId="0" applyNumberFormat="1" applyFont="1" applyFill="1" applyBorder="1" applyAlignment="1">
      <alignment horizontal="center" vertical="top" wrapText="1" shrinkToFi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 applyAlignment="1">
      <alignment vertical="top" wrapText="1" shrinkToFit="1"/>
    </xf>
    <xf numFmtId="49" fontId="0" fillId="0" borderId="3" xfId="0" applyNumberFormat="1" applyFont="1" applyFill="1" applyBorder="1" applyAlignment="1">
      <alignment horizontal="center" vertical="top" wrapText="1" shrinkToFit="1"/>
    </xf>
    <xf numFmtId="49" fontId="0" fillId="0" borderId="4" xfId="0" applyNumberFormat="1" applyFont="1" applyFill="1" applyBorder="1" applyAlignment="1">
      <alignment horizontal="center" vertical="top" wrapText="1" shrinkToFit="1"/>
    </xf>
    <xf numFmtId="0" fontId="0" fillId="0" borderId="3" xfId="0" applyNumberFormat="1" applyFont="1" applyFill="1" applyBorder="1" applyAlignment="1">
      <alignment horizontal="center" vertical="top" wrapText="1" shrinkToFit="1"/>
    </xf>
    <xf numFmtId="0" fontId="0" fillId="0" borderId="4" xfId="0" applyNumberFormat="1" applyFont="1" applyFill="1" applyBorder="1" applyAlignment="1">
      <alignment horizontal="center" vertical="top" wrapText="1" shrinkToFit="1"/>
    </xf>
    <xf numFmtId="0" fontId="0" fillId="0" borderId="5" xfId="0" applyNumberFormat="1" applyFont="1" applyFill="1" applyBorder="1" applyAlignment="1">
      <alignment horizontal="center" vertical="top" wrapText="1" shrinkToFit="1"/>
    </xf>
    <xf numFmtId="49" fontId="112" fillId="0" borderId="1" xfId="0" applyNumberFormat="1" applyFont="1" applyFill="1" applyBorder="1" applyAlignment="1">
      <alignment horizontal="left" vertical="top" wrapText="1"/>
    </xf>
    <xf numFmtId="49" fontId="113" fillId="0" borderId="1" xfId="8" applyNumberFormat="1" applyFont="1" applyFill="1" applyBorder="1" applyAlignment="1">
      <alignment horizontal="left" vertical="top" wrapText="1" shrinkToFit="1"/>
    </xf>
    <xf numFmtId="49" fontId="92" fillId="0" borderId="1" xfId="0" applyNumberFormat="1" applyFont="1" applyFill="1" applyBorder="1" applyAlignment="1">
      <alignment horizontal="left" vertical="top" wrapText="1"/>
    </xf>
    <xf numFmtId="49" fontId="92" fillId="0" borderId="3" xfId="7" applyNumberFormat="1" applyFont="1" applyFill="1" applyBorder="1" applyAlignment="1">
      <alignment horizontal="left" vertical="top" wrapText="1" shrinkToFit="1"/>
    </xf>
    <xf numFmtId="49" fontId="92" fillId="0" borderId="4" xfId="7" applyNumberFormat="1" applyFont="1" applyFill="1" applyBorder="1" applyAlignment="1">
      <alignment horizontal="left" vertical="top" wrapText="1" shrinkToFit="1"/>
    </xf>
    <xf numFmtId="49" fontId="92" fillId="0" borderId="5" xfId="7" applyNumberFormat="1" applyFont="1" applyFill="1" applyBorder="1" applyAlignment="1">
      <alignment horizontal="left" vertical="top" wrapText="1" shrinkToFit="1"/>
    </xf>
    <xf numFmtId="49" fontId="92" fillId="0" borderId="1" xfId="0" applyNumberFormat="1" applyFont="1" applyFill="1" applyBorder="1" applyAlignment="1">
      <alignment horizontal="left" vertical="center" wrapText="1"/>
    </xf>
    <xf numFmtId="49" fontId="92" fillId="0" borderId="1" xfId="0" applyNumberFormat="1" applyFont="1" applyFill="1" applyBorder="1" applyAlignment="1">
      <alignment horizontal="center" vertical="top" wrapText="1"/>
    </xf>
    <xf numFmtId="167" fontId="92" fillId="0" borderId="1" xfId="10" applyNumberFormat="1" applyFont="1" applyFill="1" applyBorder="1" applyAlignment="1">
      <alignment horizontal="right" vertical="top" wrapText="1" shrinkToFit="1"/>
    </xf>
    <xf numFmtId="4" fontId="92" fillId="0" borderId="1" xfId="0" applyNumberFormat="1" applyFont="1" applyFill="1" applyBorder="1" applyAlignment="1">
      <alignment horizontal="right" vertical="top" wrapText="1"/>
    </xf>
    <xf numFmtId="4" fontId="92" fillId="0" borderId="1" xfId="0" applyNumberFormat="1" applyFont="1" applyFill="1" applyBorder="1" applyAlignment="1">
      <alignment horizontal="right" vertical="center" wrapText="1"/>
    </xf>
    <xf numFmtId="4" fontId="92" fillId="0" borderId="1" xfId="0" applyNumberFormat="1" applyFont="1" applyFill="1" applyBorder="1" applyAlignment="1">
      <alignment vertical="center" wrapText="1"/>
    </xf>
    <xf numFmtId="4" fontId="92" fillId="0" borderId="3" xfId="0" applyNumberFormat="1" applyFont="1" applyFill="1" applyBorder="1" applyAlignment="1">
      <alignment horizontal="center" vertical="center" wrapText="1"/>
    </xf>
    <xf numFmtId="4" fontId="92" fillId="0" borderId="4" xfId="0" applyNumberFormat="1" applyFont="1" applyFill="1" applyBorder="1" applyAlignment="1">
      <alignment horizontal="center" vertical="center" wrapText="1"/>
    </xf>
    <xf numFmtId="4" fontId="92" fillId="0" borderId="5" xfId="0" applyNumberFormat="1" applyFont="1" applyFill="1" applyBorder="1" applyAlignment="1">
      <alignment horizontal="center" vertical="center" wrapText="1"/>
    </xf>
    <xf numFmtId="4" fontId="92" fillId="0" borderId="1" xfId="9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9" fillId="0" borderId="3" xfId="0" applyNumberFormat="1" applyFont="1" applyFill="1" applyBorder="1" applyAlignment="1">
      <alignment horizontal="left" vertical="top" wrapText="1"/>
    </xf>
    <xf numFmtId="49" fontId="19" fillId="0" borderId="4" xfId="0" applyNumberFormat="1" applyFont="1" applyFill="1" applyBorder="1" applyAlignment="1">
      <alignment horizontal="left" vertical="top" wrapText="1"/>
    </xf>
    <xf numFmtId="49" fontId="19" fillId="0" borderId="5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 shrinkToFit="1"/>
    </xf>
    <xf numFmtId="49" fontId="19" fillId="0" borderId="4" xfId="0" applyNumberFormat="1" applyFont="1" applyBorder="1" applyAlignment="1">
      <alignment horizontal="left" vertical="top" wrapText="1" shrinkToFit="1"/>
    </xf>
    <xf numFmtId="49" fontId="19" fillId="0" borderId="5" xfId="0" applyNumberFormat="1" applyFont="1" applyBorder="1" applyAlignment="1">
      <alignment horizontal="left" vertical="top" wrapText="1" shrinkToFit="1"/>
    </xf>
    <xf numFmtId="49" fontId="19" fillId="0" borderId="3" xfId="0" applyNumberFormat="1" applyFont="1" applyFill="1" applyBorder="1" applyAlignment="1">
      <alignment horizontal="left" vertical="center" wrapText="1"/>
    </xf>
    <xf numFmtId="49" fontId="19" fillId="0" borderId="5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5" xfId="0" applyNumberFormat="1" applyFont="1" applyFill="1" applyBorder="1" applyAlignment="1">
      <alignment horizontal="left" vertical="top" wrapText="1"/>
    </xf>
    <xf numFmtId="49" fontId="19" fillId="0" borderId="2" xfId="0" applyNumberFormat="1" applyFont="1" applyFill="1" applyBorder="1" applyAlignment="1">
      <alignment horizontal="left" vertical="top" wrapText="1"/>
    </xf>
    <xf numFmtId="49" fontId="19" fillId="0" borderId="6" xfId="0" applyNumberFormat="1" applyFont="1" applyFill="1" applyBorder="1" applyAlignment="1">
      <alignment horizontal="left" vertical="top" wrapText="1"/>
    </xf>
    <xf numFmtId="49" fontId="13" fillId="0" borderId="4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Fill="1" applyBorder="1" applyAlignment="1">
      <alignment horizontal="left" vertical="top" wrapText="1" shrinkToFit="1"/>
    </xf>
    <xf numFmtId="49" fontId="19" fillId="0" borderId="4" xfId="0" applyNumberFormat="1" applyFont="1" applyFill="1" applyBorder="1" applyAlignment="1">
      <alignment horizontal="left" vertical="top" wrapText="1" shrinkToFit="1"/>
    </xf>
    <xf numFmtId="49" fontId="19" fillId="0" borderId="5" xfId="0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Border="1" applyAlignment="1">
      <alignment horizontal="left" vertical="top" wrapText="1"/>
    </xf>
    <xf numFmtId="4" fontId="19" fillId="0" borderId="4" xfId="0" applyNumberFormat="1" applyFont="1" applyBorder="1" applyAlignment="1">
      <alignment horizontal="left" vertical="top" wrapText="1"/>
    </xf>
    <xf numFmtId="4" fontId="19" fillId="0" borderId="5" xfId="0" applyNumberFormat="1" applyFont="1" applyBorder="1" applyAlignment="1">
      <alignment horizontal="left" vertical="top" wrapText="1"/>
    </xf>
    <xf numFmtId="4" fontId="13" fillId="0" borderId="3" xfId="0" applyNumberFormat="1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left" vertical="center" wrapText="1"/>
    </xf>
    <xf numFmtId="4" fontId="19" fillId="0" borderId="5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top" wrapText="1" shrinkToFit="1"/>
    </xf>
    <xf numFmtId="49" fontId="26" fillId="0" borderId="0" xfId="0" applyNumberFormat="1" applyFont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left" vertical="top" wrapText="1"/>
    </xf>
    <xf numFmtId="4" fontId="19" fillId="0" borderId="5" xfId="0" applyNumberFormat="1" applyFont="1" applyFill="1" applyBorder="1" applyAlignment="1">
      <alignment horizontal="left" vertical="top" wrapText="1"/>
    </xf>
    <xf numFmtId="167" fontId="19" fillId="0" borderId="3" xfId="0" applyNumberFormat="1" applyFont="1" applyFill="1" applyBorder="1" applyAlignment="1">
      <alignment horizontal="left" vertical="center" wrapText="1" shrinkToFit="1"/>
    </xf>
    <xf numFmtId="167" fontId="19" fillId="0" borderId="5" xfId="0" applyNumberFormat="1" applyFont="1" applyFill="1" applyBorder="1" applyAlignment="1">
      <alignment horizontal="left" vertical="center" wrapText="1" shrinkToFit="1"/>
    </xf>
    <xf numFmtId="49" fontId="19" fillId="0" borderId="3" xfId="8" applyNumberFormat="1" applyFont="1" applyFill="1" applyBorder="1" applyAlignment="1">
      <alignment horizontal="left" vertical="center" wrapText="1" shrinkToFit="1"/>
    </xf>
    <xf numFmtId="49" fontId="19" fillId="0" borderId="5" xfId="8" applyNumberFormat="1" applyFont="1" applyFill="1" applyBorder="1" applyAlignment="1">
      <alignment horizontal="left" vertical="center" wrapText="1" shrinkToFit="1"/>
    </xf>
    <xf numFmtId="49" fontId="19" fillId="2" borderId="3" xfId="0" applyNumberFormat="1" applyFont="1" applyFill="1" applyBorder="1" applyAlignment="1">
      <alignment horizontal="left" vertical="top" wrapText="1" shrinkToFit="1"/>
    </xf>
    <xf numFmtId="49" fontId="19" fillId="2" borderId="5" xfId="0" applyNumberFormat="1" applyFont="1" applyFill="1" applyBorder="1" applyAlignment="1">
      <alignment horizontal="left" vertical="top" wrapText="1" shrinkToFit="1"/>
    </xf>
    <xf numFmtId="49" fontId="25" fillId="0" borderId="8" xfId="0" applyNumberFormat="1" applyFont="1" applyBorder="1" applyAlignment="1">
      <alignment horizontal="center" vertical="top" wrapText="1"/>
    </xf>
    <xf numFmtId="49" fontId="25" fillId="0" borderId="10" xfId="0" applyNumberFormat="1" applyFont="1" applyBorder="1" applyAlignment="1">
      <alignment horizontal="center" vertical="top" wrapText="1"/>
    </xf>
    <xf numFmtId="49" fontId="19" fillId="2" borderId="4" xfId="0" applyNumberFormat="1" applyFont="1" applyFill="1" applyBorder="1" applyAlignment="1">
      <alignment horizontal="left" vertical="top" wrapText="1" shrinkToFit="1"/>
    </xf>
    <xf numFmtId="49" fontId="25" fillId="0" borderId="2" xfId="0" applyNumberFormat="1" applyFont="1" applyFill="1" applyBorder="1" applyAlignment="1">
      <alignment horizontal="left" vertical="top" wrapText="1" shrinkToFit="1"/>
    </xf>
    <xf numFmtId="49" fontId="25" fillId="0" borderId="6" xfId="0" applyNumberFormat="1" applyFont="1" applyFill="1" applyBorder="1" applyAlignment="1">
      <alignment horizontal="left" vertical="top" wrapText="1" shrinkToFit="1"/>
    </xf>
    <xf numFmtId="4" fontId="19" fillId="0" borderId="4" xfId="0" applyNumberFormat="1" applyFont="1" applyFill="1" applyBorder="1" applyAlignment="1">
      <alignment horizontal="left" vertical="center" wrapText="1"/>
    </xf>
    <xf numFmtId="49" fontId="19" fillId="0" borderId="3" xfId="9" applyNumberFormat="1" applyFont="1" applyBorder="1" applyAlignment="1">
      <alignment horizontal="left" vertical="top" wrapText="1" shrinkToFit="1"/>
    </xf>
    <xf numFmtId="49" fontId="19" fillId="0" borderId="5" xfId="9" applyNumberFormat="1" applyFont="1" applyBorder="1" applyAlignment="1">
      <alignment horizontal="left" vertical="top" wrapText="1" shrinkToFit="1"/>
    </xf>
    <xf numFmtId="49" fontId="19" fillId="0" borderId="1" xfId="0" applyNumberFormat="1" applyFont="1" applyBorder="1" applyAlignment="1">
      <alignment horizontal="left" vertical="top" wrapText="1" shrinkToFi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58" fillId="0" borderId="1" xfId="0" applyNumberFormat="1" applyFont="1" applyBorder="1" applyAlignment="1">
      <alignment horizontal="left" vertical="top" wrapText="1"/>
    </xf>
    <xf numFmtId="49" fontId="19" fillId="0" borderId="1" xfId="7" applyNumberFormat="1" applyFont="1" applyFill="1" applyBorder="1" applyAlignment="1">
      <alignment horizontal="left" vertical="top" wrapText="1" shrinkToFit="1"/>
    </xf>
    <xf numFmtId="49" fontId="19" fillId="0" borderId="1" xfId="7" applyNumberFormat="1" applyFont="1" applyBorder="1" applyAlignment="1">
      <alignment horizontal="left" vertical="top" wrapText="1" shrinkToFit="1"/>
    </xf>
    <xf numFmtId="4" fontId="19" fillId="0" borderId="3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4" fontId="19" fillId="0" borderId="5" xfId="0" applyNumberFormat="1" applyFont="1" applyFill="1" applyBorder="1" applyAlignment="1">
      <alignment horizontal="right" vertical="center" wrapText="1"/>
    </xf>
    <xf numFmtId="49" fontId="13" fillId="0" borderId="1" xfId="7" applyNumberFormat="1" applyFont="1" applyFill="1" applyBorder="1" applyAlignment="1">
      <alignment horizontal="left" vertical="top" wrapText="1" shrinkToFit="1"/>
    </xf>
    <xf numFmtId="49" fontId="19" fillId="0" borderId="2" xfId="7" applyNumberFormat="1" applyFont="1" applyFill="1" applyBorder="1" applyAlignment="1">
      <alignment horizontal="left" vertical="top" wrapText="1" shrinkToFit="1"/>
    </xf>
    <xf numFmtId="49" fontId="19" fillId="0" borderId="6" xfId="7" applyNumberFormat="1" applyFont="1" applyFill="1" applyBorder="1" applyAlignment="1">
      <alignment horizontal="left" vertical="top" wrapText="1" shrinkToFit="1"/>
    </xf>
    <xf numFmtId="49" fontId="19" fillId="0" borderId="2" xfId="0" applyNumberFormat="1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" fontId="19" fillId="0" borderId="1" xfId="7" applyNumberFormat="1" applyFont="1" applyBorder="1" applyAlignment="1">
      <alignment horizontal="left" vertical="top" wrapText="1" shrinkToFit="1"/>
    </xf>
    <xf numFmtId="49" fontId="13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/>
    </xf>
    <xf numFmtId="49" fontId="19" fillId="2" borderId="1" xfId="7" applyNumberFormat="1" applyFont="1" applyFill="1" applyBorder="1" applyAlignment="1">
      <alignment horizontal="left" vertical="top" wrapText="1" shrinkToFit="1"/>
    </xf>
    <xf numFmtId="49" fontId="19" fillId="0" borderId="1" xfId="6" applyNumberFormat="1" applyFont="1" applyFill="1" applyBorder="1" applyAlignment="1">
      <alignment horizontal="left" vertical="top" wrapText="1" shrinkToFit="1"/>
    </xf>
    <xf numFmtId="49" fontId="19" fillId="0" borderId="3" xfId="9" applyNumberFormat="1" applyFont="1" applyFill="1" applyBorder="1" applyAlignment="1">
      <alignment horizontal="left" vertical="top" wrapText="1" shrinkToFit="1"/>
    </xf>
    <xf numFmtId="49" fontId="19" fillId="0" borderId="5" xfId="9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9" fontId="19" fillId="0" borderId="1" xfId="8" applyNumberFormat="1" applyFont="1" applyBorder="1" applyAlignment="1">
      <alignment horizontal="left" vertical="top" wrapText="1" shrinkToFit="1"/>
    </xf>
    <xf numFmtId="49" fontId="19" fillId="0" borderId="2" xfId="8" applyNumberFormat="1" applyFont="1" applyBorder="1" applyAlignment="1">
      <alignment horizontal="left" vertical="top" wrapText="1" shrinkToFit="1"/>
    </xf>
    <xf numFmtId="49" fontId="19" fillId="0" borderId="6" xfId="8" applyNumberFormat="1" applyFont="1" applyBorder="1" applyAlignment="1">
      <alignment horizontal="left" vertical="top" wrapText="1" shrinkToFit="1"/>
    </xf>
    <xf numFmtId="49" fontId="19" fillId="0" borderId="1" xfId="8" applyNumberFormat="1" applyFont="1" applyFill="1" applyBorder="1" applyAlignment="1">
      <alignment horizontal="left" vertical="top" wrapText="1" shrinkToFit="1"/>
    </xf>
    <xf numFmtId="0" fontId="13" fillId="0" borderId="2" xfId="0" applyNumberFormat="1" applyFont="1" applyBorder="1" applyAlignment="1">
      <alignment horizontal="center" vertical="top" wrapText="1"/>
    </xf>
    <xf numFmtId="49" fontId="13" fillId="0" borderId="7" xfId="0" applyNumberFormat="1" applyFont="1" applyBorder="1" applyAlignment="1">
      <alignment horizontal="center" vertical="top" wrapText="1"/>
    </xf>
    <xf numFmtId="49" fontId="70" fillId="3" borderId="2" xfId="0" applyNumberFormat="1" applyFont="1" applyFill="1" applyBorder="1" applyAlignment="1">
      <alignment horizontal="center" vertical="top" wrapText="1"/>
    </xf>
    <xf numFmtId="49" fontId="70" fillId="3" borderId="7" xfId="0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right" vertical="top" wrapText="1"/>
    </xf>
    <xf numFmtId="49" fontId="13" fillId="0" borderId="2" xfId="7" applyNumberFormat="1" applyFont="1" applyFill="1" applyBorder="1" applyAlignment="1">
      <alignment horizontal="left" vertical="top" wrapText="1" shrinkToFit="1"/>
    </xf>
    <xf numFmtId="49" fontId="13" fillId="0" borderId="6" xfId="7" applyNumberFormat="1" applyFont="1" applyFill="1" applyBorder="1" applyAlignment="1">
      <alignment horizontal="left" vertical="top" wrapText="1" shrinkToFit="1"/>
    </xf>
    <xf numFmtId="4" fontId="19" fillId="0" borderId="3" xfId="0" applyNumberFormat="1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9" fontId="43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left" vertical="top" wrapText="1"/>
    </xf>
    <xf numFmtId="49" fontId="19" fillId="0" borderId="2" xfId="7" applyNumberFormat="1" applyFont="1" applyBorder="1" applyAlignment="1">
      <alignment horizontal="left" vertical="top" wrapText="1" shrinkToFit="1"/>
    </xf>
    <xf numFmtId="49" fontId="19" fillId="0" borderId="6" xfId="7" applyNumberFormat="1" applyFont="1" applyBorder="1" applyAlignment="1">
      <alignment horizontal="left" vertical="top" wrapText="1" shrinkToFit="1"/>
    </xf>
    <xf numFmtId="0" fontId="19" fillId="0" borderId="3" xfId="0" applyNumberFormat="1" applyFont="1" applyFill="1" applyBorder="1" applyAlignment="1">
      <alignment horizontal="right" vertical="center" wrapText="1"/>
    </xf>
    <xf numFmtId="0" fontId="19" fillId="0" borderId="4" xfId="0" applyNumberFormat="1" applyFont="1" applyFill="1" applyBorder="1" applyAlignment="1">
      <alignment horizontal="right" vertical="center" wrapText="1"/>
    </xf>
    <xf numFmtId="0" fontId="19" fillId="0" borderId="5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Fill="1" applyAlignment="1">
      <alignment horizontal="center" vertical="top" wrapText="1"/>
    </xf>
    <xf numFmtId="49" fontId="30" fillId="0" borderId="0" xfId="0" applyNumberFormat="1" applyFont="1" applyFill="1" applyBorder="1" applyAlignment="1">
      <alignment horizontal="left" vertical="top" wrapText="1"/>
    </xf>
    <xf numFmtId="49" fontId="19" fillId="0" borderId="4" xfId="9" applyNumberFormat="1" applyFont="1" applyBorder="1" applyAlignment="1">
      <alignment horizontal="left" vertical="top" wrapText="1" shrinkToFit="1"/>
    </xf>
    <xf numFmtId="49" fontId="19" fillId="0" borderId="14" xfId="7" applyNumberFormat="1" applyFont="1" applyFill="1" applyBorder="1" applyAlignment="1">
      <alignment horizontal="left" vertical="top" wrapText="1" shrinkToFit="1"/>
    </xf>
    <xf numFmtId="49" fontId="19" fillId="0" borderId="9" xfId="7" applyNumberFormat="1" applyFont="1" applyFill="1" applyBorder="1" applyAlignment="1">
      <alignment horizontal="left" vertical="top" wrapText="1" shrinkToFit="1"/>
    </xf>
    <xf numFmtId="49" fontId="19" fillId="0" borderId="12" xfId="7" applyNumberFormat="1" applyFont="1" applyFill="1" applyBorder="1" applyAlignment="1">
      <alignment horizontal="left" vertical="top" wrapText="1" shrinkToFit="1"/>
    </xf>
    <xf numFmtId="49" fontId="19" fillId="0" borderId="13" xfId="7" applyNumberFormat="1" applyFont="1" applyFill="1" applyBorder="1" applyAlignment="1">
      <alignment horizontal="left" vertical="top" wrapText="1" shrinkToFit="1"/>
    </xf>
    <xf numFmtId="49" fontId="19" fillId="0" borderId="8" xfId="7" applyNumberFormat="1" applyFont="1" applyFill="1" applyBorder="1" applyAlignment="1">
      <alignment horizontal="left" vertical="top" wrapText="1" shrinkToFit="1"/>
    </xf>
    <xf numFmtId="49" fontId="19" fillId="0" borderId="11" xfId="7" applyNumberFormat="1" applyFont="1" applyFill="1" applyBorder="1" applyAlignment="1">
      <alignment horizontal="left" vertical="top" wrapText="1" shrinkToFit="1"/>
    </xf>
    <xf numFmtId="0" fontId="11" fillId="0" borderId="1" xfId="0" applyFont="1" applyFill="1" applyBorder="1"/>
    <xf numFmtId="49" fontId="19" fillId="0" borderId="2" xfId="9" applyNumberFormat="1" applyFont="1" applyFill="1" applyBorder="1" applyAlignment="1">
      <alignment horizontal="left" vertical="top" wrapText="1" shrinkToFit="1"/>
    </xf>
    <xf numFmtId="49" fontId="19" fillId="0" borderId="6" xfId="9" applyNumberFormat="1" applyFont="1" applyFill="1" applyBorder="1" applyAlignment="1">
      <alignment horizontal="left" vertical="top" wrapText="1" shrinkToFit="1"/>
    </xf>
    <xf numFmtId="0" fontId="97" fillId="0" borderId="2" xfId="0" applyFont="1" applyFill="1" applyBorder="1" applyAlignment="1">
      <alignment horizontal="center" vertical="top" wrapText="1" shrinkToFit="1"/>
    </xf>
    <xf numFmtId="0" fontId="97" fillId="0" borderId="6" xfId="0" applyFont="1" applyFill="1" applyBorder="1" applyAlignment="1">
      <alignment horizontal="center" vertical="top" wrapText="1" shrinkToFit="1"/>
    </xf>
    <xf numFmtId="169" fontId="92" fillId="0" borderId="2" xfId="0" applyNumberFormat="1" applyFont="1" applyFill="1" applyBorder="1" applyAlignment="1">
      <alignment horizontal="center" vertical="top" wrapText="1"/>
    </xf>
    <xf numFmtId="169" fontId="92" fillId="0" borderId="6" xfId="0" applyNumberFormat="1" applyFont="1" applyFill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left" vertical="top" wrapText="1" shrinkToFit="1"/>
    </xf>
    <xf numFmtId="49" fontId="13" fillId="0" borderId="6" xfId="0" applyNumberFormat="1" applyFont="1" applyBorder="1" applyAlignment="1">
      <alignment horizontal="left" vertical="top" wrapText="1" shrinkToFit="1"/>
    </xf>
    <xf numFmtId="49" fontId="19" fillId="0" borderId="12" xfId="0" applyNumberFormat="1" applyFont="1" applyFill="1" applyBorder="1" applyAlignment="1">
      <alignment horizontal="left" vertical="top" wrapText="1" shrinkToFit="1"/>
    </xf>
    <xf numFmtId="49" fontId="19" fillId="0" borderId="0" xfId="0" applyNumberFormat="1" applyFont="1" applyFill="1" applyBorder="1" applyAlignment="1">
      <alignment horizontal="left" vertical="top" wrapText="1" shrinkToFit="1"/>
    </xf>
    <xf numFmtId="49" fontId="19" fillId="0" borderId="2" xfId="0" applyNumberFormat="1" applyFont="1" applyFill="1" applyBorder="1" applyAlignment="1">
      <alignment horizontal="left" vertical="top" wrapText="1" shrinkToFit="1"/>
    </xf>
    <xf numFmtId="49" fontId="19" fillId="0" borderId="6" xfId="0" applyNumberFormat="1" applyFont="1" applyFill="1" applyBorder="1" applyAlignment="1">
      <alignment horizontal="left" vertical="top" wrapText="1" shrinkToFit="1"/>
    </xf>
    <xf numFmtId="49" fontId="19" fillId="0" borderId="2" xfId="0" applyNumberFormat="1" applyFont="1" applyBorder="1" applyAlignment="1">
      <alignment horizontal="left" vertical="top" wrapText="1" shrinkToFit="1"/>
    </xf>
    <xf numFmtId="49" fontId="19" fillId="0" borderId="6" xfId="0" applyNumberFormat="1" applyFont="1" applyBorder="1" applyAlignment="1">
      <alignment horizontal="left" vertical="top" wrapText="1" shrinkToFit="1"/>
    </xf>
    <xf numFmtId="49" fontId="13" fillId="0" borderId="2" xfId="0" applyNumberFormat="1" applyFont="1" applyFill="1" applyBorder="1" applyAlignment="1">
      <alignment horizontal="left" vertical="top" wrapText="1" shrinkToFit="1"/>
    </xf>
    <xf numFmtId="49" fontId="13" fillId="0" borderId="6" xfId="0" applyNumberFormat="1" applyFont="1" applyFill="1" applyBorder="1" applyAlignment="1">
      <alignment horizontal="left" vertical="top" wrapText="1" shrinkToFit="1"/>
    </xf>
    <xf numFmtId="49" fontId="13" fillId="0" borderId="14" xfId="0" applyNumberFormat="1" applyFont="1" applyFill="1" applyBorder="1" applyAlignment="1">
      <alignment horizontal="left" vertical="top" wrapText="1" shrinkToFit="1"/>
    </xf>
    <xf numFmtId="49" fontId="13" fillId="0" borderId="9" xfId="0" applyNumberFormat="1" applyFont="1" applyFill="1" applyBorder="1" applyAlignment="1">
      <alignment horizontal="left" vertical="top" wrapText="1" shrinkToFit="1"/>
    </xf>
    <xf numFmtId="49" fontId="13" fillId="0" borderId="1" xfId="0" applyNumberFormat="1" applyFont="1" applyFill="1" applyBorder="1" applyAlignment="1">
      <alignment horizontal="left" vertical="top" wrapText="1" shrinkToFit="1"/>
    </xf>
    <xf numFmtId="49" fontId="13" fillId="0" borderId="3" xfId="0" applyNumberFormat="1" applyFont="1" applyFill="1" applyBorder="1" applyAlignment="1">
      <alignment horizontal="left" vertical="top" wrapText="1" shrinkToFit="1"/>
    </xf>
    <xf numFmtId="49" fontId="13" fillId="0" borderId="5" xfId="0" applyNumberFormat="1" applyFont="1" applyFill="1" applyBorder="1" applyAlignment="1">
      <alignment horizontal="left" vertical="top" wrapText="1" shrinkToFit="1"/>
    </xf>
    <xf numFmtId="49" fontId="19" fillId="0" borderId="14" xfId="0" applyNumberFormat="1" applyFont="1" applyBorder="1" applyAlignment="1">
      <alignment horizontal="left" vertical="top" wrapText="1" shrinkToFit="1"/>
    </xf>
    <xf numFmtId="49" fontId="19" fillId="0" borderId="9" xfId="0" applyNumberFormat="1" applyFont="1" applyBorder="1" applyAlignment="1">
      <alignment horizontal="left" vertical="top" wrapText="1" shrinkToFit="1"/>
    </xf>
    <xf numFmtId="49" fontId="19" fillId="0" borderId="12" xfId="0" applyNumberFormat="1" applyFont="1" applyFill="1" applyBorder="1" applyAlignment="1">
      <alignment horizontal="center" vertical="top" wrapText="1" shrinkToFit="1"/>
    </xf>
    <xf numFmtId="49" fontId="19" fillId="0" borderId="13" xfId="0" applyNumberFormat="1" applyFont="1" applyFill="1" applyBorder="1" applyAlignment="1">
      <alignment horizontal="center" vertical="top" wrapText="1" shrinkToFit="1"/>
    </xf>
    <xf numFmtId="49" fontId="19" fillId="0" borderId="14" xfId="0" applyNumberFormat="1" applyFont="1" applyFill="1" applyBorder="1" applyAlignment="1">
      <alignment horizontal="left" vertical="top" wrapText="1" shrinkToFit="1"/>
    </xf>
    <xf numFmtId="49" fontId="19" fillId="0" borderId="9" xfId="0" applyNumberFormat="1" applyFont="1" applyFill="1" applyBorder="1" applyAlignment="1">
      <alignment horizontal="left" vertical="top" wrapText="1" shrinkToFit="1"/>
    </xf>
    <xf numFmtId="49" fontId="13" fillId="0" borderId="2" xfId="0" applyNumberFormat="1" applyFont="1" applyFill="1" applyBorder="1" applyAlignment="1">
      <alignment horizontal="center" vertical="top" wrapText="1" shrinkToFit="1"/>
    </xf>
    <xf numFmtId="49" fontId="13" fillId="0" borderId="6" xfId="0" applyNumberFormat="1" applyFont="1" applyFill="1" applyBorder="1" applyAlignment="1">
      <alignment horizontal="center" vertical="top" wrapText="1" shrinkToFit="1"/>
    </xf>
    <xf numFmtId="49" fontId="13" fillId="0" borderId="14" xfId="0" applyNumberFormat="1" applyFont="1" applyBorder="1" applyAlignment="1">
      <alignment horizontal="left" vertical="top" wrapText="1"/>
    </xf>
    <xf numFmtId="0" fontId="0" fillId="0" borderId="9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8" xfId="0" applyFont="1" applyBorder="1"/>
    <xf numFmtId="0" fontId="0" fillId="0" borderId="11" xfId="0" applyFont="1" applyBorder="1"/>
    <xf numFmtId="49" fontId="13" fillId="0" borderId="2" xfId="0" applyNumberFormat="1" applyFont="1" applyFill="1" applyBorder="1" applyAlignment="1">
      <alignment horizontal="left" vertical="top" wrapText="1"/>
    </xf>
    <xf numFmtId="49" fontId="13" fillId="0" borderId="6" xfId="0" applyNumberFormat="1" applyFont="1" applyFill="1" applyBorder="1" applyAlignment="1">
      <alignment horizontal="left" vertical="top" wrapText="1"/>
    </xf>
    <xf numFmtId="49" fontId="19" fillId="0" borderId="14" xfId="0" applyNumberFormat="1" applyFont="1" applyFill="1" applyBorder="1" applyAlignment="1">
      <alignment vertical="top" wrapText="1" shrinkToFit="1"/>
    </xf>
    <xf numFmtId="0" fontId="0" fillId="0" borderId="9" xfId="0" applyFont="1" applyFill="1" applyBorder="1"/>
    <xf numFmtId="0" fontId="0" fillId="0" borderId="8" xfId="0" applyFont="1" applyFill="1" applyBorder="1"/>
    <xf numFmtId="0" fontId="0" fillId="0" borderId="11" xfId="0" applyFont="1" applyFill="1" applyBorder="1"/>
    <xf numFmtId="0" fontId="19" fillId="0" borderId="3" xfId="0" applyFont="1" applyFill="1" applyBorder="1" applyAlignment="1">
      <alignment horizontal="left" vertical="top" wrapText="1" shrinkToFit="1"/>
    </xf>
    <xf numFmtId="0" fontId="19" fillId="0" borderId="5" xfId="0" applyFont="1" applyFill="1" applyBorder="1" applyAlignment="1">
      <alignment horizontal="left" vertical="top" wrapText="1" shrinkToFit="1"/>
    </xf>
    <xf numFmtId="49" fontId="13" fillId="0" borderId="9" xfId="0" applyNumberFormat="1" applyFont="1" applyBorder="1" applyAlignment="1">
      <alignment horizontal="left" vertical="top" wrapText="1"/>
    </xf>
    <xf numFmtId="49" fontId="13" fillId="0" borderId="8" xfId="0" applyNumberFormat="1" applyFont="1" applyBorder="1" applyAlignment="1">
      <alignment horizontal="left" vertical="top" wrapText="1"/>
    </xf>
    <xf numFmtId="49" fontId="13" fillId="0" borderId="11" xfId="0" applyNumberFormat="1" applyFont="1" applyBorder="1" applyAlignment="1">
      <alignment horizontal="left" vertical="top" wrapText="1"/>
    </xf>
    <xf numFmtId="49" fontId="18" fillId="0" borderId="2" xfId="0" applyNumberFormat="1" applyFont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3" fillId="0" borderId="4" xfId="0" applyNumberFormat="1" applyFont="1" applyFill="1" applyBorder="1" applyAlignment="1">
      <alignment horizontal="left" vertical="top" wrapText="1" shrinkToFit="1"/>
    </xf>
    <xf numFmtId="49" fontId="19" fillId="0" borderId="8" xfId="0" applyNumberFormat="1" applyFont="1" applyFill="1" applyBorder="1" applyAlignment="1">
      <alignment horizontal="left" vertical="top" wrapText="1" shrinkToFit="1"/>
    </xf>
    <xf numFmtId="49" fontId="19" fillId="0" borderId="11" xfId="0" applyNumberFormat="1" applyFont="1" applyFill="1" applyBorder="1" applyAlignment="1">
      <alignment horizontal="left" vertical="top" wrapText="1" shrinkToFit="1"/>
    </xf>
    <xf numFmtId="49" fontId="19" fillId="0" borderId="13" xfId="0" applyNumberFormat="1" applyFont="1" applyFill="1" applyBorder="1" applyAlignment="1">
      <alignment horizontal="left" vertical="top" wrapText="1" shrinkToFit="1"/>
    </xf>
    <xf numFmtId="49" fontId="67" fillId="0" borderId="3" xfId="0" applyNumberFormat="1" applyFont="1" applyBorder="1" applyAlignment="1">
      <alignment horizontal="left" vertical="top" wrapText="1" shrinkToFit="1"/>
    </xf>
    <xf numFmtId="49" fontId="67" fillId="0" borderId="5" xfId="0" applyNumberFormat="1" applyFont="1" applyBorder="1" applyAlignment="1">
      <alignment horizontal="left" vertical="top" wrapText="1" shrinkToFit="1"/>
    </xf>
    <xf numFmtId="49" fontId="58" fillId="0" borderId="2" xfId="0" applyNumberFormat="1" applyFont="1" applyFill="1" applyBorder="1" applyAlignment="1">
      <alignment horizontal="left" vertical="top" wrapText="1" shrinkToFit="1"/>
    </xf>
    <xf numFmtId="49" fontId="58" fillId="0" borderId="6" xfId="0" applyNumberFormat="1" applyFont="1" applyFill="1" applyBorder="1" applyAlignment="1">
      <alignment horizontal="left" vertical="top" wrapText="1" shrinkToFit="1"/>
    </xf>
    <xf numFmtId="49" fontId="13" fillId="0" borderId="8" xfId="0" applyNumberFormat="1" applyFont="1" applyFill="1" applyBorder="1" applyAlignment="1">
      <alignment horizontal="left" vertical="top" wrapText="1" shrinkToFit="1"/>
    </xf>
    <xf numFmtId="49" fontId="13" fillId="0" borderId="11" xfId="0" applyNumberFormat="1" applyFont="1" applyFill="1" applyBorder="1" applyAlignment="1">
      <alignment horizontal="left" vertical="top" wrapText="1" shrinkToFit="1"/>
    </xf>
    <xf numFmtId="0" fontId="0" fillId="0" borderId="5" xfId="0" applyFont="1" applyFill="1" applyBorder="1"/>
    <xf numFmtId="49" fontId="58" fillId="0" borderId="14" xfId="0" applyNumberFormat="1" applyFont="1" applyFill="1" applyBorder="1" applyAlignment="1">
      <alignment horizontal="left" vertical="top" wrapText="1" shrinkToFit="1"/>
    </xf>
    <xf numFmtId="49" fontId="58" fillId="0" borderId="9" xfId="0" applyNumberFormat="1" applyFont="1" applyFill="1" applyBorder="1" applyAlignment="1">
      <alignment horizontal="left" vertical="top" wrapText="1" shrinkToFit="1"/>
    </xf>
    <xf numFmtId="49" fontId="58" fillId="0" borderId="12" xfId="0" applyNumberFormat="1" applyFont="1" applyFill="1" applyBorder="1" applyAlignment="1">
      <alignment horizontal="left" vertical="top" wrapText="1" shrinkToFit="1"/>
    </xf>
    <xf numFmtId="49" fontId="58" fillId="0" borderId="13" xfId="0" applyNumberFormat="1" applyFont="1" applyFill="1" applyBorder="1" applyAlignment="1">
      <alignment horizontal="left" vertical="top" wrapText="1" shrinkToFit="1"/>
    </xf>
    <xf numFmtId="49" fontId="58" fillId="0" borderId="8" xfId="0" applyNumberFormat="1" applyFont="1" applyFill="1" applyBorder="1" applyAlignment="1">
      <alignment horizontal="left" vertical="top" wrapText="1" shrinkToFit="1"/>
    </xf>
    <xf numFmtId="49" fontId="58" fillId="0" borderId="11" xfId="0" applyNumberFormat="1" applyFont="1" applyFill="1" applyBorder="1" applyAlignment="1">
      <alignment horizontal="left" vertical="top" wrapText="1" shrinkToFit="1"/>
    </xf>
    <xf numFmtId="49" fontId="42" fillId="0" borderId="2" xfId="0" applyNumberFormat="1" applyFont="1" applyFill="1" applyBorder="1" applyAlignment="1">
      <alignment horizontal="left" vertical="top" wrapText="1" shrinkToFit="1"/>
    </xf>
    <xf numFmtId="49" fontId="42" fillId="0" borderId="6" xfId="0" applyNumberFormat="1" applyFont="1" applyFill="1" applyBorder="1" applyAlignment="1">
      <alignment horizontal="left" vertical="top" wrapText="1" shrinkToFit="1"/>
    </xf>
    <xf numFmtId="49" fontId="13" fillId="0" borderId="7" xfId="0" applyNumberFormat="1" applyFont="1" applyFill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top" wrapText="1"/>
    </xf>
    <xf numFmtId="49" fontId="13" fillId="0" borderId="7" xfId="0" applyNumberFormat="1" applyFont="1" applyBorder="1" applyAlignment="1">
      <alignment horizontal="left" vertical="top" wrapText="1"/>
    </xf>
    <xf numFmtId="49" fontId="44" fillId="0" borderId="2" xfId="0" applyNumberFormat="1" applyFont="1" applyFill="1" applyBorder="1" applyAlignment="1">
      <alignment horizontal="left" vertical="top" wrapText="1"/>
    </xf>
    <xf numFmtId="49" fontId="44" fillId="0" borderId="6" xfId="0" applyNumberFormat="1" applyFont="1" applyFill="1" applyBorder="1" applyAlignment="1">
      <alignment horizontal="left" vertical="top" wrapText="1"/>
    </xf>
    <xf numFmtId="49" fontId="13" fillId="0" borderId="12" xfId="0" applyNumberFormat="1" applyFont="1" applyFill="1" applyBorder="1" applyAlignment="1">
      <alignment horizontal="left" vertical="top" wrapText="1" shrinkToFit="1"/>
    </xf>
    <xf numFmtId="49" fontId="13" fillId="0" borderId="13" xfId="0" applyNumberFormat="1" applyFont="1" applyFill="1" applyBorder="1" applyAlignment="1">
      <alignment horizontal="left" vertical="top" wrapText="1" shrinkToFit="1"/>
    </xf>
    <xf numFmtId="49" fontId="19" fillId="0" borderId="2" xfId="0" applyNumberFormat="1" applyFont="1" applyBorder="1" applyAlignment="1">
      <alignment horizontal="center" vertical="top" wrapText="1" shrinkToFit="1"/>
    </xf>
    <xf numFmtId="49" fontId="19" fillId="0" borderId="6" xfId="0" applyNumberFormat="1" applyFont="1" applyBorder="1" applyAlignment="1">
      <alignment horizontal="center" vertical="top" wrapText="1" shrinkToFit="1"/>
    </xf>
    <xf numFmtId="49" fontId="13" fillId="0" borderId="1" xfId="0" applyNumberFormat="1" applyFont="1" applyBorder="1" applyAlignment="1">
      <alignment horizontal="center" vertical="top" wrapText="1"/>
    </xf>
    <xf numFmtId="49" fontId="43" fillId="0" borderId="1" xfId="0" applyNumberFormat="1" applyFont="1" applyFill="1" applyBorder="1" applyAlignment="1">
      <alignment horizontal="left" vertical="top" wrapText="1"/>
    </xf>
    <xf numFmtId="49" fontId="43" fillId="0" borderId="1" xfId="0" applyNumberFormat="1" applyFont="1" applyFill="1" applyBorder="1" applyAlignment="1">
      <alignment horizontal="left" vertical="top" wrapText="1" shrinkToFit="1"/>
    </xf>
    <xf numFmtId="49" fontId="58" fillId="0" borderId="3" xfId="0" applyNumberFormat="1" applyFont="1" applyFill="1" applyBorder="1" applyAlignment="1">
      <alignment horizontal="left" vertical="top" wrapText="1"/>
    </xf>
    <xf numFmtId="49" fontId="58" fillId="0" borderId="4" xfId="0" applyNumberFormat="1" applyFont="1" applyFill="1" applyBorder="1" applyAlignment="1">
      <alignment horizontal="left" vertical="top" wrapText="1"/>
    </xf>
    <xf numFmtId="49" fontId="58" fillId="0" borderId="5" xfId="0" applyNumberFormat="1" applyFont="1" applyFill="1" applyBorder="1" applyAlignment="1">
      <alignment horizontal="left" vertical="top" wrapText="1"/>
    </xf>
    <xf numFmtId="49" fontId="42" fillId="0" borderId="7" xfId="0" applyNumberFormat="1" applyFont="1" applyFill="1" applyBorder="1" applyAlignment="1">
      <alignment horizontal="left" vertical="top" wrapText="1" shrinkToFit="1"/>
    </xf>
    <xf numFmtId="49" fontId="70" fillId="4" borderId="1" xfId="0" applyNumberFormat="1" applyFont="1" applyFill="1" applyBorder="1" applyAlignment="1">
      <alignment horizontal="center" vertical="top" wrapText="1"/>
    </xf>
    <xf numFmtId="4" fontId="19" fillId="0" borderId="2" xfId="0" applyNumberFormat="1" applyFont="1" applyFill="1" applyBorder="1" applyAlignment="1">
      <alignment horizontal="left" vertical="top" wrapText="1" shrinkToFit="1"/>
    </xf>
    <xf numFmtId="4" fontId="19" fillId="0" borderId="7" xfId="0" applyNumberFormat="1" applyFont="1" applyFill="1" applyBorder="1" applyAlignment="1">
      <alignment horizontal="left" vertical="top" wrapText="1" shrinkToFit="1"/>
    </xf>
    <xf numFmtId="4" fontId="19" fillId="0" borderId="6" xfId="0" applyNumberFormat="1" applyFont="1" applyFill="1" applyBorder="1" applyAlignment="1">
      <alignment horizontal="left" vertical="top" wrapText="1" shrinkToFit="1"/>
    </xf>
    <xf numFmtId="49" fontId="44" fillId="0" borderId="2" xfId="0" applyNumberFormat="1" applyFont="1" applyFill="1" applyBorder="1" applyAlignment="1">
      <alignment horizontal="left" vertical="top" wrapText="1" shrinkToFit="1"/>
    </xf>
    <xf numFmtId="0" fontId="0" fillId="0" borderId="6" xfId="0" applyFont="1" applyFill="1" applyBorder="1"/>
    <xf numFmtId="49" fontId="19" fillId="0" borderId="7" xfId="0" applyNumberFormat="1" applyFont="1" applyFill="1" applyBorder="1" applyAlignment="1">
      <alignment horizontal="left" vertical="top" wrapText="1" shrinkToFit="1"/>
    </xf>
    <xf numFmtId="0" fontId="19" fillId="0" borderId="2" xfId="0" applyFont="1" applyFill="1" applyBorder="1" applyAlignment="1">
      <alignment horizontal="left" vertical="top" wrapText="1" shrinkToFit="1"/>
    </xf>
    <xf numFmtId="0" fontId="19" fillId="0" borderId="6" xfId="0" applyFont="1" applyFill="1" applyBorder="1" applyAlignment="1">
      <alignment horizontal="left" vertical="top" wrapText="1" shrinkToFit="1"/>
    </xf>
    <xf numFmtId="49" fontId="19" fillId="0" borderId="12" xfId="0" applyNumberFormat="1" applyFont="1" applyBorder="1" applyAlignment="1">
      <alignment horizontal="left" vertical="top" wrapText="1" shrinkToFit="1"/>
    </xf>
    <xf numFmtId="49" fontId="19" fillId="0" borderId="13" xfId="0" applyNumberFormat="1" applyFont="1" applyBorder="1" applyAlignment="1">
      <alignment horizontal="left" vertical="top" wrapText="1" shrinkToFit="1"/>
    </xf>
    <xf numFmtId="49" fontId="19" fillId="0" borderId="8" xfId="0" applyNumberFormat="1" applyFont="1" applyBorder="1" applyAlignment="1">
      <alignment horizontal="left" vertical="top" wrapText="1" shrinkToFit="1"/>
    </xf>
    <xf numFmtId="49" fontId="19" fillId="0" borderId="11" xfId="0" applyNumberFormat="1" applyFont="1" applyBorder="1" applyAlignment="1">
      <alignment horizontal="left" vertical="top" wrapText="1" shrinkToFit="1"/>
    </xf>
    <xf numFmtId="0" fontId="19" fillId="0" borderId="2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49" fontId="50" fillId="0" borderId="2" xfId="0" applyNumberFormat="1" applyFont="1" applyBorder="1" applyAlignment="1">
      <alignment horizontal="left" vertical="top" wrapText="1"/>
    </xf>
    <xf numFmtId="49" fontId="50" fillId="0" borderId="6" xfId="0" applyNumberFormat="1" applyFont="1" applyBorder="1" applyAlignment="1">
      <alignment horizontal="left" vertical="top" wrapText="1"/>
    </xf>
    <xf numFmtId="49" fontId="13" fillId="0" borderId="12" xfId="0" applyNumberFormat="1" applyFont="1" applyBorder="1" applyAlignment="1">
      <alignment horizontal="left" vertical="top" wrapText="1"/>
    </xf>
    <xf numFmtId="49" fontId="13" fillId="0" borderId="13" xfId="0" applyNumberFormat="1" applyFont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 shrinkToFi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left" vertical="top" wrapText="1"/>
    </xf>
    <xf numFmtId="49" fontId="13" fillId="0" borderId="10" xfId="0" applyNumberFormat="1" applyFont="1" applyBorder="1" applyAlignment="1">
      <alignment horizontal="left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left" vertical="top" wrapText="1"/>
    </xf>
    <xf numFmtId="49" fontId="13" fillId="0" borderId="9" xfId="0" applyNumberFormat="1" applyFont="1" applyFill="1" applyBorder="1" applyAlignment="1">
      <alignment horizontal="left" vertical="top" wrapText="1"/>
    </xf>
    <xf numFmtId="49" fontId="13" fillId="0" borderId="8" xfId="0" applyNumberFormat="1" applyFont="1" applyFill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left" vertical="top" wrapText="1"/>
    </xf>
    <xf numFmtId="49" fontId="19" fillId="0" borderId="14" xfId="0" applyNumberFormat="1" applyFont="1" applyBorder="1" applyAlignment="1">
      <alignment horizontal="center" vertical="top" wrapText="1" shrinkToFit="1"/>
    </xf>
    <xf numFmtId="49" fontId="19" fillId="0" borderId="9" xfId="0" applyNumberFormat="1" applyFont="1" applyBorder="1" applyAlignment="1">
      <alignment horizontal="center" vertical="top" wrapText="1" shrinkToFit="1"/>
    </xf>
    <xf numFmtId="49" fontId="19" fillId="0" borderId="8" xfId="0" applyNumberFormat="1" applyFont="1" applyBorder="1" applyAlignment="1">
      <alignment horizontal="center" vertical="top" wrapText="1" shrinkToFit="1"/>
    </xf>
    <xf numFmtId="49" fontId="19" fillId="0" borderId="11" xfId="0" applyNumberFormat="1" applyFont="1" applyBorder="1" applyAlignment="1">
      <alignment horizontal="center" vertical="top" wrapText="1" shrinkToFit="1"/>
    </xf>
    <xf numFmtId="49" fontId="13" fillId="0" borderId="2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6" xfId="0" applyNumberFormat="1" applyFont="1" applyFill="1" applyBorder="1" applyAlignment="1">
      <alignment horizontal="center" vertical="top" wrapText="1"/>
    </xf>
    <xf numFmtId="49" fontId="42" fillId="0" borderId="14" xfId="0" applyNumberFormat="1" applyFont="1" applyFill="1" applyBorder="1" applyAlignment="1">
      <alignment horizontal="left" vertical="top" wrapText="1" shrinkToFit="1"/>
    </xf>
    <xf numFmtId="49" fontId="42" fillId="0" borderId="9" xfId="0" applyNumberFormat="1" applyFont="1" applyFill="1" applyBorder="1" applyAlignment="1">
      <alignment horizontal="left" vertical="top" wrapText="1" shrinkToFit="1"/>
    </xf>
    <xf numFmtId="49" fontId="42" fillId="0" borderId="8" xfId="0" applyNumberFormat="1" applyFont="1" applyFill="1" applyBorder="1" applyAlignment="1">
      <alignment horizontal="left" vertical="top" wrapText="1" shrinkToFit="1"/>
    </xf>
    <xf numFmtId="49" fontId="42" fillId="0" borderId="11" xfId="0" applyNumberFormat="1" applyFont="1" applyFill="1" applyBorder="1" applyAlignment="1">
      <alignment horizontal="left" vertical="top" wrapText="1" shrinkToFit="1"/>
    </xf>
    <xf numFmtId="49" fontId="68" fillId="0" borderId="2" xfId="0" applyNumberFormat="1" applyFont="1" applyBorder="1" applyAlignment="1">
      <alignment horizontal="left" vertical="top" wrapText="1"/>
    </xf>
    <xf numFmtId="49" fontId="68" fillId="0" borderId="6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center" vertical="center" wrapText="1" shrinkToFit="1"/>
    </xf>
    <xf numFmtId="49" fontId="19" fillId="0" borderId="4" xfId="0" applyNumberFormat="1" applyFont="1" applyBorder="1" applyAlignment="1">
      <alignment horizontal="center" vertical="center" wrapText="1" shrinkToFit="1"/>
    </xf>
    <xf numFmtId="49" fontId="19" fillId="0" borderId="5" xfId="0" applyNumberFormat="1" applyFont="1" applyBorder="1" applyAlignment="1">
      <alignment horizontal="center" vertical="center" wrapText="1" shrinkToFit="1"/>
    </xf>
    <xf numFmtId="49" fontId="31" fillId="0" borderId="0" xfId="0" applyNumberFormat="1" applyFont="1" applyFill="1" applyAlignment="1">
      <alignment horizontal="center" vertical="top" wrapText="1"/>
    </xf>
    <xf numFmtId="49" fontId="26" fillId="0" borderId="0" xfId="0" applyNumberFormat="1" applyFont="1" applyFill="1" applyAlignment="1">
      <alignment horizontal="center" vertical="top" wrapText="1"/>
    </xf>
    <xf numFmtId="49" fontId="13" fillId="0" borderId="1" xfId="0" applyNumberFormat="1" applyFont="1" applyBorder="1" applyAlignment="1">
      <alignment horizontal="right" vertical="top" wrapText="1"/>
    </xf>
    <xf numFmtId="169" fontId="92" fillId="0" borderId="1" xfId="0" applyNumberFormat="1" applyFont="1" applyFill="1" applyBorder="1" applyAlignment="1">
      <alignment vertical="top" wrapText="1"/>
    </xf>
    <xf numFmtId="49" fontId="113" fillId="0" borderId="1" xfId="0" applyNumberFormat="1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 wrapText="1" shrinkToFit="1"/>
    </xf>
    <xf numFmtId="49" fontId="19" fillId="0" borderId="2" xfId="8" applyNumberFormat="1" applyFont="1" applyFill="1" applyBorder="1" applyAlignment="1">
      <alignment horizontal="right" vertical="top" wrapText="1" shrinkToFit="1"/>
    </xf>
    <xf numFmtId="167" fontId="19" fillId="0" borderId="1" xfId="10" applyNumberFormat="1" applyFont="1" applyFill="1" applyBorder="1" applyAlignment="1">
      <alignment horizontal="right" vertical="top" wrapText="1" shrinkToFit="1"/>
    </xf>
    <xf numFmtId="0" fontId="19" fillId="0" borderId="3" xfId="0" applyFont="1" applyFill="1" applyBorder="1" applyAlignment="1">
      <alignment horizontal="left" vertical="top"/>
    </xf>
    <xf numFmtId="0" fontId="19" fillId="0" borderId="5" xfId="0" applyFont="1" applyFill="1" applyBorder="1" applyAlignment="1">
      <alignment horizontal="left" vertical="top"/>
    </xf>
    <xf numFmtId="49" fontId="13" fillId="0" borderId="2" xfId="0" applyNumberFormat="1" applyFont="1" applyFill="1" applyBorder="1" applyAlignment="1">
      <alignment horizontal="right" vertical="top" wrapText="1"/>
    </xf>
    <xf numFmtId="4" fontId="19" fillId="0" borderId="1" xfId="10" applyNumberFormat="1" applyFont="1" applyFill="1" applyBorder="1" applyAlignment="1">
      <alignment horizontal="right" vertical="top" wrapText="1" shrinkToFit="1"/>
    </xf>
    <xf numFmtId="49" fontId="19" fillId="0" borderId="1" xfId="0" applyNumberFormat="1" applyFont="1" applyFill="1" applyBorder="1" applyAlignment="1">
      <alignment horizontal="left" vertical="top"/>
    </xf>
    <xf numFmtId="49" fontId="19" fillId="0" borderId="3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vertical="center" wrapText="1"/>
    </xf>
    <xf numFmtId="49" fontId="19" fillId="0" borderId="4" xfId="0" applyNumberFormat="1" applyFont="1" applyFill="1" applyBorder="1" applyAlignment="1">
      <alignment horizontal="left" vertical="top"/>
    </xf>
    <xf numFmtId="49" fontId="19" fillId="0" borderId="5" xfId="0" applyNumberFormat="1" applyFont="1" applyFill="1" applyBorder="1" applyAlignment="1">
      <alignment horizontal="left" vertical="top"/>
    </xf>
  </cellXfs>
  <cellStyles count="93">
    <cellStyle name="Денежный" xfId="1" builtinId="4"/>
    <cellStyle name="Денежный 2" xfId="16" xr:uid="{00000000-0005-0000-0000-000001000000}"/>
    <cellStyle name="Денежный 2 2" xfId="58" xr:uid="{00000000-0005-0000-0000-000002000000}"/>
    <cellStyle name="Денежный 3" xfId="30" xr:uid="{00000000-0005-0000-0000-000003000000}"/>
    <cellStyle name="Денежный 3 2" xfId="66" xr:uid="{00000000-0005-0000-0000-000004000000}"/>
    <cellStyle name="Денежный 4" xfId="75" xr:uid="{00000000-0005-0000-0000-000005000000}"/>
    <cellStyle name="Обычный" xfId="0" builtinId="0"/>
    <cellStyle name="Обычный 10" xfId="2" xr:uid="{00000000-0005-0000-0000-000007000000}"/>
    <cellStyle name="Обычный 10 2" xfId="17" xr:uid="{00000000-0005-0000-0000-000008000000}"/>
    <cellStyle name="Обычный 11" xfId="3" xr:uid="{00000000-0005-0000-0000-000009000000}"/>
    <cellStyle name="Обычный 11 2" xfId="18" xr:uid="{00000000-0005-0000-0000-00000A000000}"/>
    <cellStyle name="Обычный 12" xfId="4" xr:uid="{00000000-0005-0000-0000-00000B000000}"/>
    <cellStyle name="Обычный 12 2" xfId="19" xr:uid="{00000000-0005-0000-0000-00000C000000}"/>
    <cellStyle name="Обычный 13" xfId="5" xr:uid="{00000000-0005-0000-0000-00000D000000}"/>
    <cellStyle name="Обычный 13 2" xfId="20" xr:uid="{00000000-0005-0000-0000-00000E000000}"/>
    <cellStyle name="Обычный 14" xfId="15" xr:uid="{00000000-0005-0000-0000-00000F000000}"/>
    <cellStyle name="Обычный 14 2" xfId="57" xr:uid="{00000000-0005-0000-0000-000010000000}"/>
    <cellStyle name="Обычный 15" xfId="14" xr:uid="{00000000-0005-0000-0000-000011000000}"/>
    <cellStyle name="Обычный 15 2" xfId="33" xr:uid="{00000000-0005-0000-0000-000012000000}"/>
    <cellStyle name="Обычный 15 2 2" xfId="69" xr:uid="{00000000-0005-0000-0000-000013000000}"/>
    <cellStyle name="Обычный 15 2 3" xfId="48" xr:uid="{00000000-0005-0000-0000-000014000000}"/>
    <cellStyle name="Обычный 15 2 4" xfId="87" xr:uid="{00000000-0005-0000-0000-000015000000}"/>
    <cellStyle name="Обычный 15 3" xfId="56" xr:uid="{00000000-0005-0000-0000-000016000000}"/>
    <cellStyle name="Обычный 15 4" xfId="41" xr:uid="{00000000-0005-0000-0000-000017000000}"/>
    <cellStyle name="Обычный 15 5" xfId="80" xr:uid="{00000000-0005-0000-0000-000018000000}"/>
    <cellStyle name="Обычный 16" xfId="25" xr:uid="{00000000-0005-0000-0000-000019000000}"/>
    <cellStyle name="Обычный 16 2" xfId="35" xr:uid="{00000000-0005-0000-0000-00001A000000}"/>
    <cellStyle name="Обычный 16 2 2" xfId="71" xr:uid="{00000000-0005-0000-0000-00001B000000}"/>
    <cellStyle name="Обычный 16 2 3" xfId="50" xr:uid="{00000000-0005-0000-0000-00001C000000}"/>
    <cellStyle name="Обычный 16 2 4" xfId="89" xr:uid="{00000000-0005-0000-0000-00001D000000}"/>
    <cellStyle name="Обычный 16 3" xfId="61" xr:uid="{00000000-0005-0000-0000-00001E000000}"/>
    <cellStyle name="Обычный 16 4" xfId="43" xr:uid="{00000000-0005-0000-0000-00001F000000}"/>
    <cellStyle name="Обычный 16 5" xfId="82" xr:uid="{00000000-0005-0000-0000-000020000000}"/>
    <cellStyle name="Обычный 17" xfId="26" xr:uid="{00000000-0005-0000-0000-000021000000}"/>
    <cellStyle name="Обычный 17 2" xfId="36" xr:uid="{00000000-0005-0000-0000-000022000000}"/>
    <cellStyle name="Обычный 17 2 2" xfId="72" xr:uid="{00000000-0005-0000-0000-000023000000}"/>
    <cellStyle name="Обычный 17 2 3" xfId="51" xr:uid="{00000000-0005-0000-0000-000024000000}"/>
    <cellStyle name="Обычный 17 2 4" xfId="90" xr:uid="{00000000-0005-0000-0000-000025000000}"/>
    <cellStyle name="Обычный 17 3" xfId="62" xr:uid="{00000000-0005-0000-0000-000026000000}"/>
    <cellStyle name="Обычный 17 4" xfId="77" xr:uid="{00000000-0005-0000-0000-000027000000}"/>
    <cellStyle name="Обычный 17 5" xfId="44" xr:uid="{00000000-0005-0000-0000-000028000000}"/>
    <cellStyle name="Обычный 17 6" xfId="83" xr:uid="{00000000-0005-0000-0000-000029000000}"/>
    <cellStyle name="Обычный 18" xfId="27" xr:uid="{00000000-0005-0000-0000-00002A000000}"/>
    <cellStyle name="Обычный 18 2" xfId="37" xr:uid="{00000000-0005-0000-0000-00002B000000}"/>
    <cellStyle name="Обычный 18 2 2" xfId="73" xr:uid="{00000000-0005-0000-0000-00002C000000}"/>
    <cellStyle name="Обычный 18 2 3" xfId="52" xr:uid="{00000000-0005-0000-0000-00002D000000}"/>
    <cellStyle name="Обычный 18 2 4" xfId="91" xr:uid="{00000000-0005-0000-0000-00002E000000}"/>
    <cellStyle name="Обычный 18 3" xfId="63" xr:uid="{00000000-0005-0000-0000-00002F000000}"/>
    <cellStyle name="Обычный 18 4" xfId="78" xr:uid="{00000000-0005-0000-0000-000030000000}"/>
    <cellStyle name="Обычный 18 5" xfId="45" xr:uid="{00000000-0005-0000-0000-000031000000}"/>
    <cellStyle name="Обычный 18 6" xfId="84" xr:uid="{00000000-0005-0000-0000-000032000000}"/>
    <cellStyle name="Обычный 19" xfId="29" xr:uid="{00000000-0005-0000-0000-000033000000}"/>
    <cellStyle name="Обычный 19 2" xfId="65" xr:uid="{00000000-0005-0000-0000-000034000000}"/>
    <cellStyle name="Обычный 2" xfId="13" xr:uid="{00000000-0005-0000-0000-000035000000}"/>
    <cellStyle name="Обычный 2 2" xfId="24" xr:uid="{00000000-0005-0000-0000-000036000000}"/>
    <cellStyle name="Обычный 20" xfId="28" xr:uid="{00000000-0005-0000-0000-000037000000}"/>
    <cellStyle name="Обычный 20 2" xfId="64" xr:uid="{00000000-0005-0000-0000-000038000000}"/>
    <cellStyle name="Обычный 20 3" xfId="76" xr:uid="{00000000-0005-0000-0000-000039000000}"/>
    <cellStyle name="Обычный 20 4" xfId="46" xr:uid="{00000000-0005-0000-0000-00003A000000}"/>
    <cellStyle name="Обычный 20 5" xfId="85" xr:uid="{00000000-0005-0000-0000-00003B000000}"/>
    <cellStyle name="Обычный 21" xfId="38" xr:uid="{00000000-0005-0000-0000-00003C000000}"/>
    <cellStyle name="Обычный 21 2" xfId="74" xr:uid="{00000000-0005-0000-0000-00003D000000}"/>
    <cellStyle name="Обычный 21 3" xfId="53" xr:uid="{00000000-0005-0000-0000-00003E000000}"/>
    <cellStyle name="Обычный 21 4" xfId="92" xr:uid="{00000000-0005-0000-0000-00003F000000}"/>
    <cellStyle name="Обычный 22" xfId="39" xr:uid="{00000000-0005-0000-0000-000040000000}"/>
    <cellStyle name="Обычный 23" xfId="54" xr:uid="{00000000-0005-0000-0000-000041000000}"/>
    <cellStyle name="Обычный 3" xfId="6" xr:uid="{00000000-0005-0000-0000-000042000000}"/>
    <cellStyle name="Обычный 4" xfId="7" xr:uid="{00000000-0005-0000-0000-000043000000}"/>
    <cellStyle name="Обычный 5" xfId="8" xr:uid="{00000000-0005-0000-0000-000044000000}"/>
    <cellStyle name="Обычный 6" xfId="12" xr:uid="{00000000-0005-0000-0000-000045000000}"/>
    <cellStyle name="Обычный 6 2" xfId="23" xr:uid="{00000000-0005-0000-0000-000046000000}"/>
    <cellStyle name="Обычный 6 2 2" xfId="34" xr:uid="{00000000-0005-0000-0000-000047000000}"/>
    <cellStyle name="Обычный 6 2 2 2" xfId="70" xr:uid="{00000000-0005-0000-0000-000048000000}"/>
    <cellStyle name="Обычный 6 2 2 3" xfId="49" xr:uid="{00000000-0005-0000-0000-000049000000}"/>
    <cellStyle name="Обычный 6 2 2 4" xfId="88" xr:uid="{00000000-0005-0000-0000-00004A000000}"/>
    <cellStyle name="Обычный 6 2 3" xfId="60" xr:uid="{00000000-0005-0000-0000-00004B000000}"/>
    <cellStyle name="Обычный 6 2 4" xfId="42" xr:uid="{00000000-0005-0000-0000-00004C000000}"/>
    <cellStyle name="Обычный 6 2 5" xfId="81" xr:uid="{00000000-0005-0000-0000-00004D000000}"/>
    <cellStyle name="Обычный 6 3" xfId="32" xr:uid="{00000000-0005-0000-0000-00004E000000}"/>
    <cellStyle name="Обычный 6 3 2" xfId="68" xr:uid="{00000000-0005-0000-0000-00004F000000}"/>
    <cellStyle name="Обычный 6 3 3" xfId="47" xr:uid="{00000000-0005-0000-0000-000050000000}"/>
    <cellStyle name="Обычный 6 3 4" xfId="86" xr:uid="{00000000-0005-0000-0000-000051000000}"/>
    <cellStyle name="Обычный 6 4" xfId="55" xr:uid="{00000000-0005-0000-0000-000052000000}"/>
    <cellStyle name="Обычный 6 5" xfId="40" xr:uid="{00000000-0005-0000-0000-000053000000}"/>
    <cellStyle name="Обычный 6 6" xfId="79" xr:uid="{00000000-0005-0000-0000-000054000000}"/>
    <cellStyle name="Обычный 7" xfId="9" xr:uid="{00000000-0005-0000-0000-000055000000}"/>
    <cellStyle name="Обычный 8" xfId="10" xr:uid="{00000000-0005-0000-0000-000056000000}"/>
    <cellStyle name="Обычный 9" xfId="11" xr:uid="{00000000-0005-0000-0000-000057000000}"/>
    <cellStyle name="Обычный 9 2" xfId="21" xr:uid="{00000000-0005-0000-0000-000058000000}"/>
    <cellStyle name="Финансовый 2" xfId="22" xr:uid="{00000000-0005-0000-0000-000059000000}"/>
    <cellStyle name="Финансовый 2 2" xfId="59" xr:uid="{00000000-0005-0000-0000-00005A000000}"/>
    <cellStyle name="Финансовый 3" xfId="31" xr:uid="{00000000-0005-0000-0000-00005B000000}"/>
    <cellStyle name="Финансовый 3 2" xfId="67" xr:uid="{00000000-0005-0000-0000-00005C000000}"/>
  </cellStyles>
  <dxfs count="0"/>
  <tableStyles count="0" defaultTableStyle="TableStyleMedium9" defaultPivotStyle="PivotStyleLight16"/>
  <colors>
    <mruColors>
      <color rgb="FFFF00FF"/>
      <color rgb="FF66CCFF"/>
      <color rgb="FF008000"/>
      <color rgb="FF009900"/>
      <color rgb="FFFF5050"/>
      <color rgb="FFCC00CC"/>
      <color rgb="FF28A87D"/>
      <color rgb="FFC45D08"/>
      <color rgb="FF660066"/>
      <color rgb="FF4F25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\\Fs22\..\..\Ber\AppData\Roaming\Microsoft\Users\Ber\AppData\Users\Ber\AppData\Users\Ber\Desktop\&#1048;&#1042;&#1040;&#1053;&#1048;&#1042;&#1040;\&#1048;&#1074;&#1072;&#1085;&#1080;&#1074;&#1072;%20&#1043;.&#1041;\Users\Ber\AppData\Roaming\Microsoft\Application%20Data\kalinin_dm\Local%20Settings\&#1057;&#1050;&#1040;&#1053;&#1067;%20&#1089;&#1074;&#1080;&#1076;&#1077;&#1090;&#1077;&#1083;&#1100;&#1089;&#1090;&#1074;\&#1064;&#1077;&#1088;&#1077;&#1075;&#1077;&#1096;\42&#1040;&#1040;846383.t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23"/>
  <sheetViews>
    <sheetView topLeftCell="A4" zoomScale="98" zoomScaleNormal="98" workbookViewId="0">
      <selection activeCell="E19" sqref="E19"/>
    </sheetView>
  </sheetViews>
  <sheetFormatPr defaultColWidth="9.140625" defaultRowHeight="12.75" x14ac:dyDescent="0.2"/>
  <cols>
    <col min="1" max="1" width="14" style="339" customWidth="1"/>
    <col min="2" max="2" width="23.140625" style="340" customWidth="1"/>
    <col min="3" max="3" width="33.42578125" style="340" customWidth="1"/>
    <col min="4" max="4" width="8.140625" style="341" customWidth="1"/>
    <col min="5" max="5" width="16.42578125" style="342" customWidth="1"/>
    <col min="6" max="6" width="29.7109375" style="277" customWidth="1"/>
    <col min="7" max="7" width="8.85546875" style="277" customWidth="1"/>
    <col min="8" max="8" width="12.7109375" style="277" customWidth="1"/>
    <col min="9" max="9" width="7" style="341" customWidth="1"/>
    <col min="10" max="10" width="16.140625" style="336" customWidth="1"/>
    <col min="11" max="11" width="18" style="277" customWidth="1"/>
    <col min="12" max="12" width="9.140625" style="3"/>
    <col min="13" max="16384" width="9.140625" style="1"/>
  </cols>
  <sheetData>
    <row r="14" spans="3:9" ht="33" x14ac:dyDescent="0.45">
      <c r="C14" s="361"/>
      <c r="D14" s="362"/>
      <c r="E14" s="361" t="s">
        <v>10560</v>
      </c>
      <c r="F14" s="362"/>
      <c r="G14" s="362"/>
      <c r="H14"/>
      <c r="I14"/>
    </row>
    <row r="15" spans="3:9" x14ac:dyDescent="0.2">
      <c r="C15" s="363"/>
      <c r="D15" s="363"/>
      <c r="E15" s="362"/>
      <c r="F15" s="362"/>
      <c r="G15" s="362"/>
      <c r="H15"/>
      <c r="I15"/>
    </row>
    <row r="16" spans="3:9" ht="30.75" x14ac:dyDescent="0.45">
      <c r="C16" s="362"/>
      <c r="D16" s="364"/>
      <c r="E16" s="364" t="s">
        <v>10562</v>
      </c>
      <c r="F16" s="365"/>
      <c r="G16" s="362"/>
      <c r="H16"/>
      <c r="I16"/>
    </row>
    <row r="17" spans="3:9" ht="30.75" x14ac:dyDescent="0.45">
      <c r="C17" s="362"/>
      <c r="D17" s="364"/>
      <c r="E17" s="364" t="s">
        <v>10561</v>
      </c>
      <c r="F17" s="365"/>
      <c r="G17" s="362"/>
      <c r="H17"/>
      <c r="I17"/>
    </row>
    <row r="18" spans="3:9" ht="30.75" x14ac:dyDescent="0.45">
      <c r="C18" s="362"/>
      <c r="D18" s="364"/>
      <c r="E18" s="364" t="s">
        <v>15388</v>
      </c>
      <c r="F18" s="365"/>
      <c r="G18" s="362"/>
      <c r="H18"/>
      <c r="I18"/>
    </row>
    <row r="19" spans="3:9" x14ac:dyDescent="0.2">
      <c r="C19" s="362"/>
      <c r="D19" s="362"/>
      <c r="E19" s="362"/>
      <c r="F19" s="362"/>
      <c r="G19" s="362"/>
      <c r="H19"/>
      <c r="I19"/>
    </row>
    <row r="20" spans="3:9" x14ac:dyDescent="0.2">
      <c r="C20"/>
      <c r="D20"/>
      <c r="E20"/>
      <c r="F20"/>
      <c r="G20"/>
      <c r="H20"/>
      <c r="I20"/>
    </row>
    <row r="21" spans="3:9" x14ac:dyDescent="0.2">
      <c r="C21"/>
      <c r="D21"/>
      <c r="E21"/>
      <c r="F21"/>
      <c r="G21"/>
      <c r="H21"/>
      <c r="I21"/>
    </row>
    <row r="22" spans="3:9" x14ac:dyDescent="0.2">
      <c r="C22"/>
      <c r="D22"/>
      <c r="E22"/>
      <c r="F22"/>
      <c r="G22"/>
      <c r="H22"/>
      <c r="I22"/>
    </row>
    <row r="23" spans="3:9" x14ac:dyDescent="0.2">
      <c r="C23"/>
      <c r="D23"/>
      <c r="E23"/>
      <c r="F23"/>
      <c r="G23"/>
      <c r="H23"/>
      <c r="I23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2668"/>
  <sheetViews>
    <sheetView topLeftCell="A2330" zoomScale="83" zoomScaleNormal="83" workbookViewId="0">
      <selection activeCell="C2338" sqref="C2338"/>
    </sheetView>
  </sheetViews>
  <sheetFormatPr defaultColWidth="9.140625" defaultRowHeight="12.75" x14ac:dyDescent="0.2"/>
  <cols>
    <col min="1" max="1" width="14" style="414" customWidth="1"/>
    <col min="2" max="2" width="23.140625" style="340" customWidth="1"/>
    <col min="3" max="3" width="33.42578125" style="340" customWidth="1"/>
    <col min="4" max="4" width="8.140625" style="341" customWidth="1"/>
    <col min="5" max="5" width="10.28515625" style="342" customWidth="1"/>
    <col min="6" max="6" width="29.7109375" style="277" customWidth="1"/>
    <col min="7" max="7" width="13.5703125" style="632" customWidth="1"/>
    <col min="8" max="8" width="12.7109375" style="277" customWidth="1"/>
    <col min="9" max="9" width="12.85546875" style="341" customWidth="1"/>
    <col min="10" max="10" width="16.140625" style="336" customWidth="1"/>
    <col min="11" max="11" width="17.140625" style="3" customWidth="1"/>
    <col min="12" max="12" width="23" style="1" customWidth="1"/>
    <col min="13" max="16384" width="9.140625" style="1"/>
  </cols>
  <sheetData>
    <row r="2" spans="1:11" ht="15" customHeight="1" x14ac:dyDescent="0.2">
      <c r="A2" s="400"/>
      <c r="B2" s="358"/>
      <c r="C2" s="1257" t="s">
        <v>10095</v>
      </c>
      <c r="D2" s="1257"/>
      <c r="E2" s="1257"/>
      <c r="F2" s="1257"/>
      <c r="G2" s="1257"/>
      <c r="H2" s="1257"/>
      <c r="I2" s="356"/>
      <c r="J2" s="357"/>
    </row>
    <row r="4" spans="1:11" ht="86.25" customHeight="1" x14ac:dyDescent="0.2">
      <c r="A4" s="401" t="s">
        <v>10097</v>
      </c>
      <c r="B4" s="279" t="s">
        <v>10098</v>
      </c>
      <c r="C4" s="1010" t="s">
        <v>10099</v>
      </c>
      <c r="D4" s="279" t="s">
        <v>10096</v>
      </c>
      <c r="E4" s="279" t="s">
        <v>13807</v>
      </c>
      <c r="F4" s="279" t="s">
        <v>10100</v>
      </c>
      <c r="G4" s="279" t="s">
        <v>10101</v>
      </c>
      <c r="H4" s="279" t="s">
        <v>10102</v>
      </c>
      <c r="I4" s="279" t="s">
        <v>10103</v>
      </c>
      <c r="J4" s="280" t="s">
        <v>10255</v>
      </c>
      <c r="K4" s="280" t="s">
        <v>10104</v>
      </c>
    </row>
    <row r="5" spans="1:11" x14ac:dyDescent="0.2">
      <c r="A5" s="402">
        <v>1</v>
      </c>
      <c r="B5" s="399">
        <v>2</v>
      </c>
      <c r="C5" s="200">
        <v>3</v>
      </c>
      <c r="D5" s="533">
        <v>4</v>
      </c>
      <c r="E5" s="533">
        <v>5</v>
      </c>
      <c r="F5" s="533">
        <v>6</v>
      </c>
      <c r="G5" s="605">
        <v>7</v>
      </c>
      <c r="H5" s="178">
        <v>8</v>
      </c>
      <c r="I5" s="178">
        <v>9</v>
      </c>
      <c r="J5" s="333">
        <v>12</v>
      </c>
      <c r="K5" s="533">
        <v>13</v>
      </c>
    </row>
    <row r="6" spans="1:11" s="53" customFormat="1" x14ac:dyDescent="0.2">
      <c r="A6" s="348" t="s">
        <v>291</v>
      </c>
      <c r="B6" s="347"/>
      <c r="C6" s="1147" t="s">
        <v>10972</v>
      </c>
      <c r="D6" s="1150">
        <v>7</v>
      </c>
      <c r="E6" s="436"/>
      <c r="F6" s="178"/>
      <c r="G6" s="602"/>
      <c r="H6" s="405">
        <f>7504-7504</f>
        <v>0</v>
      </c>
      <c r="I6" s="1145">
        <v>1977</v>
      </c>
      <c r="J6" s="439">
        <f>14142540-14142540</f>
        <v>0</v>
      </c>
      <c r="K6" s="440"/>
    </row>
    <row r="7" spans="1:11" ht="12.75" customHeight="1" x14ac:dyDescent="0.2">
      <c r="A7" s="349" t="s">
        <v>543</v>
      </c>
      <c r="B7" s="347" t="s">
        <v>308</v>
      </c>
      <c r="C7" s="1148"/>
      <c r="D7" s="1151"/>
      <c r="E7" s="436">
        <v>106</v>
      </c>
      <c r="F7" s="178"/>
      <c r="G7" s="602"/>
      <c r="H7" s="441">
        <v>61.4</v>
      </c>
      <c r="I7" s="1153"/>
      <c r="J7" s="437">
        <v>115718.54424307036</v>
      </c>
      <c r="K7" s="437"/>
    </row>
    <row r="8" spans="1:11" x14ac:dyDescent="0.2">
      <c r="A8" s="349" t="s">
        <v>3331</v>
      </c>
      <c r="B8" s="347" t="s">
        <v>308</v>
      </c>
      <c r="C8" s="1148"/>
      <c r="D8" s="1151"/>
      <c r="E8" s="436">
        <v>53</v>
      </c>
      <c r="F8" s="178" t="s">
        <v>3330</v>
      </c>
      <c r="G8" s="602" t="s">
        <v>127</v>
      </c>
      <c r="H8" s="441">
        <v>52.3</v>
      </c>
      <c r="I8" s="1153"/>
      <c r="J8" s="437">
        <v>1900000</v>
      </c>
      <c r="K8" s="437">
        <v>951516.4</v>
      </c>
    </row>
    <row r="9" spans="1:11" x14ac:dyDescent="0.2">
      <c r="A9" s="349" t="s">
        <v>10644</v>
      </c>
      <c r="B9" s="347" t="s">
        <v>308</v>
      </c>
      <c r="C9" s="1149"/>
      <c r="D9" s="1152"/>
      <c r="E9" s="436">
        <v>28</v>
      </c>
      <c r="F9" s="178" t="s">
        <v>10645</v>
      </c>
      <c r="G9" s="606" t="s">
        <v>127</v>
      </c>
      <c r="H9" s="415">
        <v>43</v>
      </c>
      <c r="I9" s="1146"/>
      <c r="J9" s="437">
        <v>1153053</v>
      </c>
      <c r="K9" s="437">
        <v>816702.38</v>
      </c>
    </row>
    <row r="10" spans="1:11" x14ac:dyDescent="0.2">
      <c r="A10" s="348" t="s">
        <v>2</v>
      </c>
      <c r="B10" s="347"/>
      <c r="C10" s="1147" t="s">
        <v>10973</v>
      </c>
      <c r="D10" s="1150">
        <v>11</v>
      </c>
      <c r="E10" s="436"/>
      <c r="F10" s="178"/>
      <c r="G10" s="602"/>
      <c r="H10" s="441">
        <f>4947-4947</f>
        <v>0</v>
      </c>
      <c r="I10" s="1145">
        <v>1975</v>
      </c>
      <c r="J10" s="415">
        <f>10215560-10215560</f>
        <v>0</v>
      </c>
      <c r="K10" s="437"/>
    </row>
    <row r="11" spans="1:11" ht="12.75" customHeight="1" x14ac:dyDescent="0.2">
      <c r="A11" s="349" t="s">
        <v>3</v>
      </c>
      <c r="B11" s="347" t="s">
        <v>308</v>
      </c>
      <c r="C11" s="1148"/>
      <c r="D11" s="1151"/>
      <c r="E11" s="436">
        <v>63</v>
      </c>
      <c r="F11" s="178" t="s">
        <v>25</v>
      </c>
      <c r="G11" s="602"/>
      <c r="H11" s="441">
        <v>45.1</v>
      </c>
      <c r="I11" s="1153"/>
      <c r="J11" s="415">
        <v>93131.545583181723</v>
      </c>
      <c r="K11" s="437">
        <v>835221.71</v>
      </c>
    </row>
    <row r="12" spans="1:11" x14ac:dyDescent="0.2">
      <c r="A12" s="348" t="s">
        <v>4</v>
      </c>
      <c r="B12" s="347"/>
      <c r="C12" s="1147" t="s">
        <v>10974</v>
      </c>
      <c r="D12" s="1150">
        <v>17</v>
      </c>
      <c r="E12" s="436"/>
      <c r="F12" s="178"/>
      <c r="G12" s="602"/>
      <c r="H12" s="441">
        <f>4481-4481</f>
        <v>0</v>
      </c>
      <c r="I12" s="1145">
        <v>1975</v>
      </c>
      <c r="J12" s="415">
        <f>9244188-9244188</f>
        <v>0</v>
      </c>
      <c r="K12" s="437"/>
    </row>
    <row r="13" spans="1:11" ht="12.75" customHeight="1" x14ac:dyDescent="0.2">
      <c r="A13" s="349" t="s">
        <v>524</v>
      </c>
      <c r="B13" s="347" t="s">
        <v>308</v>
      </c>
      <c r="C13" s="1148"/>
      <c r="D13" s="1151"/>
      <c r="E13" s="592">
        <v>59</v>
      </c>
      <c r="F13" s="200" t="s">
        <v>2887</v>
      </c>
      <c r="G13" s="591" t="s">
        <v>128</v>
      </c>
      <c r="H13" s="593">
        <v>45.1</v>
      </c>
      <c r="I13" s="1258"/>
      <c r="J13" s="415">
        <v>94484.22459272483</v>
      </c>
      <c r="K13" s="437">
        <v>854972.43</v>
      </c>
    </row>
    <row r="14" spans="1:11" x14ac:dyDescent="0.2">
      <c r="A14" s="349" t="s">
        <v>525</v>
      </c>
      <c r="B14" s="347" t="s">
        <v>308</v>
      </c>
      <c r="C14" s="1148"/>
      <c r="D14" s="1151"/>
      <c r="E14" s="592">
        <v>79</v>
      </c>
      <c r="F14" s="200" t="s">
        <v>5247</v>
      </c>
      <c r="G14" s="591" t="s">
        <v>127</v>
      </c>
      <c r="H14" s="593">
        <v>42.8</v>
      </c>
      <c r="I14" s="1258"/>
      <c r="J14" s="415">
        <v>89326.788752510591</v>
      </c>
      <c r="K14" s="437">
        <v>811370.73</v>
      </c>
    </row>
    <row r="15" spans="1:11" ht="25.5" x14ac:dyDescent="0.2">
      <c r="A15" s="348" t="s">
        <v>526</v>
      </c>
      <c r="B15" s="347"/>
      <c r="C15" s="1147" t="s">
        <v>10975</v>
      </c>
      <c r="D15" s="1150">
        <v>18</v>
      </c>
      <c r="E15" s="436"/>
      <c r="F15" s="178"/>
      <c r="G15" s="602" t="s">
        <v>2865</v>
      </c>
      <c r="H15" s="441">
        <f>9287.9-9287.9</f>
        <v>0</v>
      </c>
      <c r="I15" s="1145">
        <v>1985</v>
      </c>
      <c r="J15" s="415">
        <f>29662680-29662680</f>
        <v>0</v>
      </c>
      <c r="K15" s="437"/>
    </row>
    <row r="16" spans="1:11" ht="14.25" customHeight="1" x14ac:dyDescent="0.2">
      <c r="A16" s="349" t="s">
        <v>2504</v>
      </c>
      <c r="B16" s="347" t="s">
        <v>308</v>
      </c>
      <c r="C16" s="1148"/>
      <c r="D16" s="1151"/>
      <c r="E16" s="425" t="s">
        <v>2503</v>
      </c>
      <c r="F16" s="266"/>
      <c r="G16" s="602"/>
      <c r="H16" s="441"/>
      <c r="I16" s="1153"/>
      <c r="J16" s="415"/>
      <c r="K16" s="437"/>
    </row>
    <row r="17" spans="1:11" x14ac:dyDescent="0.2">
      <c r="A17" s="349" t="s">
        <v>2508</v>
      </c>
      <c r="B17" s="347" t="s">
        <v>308</v>
      </c>
      <c r="C17" s="1148"/>
      <c r="D17" s="1151"/>
      <c r="E17" s="425">
        <v>218</v>
      </c>
      <c r="F17" s="266"/>
      <c r="G17" s="698" t="s">
        <v>512</v>
      </c>
      <c r="H17" s="441">
        <f>30.4-30.4</f>
        <v>0</v>
      </c>
      <c r="I17" s="1153"/>
      <c r="J17" s="415">
        <f>95765.99-95765.99</f>
        <v>0</v>
      </c>
      <c r="K17" s="437"/>
    </row>
    <row r="18" spans="1:11" x14ac:dyDescent="0.2">
      <c r="A18" s="349" t="s">
        <v>2509</v>
      </c>
      <c r="B18" s="347" t="s">
        <v>308</v>
      </c>
      <c r="C18" s="1148"/>
      <c r="D18" s="1151"/>
      <c r="E18" s="425">
        <v>301</v>
      </c>
      <c r="F18" s="266"/>
      <c r="G18" s="698" t="s">
        <v>128</v>
      </c>
      <c r="H18" s="441">
        <v>40.26</v>
      </c>
      <c r="I18" s="1153"/>
      <c r="J18" s="415">
        <v>126826.94</v>
      </c>
      <c r="K18" s="437"/>
    </row>
    <row r="19" spans="1:11" x14ac:dyDescent="0.2">
      <c r="A19" s="349" t="s">
        <v>2510</v>
      </c>
      <c r="B19" s="347" t="s">
        <v>308</v>
      </c>
      <c r="C19" s="1148"/>
      <c r="D19" s="1151"/>
      <c r="E19" s="425">
        <v>306</v>
      </c>
      <c r="F19" s="266"/>
      <c r="G19" s="698" t="s">
        <v>128</v>
      </c>
      <c r="H19" s="441">
        <v>29.6</v>
      </c>
      <c r="I19" s="1153"/>
      <c r="J19" s="415">
        <v>93245.84</v>
      </c>
      <c r="K19" s="437"/>
    </row>
    <row r="20" spans="1:11" x14ac:dyDescent="0.2">
      <c r="A20" s="349" t="s">
        <v>2511</v>
      </c>
      <c r="B20" s="347" t="s">
        <v>308</v>
      </c>
      <c r="C20" s="1148"/>
      <c r="D20" s="1151"/>
      <c r="E20" s="425">
        <v>307</v>
      </c>
      <c r="F20" s="266"/>
      <c r="G20" s="698" t="s">
        <v>128</v>
      </c>
      <c r="H20" s="441">
        <v>40.26</v>
      </c>
      <c r="I20" s="1153"/>
      <c r="J20" s="415">
        <v>126826.94</v>
      </c>
      <c r="K20" s="437"/>
    </row>
    <row r="21" spans="1:11" ht="15" customHeight="1" x14ac:dyDescent="0.2">
      <c r="A21" s="349" t="s">
        <v>2512</v>
      </c>
      <c r="B21" s="347" t="s">
        <v>308</v>
      </c>
      <c r="C21" s="1148"/>
      <c r="D21" s="1151"/>
      <c r="E21" s="425">
        <v>401</v>
      </c>
      <c r="F21" s="178" t="s">
        <v>9960</v>
      </c>
      <c r="G21" s="602" t="s">
        <v>507</v>
      </c>
      <c r="H21" s="441">
        <v>35.4</v>
      </c>
      <c r="I21" s="1153"/>
      <c r="J21" s="415">
        <v>66532.160000000003</v>
      </c>
      <c r="K21" s="437">
        <v>768279.42</v>
      </c>
    </row>
    <row r="22" spans="1:11" ht="15" customHeight="1" x14ac:dyDescent="0.2">
      <c r="A22" s="349" t="s">
        <v>2513</v>
      </c>
      <c r="B22" s="347" t="s">
        <v>308</v>
      </c>
      <c r="C22" s="1148"/>
      <c r="D22" s="1151"/>
      <c r="E22" s="425">
        <v>405</v>
      </c>
      <c r="F22" s="266"/>
      <c r="G22" s="698" t="s">
        <v>507</v>
      </c>
      <c r="H22" s="441">
        <v>43.5</v>
      </c>
      <c r="I22" s="1153"/>
      <c r="J22" s="415">
        <v>137033.57999999999</v>
      </c>
      <c r="K22" s="437"/>
    </row>
    <row r="23" spans="1:11" x14ac:dyDescent="0.2">
      <c r="A23" s="349" t="s">
        <v>2514</v>
      </c>
      <c r="B23" s="347" t="s">
        <v>308</v>
      </c>
      <c r="C23" s="1148"/>
      <c r="D23" s="1151"/>
      <c r="E23" s="425">
        <v>424</v>
      </c>
      <c r="F23" s="178" t="s">
        <v>10111</v>
      </c>
      <c r="G23" s="602" t="s">
        <v>507</v>
      </c>
      <c r="H23" s="441">
        <v>25.9</v>
      </c>
      <c r="I23" s="1153"/>
      <c r="J23" s="415">
        <v>95765.99</v>
      </c>
      <c r="K23" s="437">
        <v>558506.05000000005</v>
      </c>
    </row>
    <row r="24" spans="1:11" ht="12.75" customHeight="1" x14ac:dyDescent="0.2">
      <c r="A24" s="349" t="s">
        <v>2515</v>
      </c>
      <c r="B24" s="347" t="s">
        <v>308</v>
      </c>
      <c r="C24" s="1148"/>
      <c r="D24" s="1151"/>
      <c r="E24" s="425">
        <v>513</v>
      </c>
      <c r="F24" s="266"/>
      <c r="G24" s="698" t="s">
        <v>127</v>
      </c>
      <c r="H24" s="441">
        <v>42.46</v>
      </c>
      <c r="I24" s="1153"/>
      <c r="J24" s="415">
        <v>133757.37</v>
      </c>
      <c r="K24" s="437"/>
    </row>
    <row r="25" spans="1:11" x14ac:dyDescent="0.2">
      <c r="A25" s="349" t="s">
        <v>2516</v>
      </c>
      <c r="B25" s="347" t="s">
        <v>308</v>
      </c>
      <c r="C25" s="1148"/>
      <c r="D25" s="1151"/>
      <c r="E25" s="425">
        <v>517</v>
      </c>
      <c r="F25" s="178" t="s">
        <v>2535</v>
      </c>
      <c r="G25" s="602" t="s">
        <v>127</v>
      </c>
      <c r="H25" s="441">
        <v>37</v>
      </c>
      <c r="I25" s="1153"/>
      <c r="J25" s="415">
        <v>119486.98</v>
      </c>
      <c r="K25" s="437">
        <v>803003.91</v>
      </c>
    </row>
    <row r="26" spans="1:11" x14ac:dyDescent="0.2">
      <c r="A26" s="349" t="s">
        <v>2517</v>
      </c>
      <c r="B26" s="347" t="s">
        <v>308</v>
      </c>
      <c r="C26" s="1148"/>
      <c r="D26" s="1151"/>
      <c r="E26" s="425">
        <v>607</v>
      </c>
      <c r="F26" s="266"/>
      <c r="G26" s="698" t="s">
        <v>2890</v>
      </c>
      <c r="H26" s="441">
        <v>39.56</v>
      </c>
      <c r="I26" s="1153"/>
      <c r="J26" s="415">
        <v>124621.8</v>
      </c>
      <c r="K26" s="437"/>
    </row>
    <row r="27" spans="1:11" x14ac:dyDescent="0.2">
      <c r="A27" s="349" t="s">
        <v>2518</v>
      </c>
      <c r="B27" s="347" t="s">
        <v>308</v>
      </c>
      <c r="C27" s="1148"/>
      <c r="D27" s="1151"/>
      <c r="E27" s="425">
        <v>618</v>
      </c>
      <c r="F27" s="266"/>
      <c r="G27" s="698" t="s">
        <v>2890</v>
      </c>
      <c r="H27" s="441">
        <v>30.13</v>
      </c>
      <c r="I27" s="1153"/>
      <c r="J27" s="415">
        <v>94915.44</v>
      </c>
      <c r="K27" s="437"/>
    </row>
    <row r="28" spans="1:11" x14ac:dyDescent="0.2">
      <c r="A28" s="349" t="s">
        <v>2519</v>
      </c>
      <c r="B28" s="347" t="s">
        <v>308</v>
      </c>
      <c r="C28" s="1148"/>
      <c r="D28" s="1151"/>
      <c r="E28" s="425">
        <v>622</v>
      </c>
      <c r="F28" s="266"/>
      <c r="G28" s="698" t="s">
        <v>2890</v>
      </c>
      <c r="H28" s="441">
        <v>39.93</v>
      </c>
      <c r="I28" s="1153"/>
      <c r="J28" s="415">
        <v>125787.37</v>
      </c>
      <c r="K28" s="437"/>
    </row>
    <row r="29" spans="1:11" x14ac:dyDescent="0.2">
      <c r="A29" s="349" t="s">
        <v>2520</v>
      </c>
      <c r="B29" s="347" t="s">
        <v>308</v>
      </c>
      <c r="C29" s="1148"/>
      <c r="D29" s="1151"/>
      <c r="E29" s="425" t="s">
        <v>2505</v>
      </c>
      <c r="F29" s="266"/>
      <c r="G29" s="699" t="s">
        <v>2597</v>
      </c>
      <c r="H29" s="441">
        <v>19.600000000000001</v>
      </c>
      <c r="I29" s="1153"/>
      <c r="J29" s="415">
        <v>61743.86</v>
      </c>
      <c r="K29" s="437"/>
    </row>
    <row r="30" spans="1:11" x14ac:dyDescent="0.2">
      <c r="A30" s="349" t="s">
        <v>2521</v>
      </c>
      <c r="B30" s="347" t="s">
        <v>308</v>
      </c>
      <c r="C30" s="1148"/>
      <c r="D30" s="1151"/>
      <c r="E30" s="425" t="s">
        <v>2506</v>
      </c>
      <c r="F30" s="266"/>
      <c r="G30" s="699" t="s">
        <v>2597</v>
      </c>
      <c r="H30" s="441">
        <v>18</v>
      </c>
      <c r="I30" s="1153"/>
      <c r="J30" s="415">
        <v>56703.55</v>
      </c>
      <c r="K30" s="437"/>
    </row>
    <row r="31" spans="1:11" x14ac:dyDescent="0.2">
      <c r="A31" s="349" t="s">
        <v>2522</v>
      </c>
      <c r="B31" s="347" t="s">
        <v>308</v>
      </c>
      <c r="C31" s="1148"/>
      <c r="D31" s="1151"/>
      <c r="E31" s="425">
        <v>710</v>
      </c>
      <c r="F31" s="266"/>
      <c r="G31" s="699" t="s">
        <v>2597</v>
      </c>
      <c r="H31" s="441">
        <v>39.76</v>
      </c>
      <c r="I31" s="1153"/>
      <c r="J31" s="415">
        <v>125251.84</v>
      </c>
      <c r="K31" s="437"/>
    </row>
    <row r="32" spans="1:11" x14ac:dyDescent="0.2">
      <c r="A32" s="349" t="s">
        <v>2523</v>
      </c>
      <c r="B32" s="347" t="s">
        <v>308</v>
      </c>
      <c r="C32" s="1148"/>
      <c r="D32" s="1151"/>
      <c r="E32" s="425">
        <v>808</v>
      </c>
      <c r="F32" s="266"/>
      <c r="G32" s="699" t="s">
        <v>2600</v>
      </c>
      <c r="H32" s="441">
        <v>18.93</v>
      </c>
      <c r="I32" s="1153"/>
      <c r="J32" s="415">
        <v>59633.23</v>
      </c>
      <c r="K32" s="437"/>
    </row>
    <row r="33" spans="1:11" x14ac:dyDescent="0.2">
      <c r="A33" s="349" t="s">
        <v>2524</v>
      </c>
      <c r="B33" s="347" t="s">
        <v>308</v>
      </c>
      <c r="C33" s="1148"/>
      <c r="D33" s="1151"/>
      <c r="E33" s="425" t="s">
        <v>2526</v>
      </c>
      <c r="F33" s="266"/>
      <c r="G33" s="699" t="s">
        <v>2600</v>
      </c>
      <c r="H33" s="441">
        <v>18.93</v>
      </c>
      <c r="I33" s="1153"/>
      <c r="J33" s="415">
        <v>59633.23</v>
      </c>
      <c r="K33" s="437"/>
    </row>
    <row r="34" spans="1:11" x14ac:dyDescent="0.2">
      <c r="A34" s="349" t="s">
        <v>2525</v>
      </c>
      <c r="B34" s="347" t="s">
        <v>308</v>
      </c>
      <c r="C34" s="1148"/>
      <c r="D34" s="1151"/>
      <c r="E34" s="425">
        <v>809</v>
      </c>
      <c r="F34" s="266"/>
      <c r="G34" s="699" t="s">
        <v>2600</v>
      </c>
      <c r="H34" s="441">
        <v>28.76</v>
      </c>
      <c r="I34" s="1153"/>
      <c r="J34" s="415">
        <v>90599.67</v>
      </c>
      <c r="K34" s="437"/>
    </row>
    <row r="35" spans="1:11" x14ac:dyDescent="0.2">
      <c r="A35" s="349" t="s">
        <v>2527</v>
      </c>
      <c r="B35" s="347" t="s">
        <v>308</v>
      </c>
      <c r="C35" s="1148"/>
      <c r="D35" s="1151"/>
      <c r="E35" s="425" t="s">
        <v>2507</v>
      </c>
      <c r="F35" s="266"/>
      <c r="G35" s="699" t="s">
        <v>2600</v>
      </c>
      <c r="H35" s="441">
        <v>19.68</v>
      </c>
      <c r="I35" s="1153"/>
      <c r="J35" s="415">
        <v>61995.88</v>
      </c>
      <c r="K35" s="437"/>
    </row>
    <row r="36" spans="1:11" x14ac:dyDescent="0.2">
      <c r="A36" s="349" t="s">
        <v>2528</v>
      </c>
      <c r="B36" s="347" t="s">
        <v>308</v>
      </c>
      <c r="C36" s="1148"/>
      <c r="D36" s="1151"/>
      <c r="E36" s="425">
        <v>820</v>
      </c>
      <c r="F36" s="266"/>
      <c r="G36" s="699" t="s">
        <v>2600</v>
      </c>
      <c r="H36" s="441">
        <v>37.36</v>
      </c>
      <c r="I36" s="1153"/>
      <c r="J36" s="415">
        <v>117691.37</v>
      </c>
      <c r="K36" s="437"/>
    </row>
    <row r="37" spans="1:11" x14ac:dyDescent="0.2">
      <c r="A37" s="349" t="s">
        <v>2529</v>
      </c>
      <c r="B37" s="347" t="s">
        <v>308</v>
      </c>
      <c r="C37" s="1148"/>
      <c r="D37" s="1151"/>
      <c r="E37" s="425">
        <v>901</v>
      </c>
      <c r="F37" s="266"/>
      <c r="G37" s="699" t="s">
        <v>2601</v>
      </c>
      <c r="H37" s="441">
        <v>39.96</v>
      </c>
      <c r="I37" s="1153"/>
      <c r="J37" s="415">
        <v>125881.88</v>
      </c>
      <c r="K37" s="437"/>
    </row>
    <row r="38" spans="1:11" x14ac:dyDescent="0.2">
      <c r="A38" s="403" t="s">
        <v>10976</v>
      </c>
      <c r="B38" s="442" t="s">
        <v>308</v>
      </c>
      <c r="C38" s="1148"/>
      <c r="D38" s="1151"/>
      <c r="E38" s="425">
        <v>911</v>
      </c>
      <c r="F38" s="2"/>
      <c r="G38" s="353" t="s">
        <v>2601</v>
      </c>
      <c r="H38" s="415">
        <f>34.3-34.3</f>
        <v>0</v>
      </c>
      <c r="I38" s="1153"/>
      <c r="J38" s="435">
        <f>120526.54-120526.54</f>
        <v>0</v>
      </c>
      <c r="K38" s="443"/>
    </row>
    <row r="39" spans="1:11" x14ac:dyDescent="0.2">
      <c r="A39" s="349" t="s">
        <v>2530</v>
      </c>
      <c r="B39" s="347" t="s">
        <v>308</v>
      </c>
      <c r="C39" s="1148"/>
      <c r="D39" s="1151"/>
      <c r="E39" s="425">
        <v>913</v>
      </c>
      <c r="F39" s="178"/>
      <c r="G39" s="699" t="s">
        <v>2601</v>
      </c>
      <c r="H39" s="441">
        <v>42.36</v>
      </c>
      <c r="I39" s="1153"/>
      <c r="J39" s="415">
        <v>133442.35</v>
      </c>
      <c r="K39" s="437"/>
    </row>
    <row r="40" spans="1:11" ht="15" customHeight="1" x14ac:dyDescent="0.2">
      <c r="A40" s="349" t="s">
        <v>2531</v>
      </c>
      <c r="B40" s="347" t="s">
        <v>308</v>
      </c>
      <c r="C40" s="1148"/>
      <c r="D40" s="1151"/>
      <c r="E40" s="425">
        <v>915</v>
      </c>
      <c r="F40" s="178"/>
      <c r="G40" s="699" t="s">
        <v>2601</v>
      </c>
      <c r="H40" s="441">
        <v>29.76</v>
      </c>
      <c r="I40" s="1153"/>
      <c r="J40" s="415">
        <v>93749.87</v>
      </c>
      <c r="K40" s="437"/>
    </row>
    <row r="41" spans="1:11" x14ac:dyDescent="0.2">
      <c r="A41" s="349" t="s">
        <v>2532</v>
      </c>
      <c r="B41" s="347" t="s">
        <v>308</v>
      </c>
      <c r="C41" s="1148"/>
      <c r="D41" s="1151"/>
      <c r="E41" s="425">
        <v>916</v>
      </c>
      <c r="F41" s="178"/>
      <c r="G41" s="699" t="s">
        <v>2601</v>
      </c>
      <c r="H41" s="441">
        <v>38.130000000000003</v>
      </c>
      <c r="I41" s="1153"/>
      <c r="J41" s="415">
        <v>120117.02</v>
      </c>
      <c r="K41" s="437"/>
    </row>
    <row r="42" spans="1:11" x14ac:dyDescent="0.2">
      <c r="A42" s="349" t="s">
        <v>2533</v>
      </c>
      <c r="B42" s="347" t="s">
        <v>308</v>
      </c>
      <c r="C42" s="1148"/>
      <c r="D42" s="1151"/>
      <c r="E42" s="425">
        <v>919</v>
      </c>
      <c r="F42" s="178" t="s">
        <v>2536</v>
      </c>
      <c r="G42" s="699" t="s">
        <v>2601</v>
      </c>
      <c r="H42" s="441">
        <v>31.4</v>
      </c>
      <c r="I42" s="1153"/>
      <c r="J42" s="415">
        <v>63098.45</v>
      </c>
      <c r="K42" s="437">
        <v>658984.78</v>
      </c>
    </row>
    <row r="43" spans="1:11" ht="25.5" x14ac:dyDescent="0.2">
      <c r="A43" s="349" t="s">
        <v>2534</v>
      </c>
      <c r="B43" s="347" t="s">
        <v>5162</v>
      </c>
      <c r="C43" s="1148"/>
      <c r="D43" s="1151"/>
      <c r="E43" s="425">
        <v>924</v>
      </c>
      <c r="F43" s="178"/>
      <c r="G43" s="699" t="s">
        <v>2601</v>
      </c>
      <c r="H43" s="441">
        <v>26.7</v>
      </c>
      <c r="I43" s="1153"/>
      <c r="J43" s="415">
        <v>84110.26</v>
      </c>
      <c r="K43" s="437"/>
    </row>
    <row r="44" spans="1:11" x14ac:dyDescent="0.2">
      <c r="A44" s="349" t="s">
        <v>3324</v>
      </c>
      <c r="B44" s="347" t="s">
        <v>308</v>
      </c>
      <c r="C44" s="1148"/>
      <c r="D44" s="1151"/>
      <c r="E44" s="425">
        <v>224</v>
      </c>
      <c r="F44" s="178" t="s">
        <v>3325</v>
      </c>
      <c r="G44" s="602" t="s">
        <v>512</v>
      </c>
      <c r="H44" s="441">
        <v>28.4</v>
      </c>
      <c r="I44" s="1153"/>
      <c r="J44" s="415">
        <v>1050000</v>
      </c>
      <c r="K44" s="437">
        <v>616359.76</v>
      </c>
    </row>
    <row r="45" spans="1:11" x14ac:dyDescent="0.2">
      <c r="A45" s="349" t="s">
        <v>3326</v>
      </c>
      <c r="B45" s="347" t="s">
        <v>308</v>
      </c>
      <c r="C45" s="1148"/>
      <c r="D45" s="1151"/>
      <c r="E45" s="425">
        <v>721</v>
      </c>
      <c r="F45" s="178" t="s">
        <v>3329</v>
      </c>
      <c r="G45" s="602" t="s">
        <v>2597</v>
      </c>
      <c r="H45" s="441">
        <v>27.2</v>
      </c>
      <c r="I45" s="1153"/>
      <c r="J45" s="415">
        <v>1070000</v>
      </c>
      <c r="K45" s="437">
        <v>590316.39</v>
      </c>
    </row>
    <row r="46" spans="1:11" x14ac:dyDescent="0.2">
      <c r="A46" s="349" t="s">
        <v>3328</v>
      </c>
      <c r="B46" s="347" t="s">
        <v>308</v>
      </c>
      <c r="C46" s="1148"/>
      <c r="D46" s="1151"/>
      <c r="E46" s="425">
        <v>813</v>
      </c>
      <c r="F46" s="178" t="s">
        <v>3327</v>
      </c>
      <c r="G46" s="602" t="s">
        <v>2600</v>
      </c>
      <c r="H46" s="441">
        <v>35.299999999999997</v>
      </c>
      <c r="I46" s="1153"/>
      <c r="J46" s="415">
        <v>1350000</v>
      </c>
      <c r="K46" s="437">
        <v>766109.14</v>
      </c>
    </row>
    <row r="47" spans="1:11" x14ac:dyDescent="0.2">
      <c r="A47" s="349" t="s">
        <v>6254</v>
      </c>
      <c r="B47" s="347" t="s">
        <v>308</v>
      </c>
      <c r="C47" s="1148"/>
      <c r="D47" s="1151"/>
      <c r="E47" s="425">
        <v>807</v>
      </c>
      <c r="F47" s="178" t="s">
        <v>6255</v>
      </c>
      <c r="G47" s="602" t="s">
        <v>2600</v>
      </c>
      <c r="H47" s="415">
        <v>35.9</v>
      </c>
      <c r="I47" s="1153"/>
      <c r="J47" s="415">
        <v>1041348</v>
      </c>
      <c r="K47" s="437">
        <v>774885.35</v>
      </c>
    </row>
    <row r="48" spans="1:11" x14ac:dyDescent="0.2">
      <c r="A48" s="403" t="s">
        <v>10646</v>
      </c>
      <c r="B48" s="444" t="s">
        <v>308</v>
      </c>
      <c r="C48" s="1148"/>
      <c r="D48" s="1151"/>
      <c r="E48" s="425">
        <v>814</v>
      </c>
      <c r="F48" s="200" t="s">
        <v>10647</v>
      </c>
      <c r="G48" s="603" t="s">
        <v>2600</v>
      </c>
      <c r="H48" s="435">
        <v>35.1</v>
      </c>
      <c r="I48" s="1153"/>
      <c r="J48" s="435">
        <v>1153053</v>
      </c>
      <c r="K48" s="443">
        <v>757617.7</v>
      </c>
    </row>
    <row r="49" spans="1:11" x14ac:dyDescent="0.2">
      <c r="A49" s="403" t="s">
        <v>10726</v>
      </c>
      <c r="B49" s="444" t="s">
        <v>308</v>
      </c>
      <c r="C49" s="1149"/>
      <c r="D49" s="1152"/>
      <c r="E49" s="425">
        <v>707</v>
      </c>
      <c r="F49" s="200" t="s">
        <v>10727</v>
      </c>
      <c r="G49" s="603" t="s">
        <v>2597</v>
      </c>
      <c r="H49" s="435">
        <v>36.6</v>
      </c>
      <c r="I49" s="1146"/>
      <c r="J49" s="435">
        <v>1153053</v>
      </c>
      <c r="K49" s="443">
        <v>794322.85</v>
      </c>
    </row>
    <row r="50" spans="1:11" x14ac:dyDescent="0.2">
      <c r="A50" s="348" t="s">
        <v>527</v>
      </c>
      <c r="B50" s="347"/>
      <c r="C50" s="1157" t="s">
        <v>10977</v>
      </c>
      <c r="D50" s="1158">
        <v>21</v>
      </c>
      <c r="E50" s="436"/>
      <c r="F50" s="178"/>
      <c r="G50" s="602"/>
      <c r="H50" s="441">
        <f>4874-4874</f>
        <v>0</v>
      </c>
      <c r="I50" s="1159">
        <v>1978</v>
      </c>
      <c r="J50" s="415">
        <f>9763576-9763576</f>
        <v>0</v>
      </c>
      <c r="K50" s="437"/>
    </row>
    <row r="51" spans="1:11" ht="12.75" customHeight="1" x14ac:dyDescent="0.2">
      <c r="A51" s="349" t="s">
        <v>2537</v>
      </c>
      <c r="B51" s="347" t="s">
        <v>308</v>
      </c>
      <c r="C51" s="1157"/>
      <c r="D51" s="1158"/>
      <c r="E51" s="436">
        <v>79</v>
      </c>
      <c r="F51" s="178"/>
      <c r="G51" s="602"/>
      <c r="H51" s="441">
        <v>43.3</v>
      </c>
      <c r="I51" s="1159"/>
      <c r="J51" s="415">
        <v>86738.38</v>
      </c>
      <c r="K51" s="437"/>
    </row>
    <row r="52" spans="1:11" ht="12.75" customHeight="1" x14ac:dyDescent="0.2">
      <c r="A52" s="348" t="s">
        <v>544</v>
      </c>
      <c r="B52" s="347"/>
      <c r="C52" s="1147" t="s">
        <v>10978</v>
      </c>
      <c r="D52" s="1150">
        <v>22</v>
      </c>
      <c r="E52" s="436"/>
      <c r="F52" s="178"/>
      <c r="G52" s="602"/>
      <c r="H52" s="441">
        <f>8313-8313</f>
        <v>0</v>
      </c>
      <c r="I52" s="1145">
        <v>1992</v>
      </c>
      <c r="J52" s="415">
        <f>4492616-4492616</f>
        <v>0</v>
      </c>
      <c r="K52" s="437"/>
    </row>
    <row r="53" spans="1:11" ht="12.75" customHeight="1" x14ac:dyDescent="0.2">
      <c r="A53" s="349" t="s">
        <v>2538</v>
      </c>
      <c r="B53" s="347" t="s">
        <v>308</v>
      </c>
      <c r="C53" s="1148"/>
      <c r="D53" s="1151"/>
      <c r="E53" s="436">
        <v>49</v>
      </c>
      <c r="F53" s="178"/>
      <c r="G53" s="602"/>
      <c r="H53" s="441">
        <v>47.7</v>
      </c>
      <c r="I53" s="1153"/>
      <c r="J53" s="415">
        <v>25778.63</v>
      </c>
      <c r="K53" s="437"/>
    </row>
    <row r="54" spans="1:11" x14ac:dyDescent="0.2">
      <c r="A54" s="349" t="s">
        <v>2539</v>
      </c>
      <c r="B54" s="347" t="s">
        <v>308</v>
      </c>
      <c r="C54" s="1148"/>
      <c r="D54" s="1151"/>
      <c r="E54" s="436">
        <v>101</v>
      </c>
      <c r="F54" s="178" t="s">
        <v>9961</v>
      </c>
      <c r="G54" s="602"/>
      <c r="H54" s="441">
        <v>39.200000000000003</v>
      </c>
      <c r="I54" s="1153"/>
      <c r="J54" s="415">
        <f>20860.7</f>
        <v>20860.7</v>
      </c>
      <c r="K54" s="437"/>
    </row>
    <row r="55" spans="1:11" x14ac:dyDescent="0.2">
      <c r="A55" s="403" t="s">
        <v>9959</v>
      </c>
      <c r="B55" s="347" t="s">
        <v>308</v>
      </c>
      <c r="C55" s="1148"/>
      <c r="D55" s="1151"/>
      <c r="E55" s="347">
        <v>129</v>
      </c>
      <c r="F55" s="347" t="s">
        <v>9436</v>
      </c>
      <c r="G55" s="602" t="s">
        <v>137</v>
      </c>
      <c r="H55" s="347">
        <v>66.400000000000006</v>
      </c>
      <c r="I55" s="1153"/>
      <c r="J55" s="415">
        <v>159939</v>
      </c>
      <c r="K55" s="437">
        <v>1426133.89</v>
      </c>
    </row>
    <row r="56" spans="1:11" x14ac:dyDescent="0.2">
      <c r="A56" s="403" t="s">
        <v>10669</v>
      </c>
      <c r="B56" s="347" t="s">
        <v>295</v>
      </c>
      <c r="C56" s="1148"/>
      <c r="D56" s="1151"/>
      <c r="E56" s="445" t="s">
        <v>10670</v>
      </c>
      <c r="F56" s="347" t="s">
        <v>10671</v>
      </c>
      <c r="G56" s="602" t="s">
        <v>512</v>
      </c>
      <c r="H56" s="347">
        <v>40.299999999999997</v>
      </c>
      <c r="I56" s="1153"/>
      <c r="J56" s="435">
        <v>1153053</v>
      </c>
      <c r="K56" s="437">
        <v>870581.56</v>
      </c>
    </row>
    <row r="57" spans="1:11" x14ac:dyDescent="0.2">
      <c r="A57" s="595" t="s">
        <v>14319</v>
      </c>
      <c r="B57" s="833" t="s">
        <v>295</v>
      </c>
      <c r="C57" s="1149"/>
      <c r="D57" s="1152"/>
      <c r="E57" s="445">
        <v>121</v>
      </c>
      <c r="F57" s="865" t="s">
        <v>14320</v>
      </c>
      <c r="G57" s="615" t="s">
        <v>127</v>
      </c>
      <c r="H57" s="833">
        <v>62.1</v>
      </c>
      <c r="I57" s="1146"/>
      <c r="J57" s="435">
        <v>7926692.4000000004</v>
      </c>
      <c r="K57" s="437">
        <v>1321123.97</v>
      </c>
    </row>
    <row r="58" spans="1:11" x14ac:dyDescent="0.2">
      <c r="A58" s="348" t="s">
        <v>545</v>
      </c>
      <c r="B58" s="347"/>
      <c r="C58" s="1147" t="s">
        <v>10979</v>
      </c>
      <c r="D58" s="1150">
        <v>27</v>
      </c>
      <c r="E58" s="436"/>
      <c r="F58" s="178"/>
      <c r="G58" s="607"/>
      <c r="H58" s="441">
        <f>6808-6808</f>
        <v>0</v>
      </c>
      <c r="I58" s="1145">
        <v>1983</v>
      </c>
      <c r="J58" s="415">
        <f>15442240-15442240</f>
        <v>0</v>
      </c>
      <c r="K58" s="437"/>
    </row>
    <row r="59" spans="1:11" ht="12.75" customHeight="1" x14ac:dyDescent="0.2">
      <c r="A59" s="349" t="s">
        <v>546</v>
      </c>
      <c r="B59" s="347" t="s">
        <v>308</v>
      </c>
      <c r="C59" s="1148"/>
      <c r="D59" s="1151"/>
      <c r="E59" s="405">
        <v>60</v>
      </c>
      <c r="F59" s="178" t="s">
        <v>33</v>
      </c>
      <c r="G59" s="602"/>
      <c r="H59" s="441">
        <v>61.1</v>
      </c>
      <c r="I59" s="1153"/>
      <c r="J59" s="415">
        <v>138590.02115158635</v>
      </c>
      <c r="K59" s="437">
        <v>1170448.24</v>
      </c>
    </row>
    <row r="60" spans="1:11" x14ac:dyDescent="0.2">
      <c r="A60" s="403" t="s">
        <v>10760</v>
      </c>
      <c r="B60" s="446" t="s">
        <v>10980</v>
      </c>
      <c r="C60" s="1149"/>
      <c r="D60" s="1152"/>
      <c r="E60" s="425">
        <v>43</v>
      </c>
      <c r="F60" s="200" t="s">
        <v>10761</v>
      </c>
      <c r="G60" s="603" t="s">
        <v>512</v>
      </c>
      <c r="H60" s="435">
        <v>30.1</v>
      </c>
      <c r="I60" s="1146"/>
      <c r="J60" s="435">
        <f t="shared" ref="J60" si="0">15442240/6808*H60</f>
        <v>68274.298472385432</v>
      </c>
      <c r="K60" s="443">
        <v>596586.80000000005</v>
      </c>
    </row>
    <row r="61" spans="1:11" x14ac:dyDescent="0.2">
      <c r="A61" s="348" t="s">
        <v>547</v>
      </c>
      <c r="B61" s="347"/>
      <c r="C61" s="1157" t="s">
        <v>10981</v>
      </c>
      <c r="D61" s="1158">
        <v>33</v>
      </c>
      <c r="E61" s="436"/>
      <c r="F61" s="178"/>
      <c r="G61" s="602"/>
      <c r="H61" s="441">
        <f>7638-7638</f>
        <v>0</v>
      </c>
      <c r="I61" s="1159">
        <v>1990</v>
      </c>
      <c r="J61" s="415">
        <f>28870560-28870560</f>
        <v>0</v>
      </c>
      <c r="K61" s="437"/>
    </row>
    <row r="62" spans="1:11" ht="12.75" customHeight="1" x14ac:dyDescent="0.2">
      <c r="A62" s="349" t="s">
        <v>548</v>
      </c>
      <c r="B62" s="347" t="s">
        <v>308</v>
      </c>
      <c r="C62" s="1157"/>
      <c r="D62" s="1158"/>
      <c r="E62" s="436">
        <v>4</v>
      </c>
      <c r="F62" s="178" t="s">
        <v>2888</v>
      </c>
      <c r="G62" s="602"/>
      <c r="H62" s="441">
        <v>64</v>
      </c>
      <c r="I62" s="1159"/>
      <c r="J62" s="415">
        <v>241910.95051060486</v>
      </c>
      <c r="K62" s="437">
        <v>1321877.8700000001</v>
      </c>
    </row>
    <row r="63" spans="1:11" x14ac:dyDescent="0.2">
      <c r="A63" s="349" t="s">
        <v>549</v>
      </c>
      <c r="B63" s="347" t="s">
        <v>308</v>
      </c>
      <c r="C63" s="1157"/>
      <c r="D63" s="1158"/>
      <c r="E63" s="436">
        <v>96</v>
      </c>
      <c r="F63" s="178" t="s">
        <v>2889</v>
      </c>
      <c r="G63" s="602"/>
      <c r="H63" s="441">
        <v>50.3</v>
      </c>
      <c r="I63" s="1159"/>
      <c r="J63" s="415">
        <v>190126.88766692849</v>
      </c>
      <c r="K63" s="437">
        <v>1002896.98</v>
      </c>
    </row>
    <row r="64" spans="1:11" x14ac:dyDescent="0.2">
      <c r="A64" s="349" t="s">
        <v>550</v>
      </c>
      <c r="B64" s="347" t="s">
        <v>308</v>
      </c>
      <c r="C64" s="1157"/>
      <c r="D64" s="1158"/>
      <c r="E64" s="436">
        <v>128</v>
      </c>
      <c r="F64" s="178" t="s">
        <v>139</v>
      </c>
      <c r="G64" s="602"/>
      <c r="H64" s="441">
        <v>57.5</v>
      </c>
      <c r="I64" s="1159"/>
      <c r="J64" s="415">
        <v>217341.86959937157</v>
      </c>
      <c r="K64" s="437">
        <v>1146452.81</v>
      </c>
    </row>
    <row r="65" spans="1:11" ht="25.5" x14ac:dyDescent="0.2">
      <c r="A65" s="348" t="s">
        <v>551</v>
      </c>
      <c r="B65" s="347"/>
      <c r="C65" s="1147" t="s">
        <v>10982</v>
      </c>
      <c r="D65" s="1150">
        <v>3</v>
      </c>
      <c r="E65" s="436"/>
      <c r="F65" s="178"/>
      <c r="G65" s="602" t="s">
        <v>2656</v>
      </c>
      <c r="H65" s="441">
        <f>9219-9219</f>
        <v>0</v>
      </c>
      <c r="I65" s="1145">
        <v>1978</v>
      </c>
      <c r="J65" s="415">
        <f>19387752-19387752</f>
        <v>0</v>
      </c>
      <c r="K65" s="437"/>
    </row>
    <row r="66" spans="1:11" ht="24" customHeight="1" x14ac:dyDescent="0.2">
      <c r="A66" s="349" t="s">
        <v>553</v>
      </c>
      <c r="B66" s="347" t="s">
        <v>308</v>
      </c>
      <c r="C66" s="1148"/>
      <c r="D66" s="1151"/>
      <c r="E66" s="436">
        <v>58</v>
      </c>
      <c r="F66" s="178"/>
      <c r="G66" s="602"/>
      <c r="H66" s="441">
        <v>41.8</v>
      </c>
      <c r="I66" s="1153"/>
      <c r="J66" s="415">
        <v>87906.28415229416</v>
      </c>
      <c r="K66" s="437"/>
    </row>
    <row r="67" spans="1:11" x14ac:dyDescent="0.2">
      <c r="A67" s="349" t="s">
        <v>554</v>
      </c>
      <c r="B67" s="347" t="s">
        <v>308</v>
      </c>
      <c r="C67" s="1148"/>
      <c r="D67" s="1151"/>
      <c r="E67" s="436">
        <v>115</v>
      </c>
      <c r="F67" s="178"/>
      <c r="G67" s="602"/>
      <c r="H67" s="441">
        <v>31.6</v>
      </c>
      <c r="I67" s="1153"/>
      <c r="J67" s="415">
        <v>66455.46840221282</v>
      </c>
      <c r="K67" s="437"/>
    </row>
    <row r="68" spans="1:11" x14ac:dyDescent="0.2">
      <c r="A68" s="349" t="s">
        <v>555</v>
      </c>
      <c r="B68" s="347" t="s">
        <v>308</v>
      </c>
      <c r="C68" s="1149"/>
      <c r="D68" s="1152"/>
      <c r="E68" s="436">
        <v>120</v>
      </c>
      <c r="F68" s="178" t="s">
        <v>5786</v>
      </c>
      <c r="G68" s="602"/>
      <c r="H68" s="441">
        <v>43.7</v>
      </c>
      <c r="I68" s="1146"/>
      <c r="J68" s="415">
        <v>91902.024341034819</v>
      </c>
      <c r="K68" s="437">
        <v>827676.24</v>
      </c>
    </row>
    <row r="69" spans="1:11" x14ac:dyDescent="0.2">
      <c r="A69" s="348" t="s">
        <v>552</v>
      </c>
      <c r="B69" s="347"/>
      <c r="C69" s="1157" t="s">
        <v>10983</v>
      </c>
      <c r="D69" s="1150">
        <v>5</v>
      </c>
      <c r="E69" s="436"/>
      <c r="F69" s="178"/>
      <c r="G69" s="602"/>
      <c r="H69" s="441">
        <f>3217-3217</f>
        <v>0</v>
      </c>
      <c r="I69" s="1159">
        <v>1980</v>
      </c>
      <c r="J69" s="415">
        <f>8274292-8274292</f>
        <v>0</v>
      </c>
      <c r="K69" s="437"/>
    </row>
    <row r="70" spans="1:11" x14ac:dyDescent="0.2">
      <c r="A70" s="349" t="s">
        <v>556</v>
      </c>
      <c r="B70" s="347" t="s">
        <v>308</v>
      </c>
      <c r="C70" s="1157"/>
      <c r="D70" s="1152"/>
      <c r="E70" s="436">
        <v>44</v>
      </c>
      <c r="F70" s="178"/>
      <c r="G70" s="602"/>
      <c r="H70" s="441">
        <v>80.7</v>
      </c>
      <c r="I70" s="1159"/>
      <c r="J70" s="415">
        <v>207564.6143612061</v>
      </c>
      <c r="K70" s="437"/>
    </row>
    <row r="71" spans="1:11" x14ac:dyDescent="0.2">
      <c r="A71" s="348" t="s">
        <v>557</v>
      </c>
      <c r="B71" s="347"/>
      <c r="C71" s="1157" t="s">
        <v>10984</v>
      </c>
      <c r="D71" s="1158">
        <v>14</v>
      </c>
      <c r="E71" s="436"/>
      <c r="F71" s="178"/>
      <c r="G71" s="602"/>
      <c r="H71" s="441">
        <f>4150-4150</f>
        <v>0</v>
      </c>
      <c r="I71" s="1159">
        <v>1983</v>
      </c>
      <c r="J71" s="415">
        <f>11448348-11448348</f>
        <v>0</v>
      </c>
      <c r="K71" s="437"/>
    </row>
    <row r="72" spans="1:11" ht="12.75" customHeight="1" x14ac:dyDescent="0.2">
      <c r="A72" s="349" t="s">
        <v>558</v>
      </c>
      <c r="B72" s="347" t="s">
        <v>308</v>
      </c>
      <c r="C72" s="1157"/>
      <c r="D72" s="1158"/>
      <c r="E72" s="436">
        <v>13</v>
      </c>
      <c r="F72" s="178"/>
      <c r="G72" s="602" t="s">
        <v>128</v>
      </c>
      <c r="H72" s="441">
        <v>48.1</v>
      </c>
      <c r="I72" s="1159"/>
      <c r="J72" s="415">
        <v>132690.49127710843</v>
      </c>
      <c r="K72" s="437"/>
    </row>
    <row r="73" spans="1:11" x14ac:dyDescent="0.2">
      <c r="A73" s="348" t="s">
        <v>559</v>
      </c>
      <c r="B73" s="347"/>
      <c r="C73" s="1157" t="s">
        <v>10985</v>
      </c>
      <c r="D73" s="1158">
        <v>15</v>
      </c>
      <c r="E73" s="436"/>
      <c r="F73" s="178"/>
      <c r="G73" s="602"/>
      <c r="H73" s="441">
        <f>6670-6670</f>
        <v>0</v>
      </c>
      <c r="I73" s="1159">
        <v>1994</v>
      </c>
      <c r="J73" s="415">
        <f>11142652-11142652</f>
        <v>0</v>
      </c>
      <c r="K73" s="437"/>
    </row>
    <row r="74" spans="1:11" ht="12.75" customHeight="1" x14ac:dyDescent="0.2">
      <c r="A74" s="349" t="s">
        <v>560</v>
      </c>
      <c r="B74" s="347" t="s">
        <v>308</v>
      </c>
      <c r="C74" s="1157"/>
      <c r="D74" s="1158"/>
      <c r="E74" s="436">
        <v>18</v>
      </c>
      <c r="F74" s="178" t="s">
        <v>292</v>
      </c>
      <c r="G74" s="602"/>
      <c r="H74" s="441">
        <v>46.4</v>
      </c>
      <c r="I74" s="1159"/>
      <c r="J74" s="415">
        <v>77514.239999999991</v>
      </c>
      <c r="K74" s="437">
        <v>1030936.85</v>
      </c>
    </row>
    <row r="75" spans="1:11" x14ac:dyDescent="0.2">
      <c r="A75" s="349" t="s">
        <v>561</v>
      </c>
      <c r="B75" s="347" t="s">
        <v>308</v>
      </c>
      <c r="C75" s="1157"/>
      <c r="D75" s="1158"/>
      <c r="E75" s="436">
        <v>89</v>
      </c>
      <c r="F75" s="178" t="s">
        <v>10112</v>
      </c>
      <c r="G75" s="602" t="s">
        <v>127</v>
      </c>
      <c r="H75" s="441">
        <v>61.3</v>
      </c>
      <c r="I75" s="1159"/>
      <c r="J75" s="415">
        <v>102405.66620689654</v>
      </c>
      <c r="K75" s="437">
        <v>1340689.24</v>
      </c>
    </row>
    <row r="76" spans="1:11" x14ac:dyDescent="0.2">
      <c r="A76" s="349" t="s">
        <v>562</v>
      </c>
      <c r="B76" s="347" t="s">
        <v>308</v>
      </c>
      <c r="C76" s="1157"/>
      <c r="D76" s="1158"/>
      <c r="E76" s="436">
        <v>105</v>
      </c>
      <c r="F76" s="178"/>
      <c r="G76" s="602"/>
      <c r="H76" s="441">
        <v>59.9</v>
      </c>
      <c r="I76" s="1159"/>
      <c r="J76" s="415">
        <v>100066.87448275861</v>
      </c>
      <c r="K76" s="437"/>
    </row>
    <row r="77" spans="1:11" x14ac:dyDescent="0.2">
      <c r="A77" s="348" t="s">
        <v>563</v>
      </c>
      <c r="B77" s="347"/>
      <c r="C77" s="1157" t="s">
        <v>10986</v>
      </c>
      <c r="D77" s="1158">
        <v>16</v>
      </c>
      <c r="E77" s="436"/>
      <c r="F77" s="178"/>
      <c r="G77" s="602"/>
      <c r="H77" s="441">
        <f>4065-4065</f>
        <v>0</v>
      </c>
      <c r="I77" s="1159">
        <v>1978</v>
      </c>
      <c r="J77" s="415">
        <f>13140336-13140336</f>
        <v>0</v>
      </c>
      <c r="K77" s="437"/>
    </row>
    <row r="78" spans="1:11" ht="12.75" customHeight="1" x14ac:dyDescent="0.2">
      <c r="A78" s="349" t="s">
        <v>293</v>
      </c>
      <c r="B78" s="347" t="s">
        <v>308</v>
      </c>
      <c r="C78" s="1157"/>
      <c r="D78" s="1158"/>
      <c r="E78" s="436">
        <v>63</v>
      </c>
      <c r="F78" s="178"/>
      <c r="G78" s="602"/>
      <c r="H78" s="441">
        <v>57.1</v>
      </c>
      <c r="I78" s="1159"/>
      <c r="J78" s="415">
        <v>184578.88944649449</v>
      </c>
      <c r="K78" s="437"/>
    </row>
    <row r="79" spans="1:11" x14ac:dyDescent="0.2">
      <c r="A79" s="348" t="s">
        <v>564</v>
      </c>
      <c r="B79" s="347"/>
      <c r="C79" s="1157" t="s">
        <v>10987</v>
      </c>
      <c r="D79" s="1158">
        <v>17</v>
      </c>
      <c r="E79" s="436"/>
      <c r="F79" s="178"/>
      <c r="G79" s="602"/>
      <c r="H79" s="441">
        <f>1987+1987+1988-5962</f>
        <v>0</v>
      </c>
      <c r="I79" s="1159" t="s">
        <v>272</v>
      </c>
      <c r="J79" s="415">
        <f>11008500+26208000+25340890-62557390</f>
        <v>0</v>
      </c>
      <c r="K79" s="437"/>
    </row>
    <row r="80" spans="1:11" ht="12.75" customHeight="1" x14ac:dyDescent="0.2">
      <c r="A80" s="349" t="s">
        <v>565</v>
      </c>
      <c r="B80" s="347" t="s">
        <v>308</v>
      </c>
      <c r="C80" s="1238"/>
      <c r="D80" s="1158"/>
      <c r="E80" s="436">
        <v>39</v>
      </c>
      <c r="F80" s="178" t="s">
        <v>3588</v>
      </c>
      <c r="G80" s="602" t="s">
        <v>137</v>
      </c>
      <c r="H80" s="441">
        <v>49.7</v>
      </c>
      <c r="I80" s="1159"/>
      <c r="J80" s="415">
        <v>91768.274069104329</v>
      </c>
      <c r="K80" s="437">
        <v>495391.71</v>
      </c>
    </row>
    <row r="81" spans="1:11" x14ac:dyDescent="0.2">
      <c r="A81" s="349" t="s">
        <v>566</v>
      </c>
      <c r="B81" s="347" t="s">
        <v>308</v>
      </c>
      <c r="C81" s="1238"/>
      <c r="D81" s="1158"/>
      <c r="E81" s="436">
        <v>54</v>
      </c>
      <c r="F81" s="178" t="s">
        <v>3589</v>
      </c>
      <c r="G81" s="602" t="s">
        <v>127</v>
      </c>
      <c r="H81" s="441">
        <v>49.3</v>
      </c>
      <c r="I81" s="1159"/>
      <c r="J81" s="415">
        <v>91029.69641060046</v>
      </c>
      <c r="K81" s="437">
        <v>491404.65</v>
      </c>
    </row>
    <row r="82" spans="1:11" x14ac:dyDescent="0.2">
      <c r="A82" s="348" t="s">
        <v>567</v>
      </c>
      <c r="B82" s="347"/>
      <c r="C82" s="1157" t="s">
        <v>10988</v>
      </c>
      <c r="D82" s="1158">
        <v>18</v>
      </c>
      <c r="E82" s="436"/>
      <c r="F82" s="178"/>
      <c r="G82" s="602"/>
      <c r="H82" s="441">
        <f>4128-4128</f>
        <v>0</v>
      </c>
      <c r="I82" s="1159">
        <v>1984</v>
      </c>
      <c r="J82" s="415">
        <f>13359440-13359440</f>
        <v>0</v>
      </c>
      <c r="K82" s="437"/>
    </row>
    <row r="83" spans="1:11" ht="12.75" customHeight="1" x14ac:dyDescent="0.2">
      <c r="A83" s="349" t="s">
        <v>568</v>
      </c>
      <c r="B83" s="347" t="s">
        <v>308</v>
      </c>
      <c r="C83" s="1157"/>
      <c r="D83" s="1158"/>
      <c r="E83" s="436">
        <v>54</v>
      </c>
      <c r="F83" s="178" t="s">
        <v>294</v>
      </c>
      <c r="G83" s="602"/>
      <c r="H83" s="441">
        <v>48.1</v>
      </c>
      <c r="I83" s="1159"/>
      <c r="J83" s="415">
        <v>155665.95542635661</v>
      </c>
      <c r="K83" s="437">
        <v>962836.83</v>
      </c>
    </row>
    <row r="84" spans="1:11" x14ac:dyDescent="0.2">
      <c r="A84" s="348" t="s">
        <v>569</v>
      </c>
      <c r="B84" s="347"/>
      <c r="C84" s="1157" t="s">
        <v>10989</v>
      </c>
      <c r="D84" s="1158">
        <v>8</v>
      </c>
      <c r="E84" s="436"/>
      <c r="F84" s="178"/>
      <c r="G84" s="602"/>
      <c r="H84" s="441">
        <f>4155-4155</f>
        <v>0</v>
      </c>
      <c r="I84" s="1159">
        <v>1987</v>
      </c>
      <c r="J84" s="415">
        <f>13780428-13780428</f>
        <v>0</v>
      </c>
      <c r="K84" s="437"/>
    </row>
    <row r="85" spans="1:11" ht="12.75" customHeight="1" x14ac:dyDescent="0.2">
      <c r="A85" s="349" t="s">
        <v>570</v>
      </c>
      <c r="B85" s="347" t="s">
        <v>308</v>
      </c>
      <c r="C85" s="1157"/>
      <c r="D85" s="1158"/>
      <c r="E85" s="436">
        <v>7</v>
      </c>
      <c r="F85" s="178" t="s">
        <v>2891</v>
      </c>
      <c r="G85" s="602" t="s">
        <v>128</v>
      </c>
      <c r="H85" s="441">
        <v>48.8</v>
      </c>
      <c r="I85" s="1159"/>
      <c r="J85" s="415">
        <v>161849.22262334535</v>
      </c>
      <c r="K85" s="437">
        <v>1011791.37</v>
      </c>
    </row>
    <row r="86" spans="1:11" x14ac:dyDescent="0.2">
      <c r="A86" s="348" t="s">
        <v>571</v>
      </c>
      <c r="B86" s="347"/>
      <c r="C86" s="1157" t="s">
        <v>10990</v>
      </c>
      <c r="D86" s="1158">
        <v>10</v>
      </c>
      <c r="E86" s="436"/>
      <c r="F86" s="178"/>
      <c r="G86" s="602"/>
      <c r="H86" s="441">
        <f>4216-4216</f>
        <v>0</v>
      </c>
      <c r="I86" s="1159">
        <v>1988</v>
      </c>
      <c r="J86" s="415">
        <f>15100136-15100136</f>
        <v>0</v>
      </c>
      <c r="K86" s="437"/>
    </row>
    <row r="87" spans="1:11" ht="12.75" customHeight="1" x14ac:dyDescent="0.2">
      <c r="A87" s="349" t="s">
        <v>572</v>
      </c>
      <c r="B87" s="347" t="s">
        <v>308</v>
      </c>
      <c r="C87" s="1157"/>
      <c r="D87" s="1158"/>
      <c r="E87" s="436">
        <v>28</v>
      </c>
      <c r="F87" s="178" t="s">
        <v>2892</v>
      </c>
      <c r="G87" s="602" t="s">
        <v>512</v>
      </c>
      <c r="H87" s="441">
        <v>50.4</v>
      </c>
      <c r="I87" s="1159"/>
      <c r="J87" s="415">
        <v>180513.5294117647</v>
      </c>
      <c r="K87" s="437">
        <v>1040978.82</v>
      </c>
    </row>
    <row r="88" spans="1:11" x14ac:dyDescent="0.2">
      <c r="A88" s="349" t="s">
        <v>573</v>
      </c>
      <c r="B88" s="347" t="s">
        <v>308</v>
      </c>
      <c r="C88" s="1157"/>
      <c r="D88" s="1158"/>
      <c r="E88" s="436">
        <v>30</v>
      </c>
      <c r="F88" s="178"/>
      <c r="G88" s="602"/>
      <c r="H88" s="441">
        <v>51.1</v>
      </c>
      <c r="I88" s="1159"/>
      <c r="J88" s="415">
        <v>183020.66176470587</v>
      </c>
      <c r="K88" s="437"/>
    </row>
    <row r="89" spans="1:11" x14ac:dyDescent="0.2">
      <c r="A89" s="349" t="s">
        <v>574</v>
      </c>
      <c r="B89" s="347" t="s">
        <v>308</v>
      </c>
      <c r="C89" s="1157"/>
      <c r="D89" s="1158"/>
      <c r="E89" s="436">
        <v>42</v>
      </c>
      <c r="F89" s="178"/>
      <c r="G89" s="602"/>
      <c r="H89" s="441">
        <v>38.4</v>
      </c>
      <c r="I89" s="1159"/>
      <c r="J89" s="415">
        <v>137534.11764705883</v>
      </c>
      <c r="K89" s="437"/>
    </row>
    <row r="90" spans="1:11" x14ac:dyDescent="0.2">
      <c r="A90" s="348" t="s">
        <v>575</v>
      </c>
      <c r="B90" s="347"/>
      <c r="C90" s="1157" t="s">
        <v>10991</v>
      </c>
      <c r="D90" s="1158">
        <v>14</v>
      </c>
      <c r="E90" s="436"/>
      <c r="F90" s="178"/>
      <c r="G90" s="602"/>
      <c r="H90" s="441">
        <f>4171-4171</f>
        <v>0</v>
      </c>
      <c r="I90" s="1159">
        <v>1987</v>
      </c>
      <c r="J90" s="415">
        <f>16193688-16193688</f>
        <v>0</v>
      </c>
      <c r="K90" s="437"/>
    </row>
    <row r="91" spans="1:11" ht="12.75" customHeight="1" x14ac:dyDescent="0.2">
      <c r="A91" s="349" t="s">
        <v>576</v>
      </c>
      <c r="B91" s="347" t="s">
        <v>308</v>
      </c>
      <c r="C91" s="1157"/>
      <c r="D91" s="1158"/>
      <c r="E91" s="436">
        <v>54</v>
      </c>
      <c r="F91" s="178" t="s">
        <v>2893</v>
      </c>
      <c r="G91" s="602"/>
      <c r="H91" s="441">
        <v>56.5</v>
      </c>
      <c r="I91" s="1159"/>
      <c r="J91" s="415">
        <v>219358.27667226084</v>
      </c>
      <c r="K91" s="437">
        <v>1166970.31</v>
      </c>
    </row>
    <row r="92" spans="1:11" x14ac:dyDescent="0.2">
      <c r="A92" s="348" t="s">
        <v>577</v>
      </c>
      <c r="B92" s="347"/>
      <c r="C92" s="1147" t="s">
        <v>10992</v>
      </c>
      <c r="D92" s="1150">
        <v>1</v>
      </c>
      <c r="E92" s="436"/>
      <c r="F92" s="178"/>
      <c r="G92" s="602"/>
      <c r="H92" s="441">
        <f>9811-9811</f>
        <v>0</v>
      </c>
      <c r="I92" s="1145">
        <v>1987</v>
      </c>
      <c r="J92" s="415">
        <f>44187340-44187340</f>
        <v>0</v>
      </c>
      <c r="K92" s="437"/>
    </row>
    <row r="93" spans="1:11" ht="12.75" customHeight="1" x14ac:dyDescent="0.2">
      <c r="A93" s="349" t="s">
        <v>578</v>
      </c>
      <c r="B93" s="347" t="s">
        <v>308</v>
      </c>
      <c r="C93" s="1148"/>
      <c r="D93" s="1151"/>
      <c r="E93" s="436">
        <v>1</v>
      </c>
      <c r="F93" s="178"/>
      <c r="G93" s="602"/>
      <c r="H93" s="441">
        <v>57.4</v>
      </c>
      <c r="I93" s="1153"/>
      <c r="J93" s="415">
        <v>258521.38579145857</v>
      </c>
      <c r="K93" s="437"/>
    </row>
    <row r="94" spans="1:11" x14ac:dyDescent="0.2">
      <c r="A94" s="349" t="s">
        <v>579</v>
      </c>
      <c r="B94" s="347" t="s">
        <v>308</v>
      </c>
      <c r="C94" s="1148"/>
      <c r="D94" s="1151"/>
      <c r="E94" s="436">
        <v>22</v>
      </c>
      <c r="F94" s="178"/>
      <c r="G94" s="602"/>
      <c r="H94" s="441">
        <v>52.8</v>
      </c>
      <c r="I94" s="1153"/>
      <c r="J94" s="415">
        <v>237803.64407297931</v>
      </c>
      <c r="K94" s="437"/>
    </row>
    <row r="95" spans="1:11" x14ac:dyDescent="0.2">
      <c r="A95" s="349" t="s">
        <v>580</v>
      </c>
      <c r="B95" s="347" t="s">
        <v>308</v>
      </c>
      <c r="C95" s="1148"/>
      <c r="D95" s="1151"/>
      <c r="E95" s="436">
        <v>42</v>
      </c>
      <c r="F95" s="178"/>
      <c r="G95" s="602"/>
      <c r="H95" s="441">
        <v>43.5</v>
      </c>
      <c r="I95" s="1153"/>
      <c r="J95" s="415">
        <v>195917.77494648864</v>
      </c>
      <c r="K95" s="437"/>
    </row>
    <row r="96" spans="1:11" x14ac:dyDescent="0.2">
      <c r="A96" s="348" t="s">
        <v>581</v>
      </c>
      <c r="B96" s="347"/>
      <c r="C96" s="1157" t="s">
        <v>10993</v>
      </c>
      <c r="D96" s="1158">
        <v>4</v>
      </c>
      <c r="E96" s="436"/>
      <c r="F96" s="178"/>
      <c r="G96" s="602"/>
      <c r="H96" s="441">
        <f>7234-7234</f>
        <v>0</v>
      </c>
      <c r="I96" s="1159">
        <v>1989</v>
      </c>
      <c r="J96" s="415">
        <f>27664012-27664012</f>
        <v>0</v>
      </c>
      <c r="K96" s="437"/>
    </row>
    <row r="97" spans="1:11" ht="12.75" customHeight="1" x14ac:dyDescent="0.2">
      <c r="A97" s="349" t="s">
        <v>582</v>
      </c>
      <c r="B97" s="347" t="s">
        <v>308</v>
      </c>
      <c r="C97" s="1157"/>
      <c r="D97" s="1158"/>
      <c r="E97" s="436">
        <v>24</v>
      </c>
      <c r="F97" s="178" t="s">
        <v>508</v>
      </c>
      <c r="G97" s="602"/>
      <c r="H97" s="441">
        <v>50.7</v>
      </c>
      <c r="I97" s="1159"/>
      <c r="J97" s="415">
        <v>193885.09814763616</v>
      </c>
      <c r="K97" s="437">
        <v>1047175.13</v>
      </c>
    </row>
    <row r="98" spans="1:11" x14ac:dyDescent="0.2">
      <c r="A98" s="349" t="s">
        <v>583</v>
      </c>
      <c r="B98" s="347" t="s">
        <v>308</v>
      </c>
      <c r="C98" s="1157"/>
      <c r="D98" s="1158"/>
      <c r="E98" s="436">
        <v>70</v>
      </c>
      <c r="F98" s="178"/>
      <c r="G98" s="602"/>
      <c r="H98" s="441">
        <v>50.6</v>
      </c>
      <c r="I98" s="1159"/>
      <c r="J98" s="415">
        <v>193502.68178048107</v>
      </c>
      <c r="K98" s="437"/>
    </row>
    <row r="99" spans="1:11" ht="12.75" customHeight="1" x14ac:dyDescent="0.2">
      <c r="A99" s="348" t="s">
        <v>584</v>
      </c>
      <c r="B99" s="347"/>
      <c r="C99" s="1147" t="s">
        <v>10994</v>
      </c>
      <c r="D99" s="1150">
        <v>21</v>
      </c>
      <c r="E99" s="436"/>
      <c r="F99" s="178"/>
      <c r="G99" s="602"/>
      <c r="H99" s="441">
        <f>7880-7880</f>
        <v>0</v>
      </c>
      <c r="I99" s="1145">
        <v>1965</v>
      </c>
      <c r="J99" s="415">
        <f>13565327-13565327</f>
        <v>0</v>
      </c>
      <c r="K99" s="437"/>
    </row>
    <row r="100" spans="1:11" ht="12.75" customHeight="1" x14ac:dyDescent="0.2">
      <c r="A100" s="349" t="s">
        <v>585</v>
      </c>
      <c r="B100" s="347" t="s">
        <v>308</v>
      </c>
      <c r="C100" s="1148"/>
      <c r="D100" s="1151"/>
      <c r="E100" s="436">
        <v>60</v>
      </c>
      <c r="F100" s="178" t="s">
        <v>2894</v>
      </c>
      <c r="G100" s="602" t="s">
        <v>137</v>
      </c>
      <c r="H100" s="441">
        <v>60.6</v>
      </c>
      <c r="I100" s="1153"/>
      <c r="J100" s="415">
        <v>102944.99423857867</v>
      </c>
      <c r="K100" s="437">
        <v>1149247.49</v>
      </c>
    </row>
    <row r="101" spans="1:11" x14ac:dyDescent="0.2">
      <c r="A101" s="349" t="s">
        <v>586</v>
      </c>
      <c r="B101" s="347" t="s">
        <v>308</v>
      </c>
      <c r="C101" s="1148"/>
      <c r="D101" s="1151"/>
      <c r="E101" s="436">
        <v>130</v>
      </c>
      <c r="F101" s="178"/>
      <c r="G101" s="602"/>
      <c r="H101" s="441">
        <v>42.3</v>
      </c>
      <c r="I101" s="1153"/>
      <c r="J101" s="415">
        <v>72818.950774111669</v>
      </c>
      <c r="K101" s="437"/>
    </row>
    <row r="102" spans="1:11" x14ac:dyDescent="0.2">
      <c r="A102" s="349" t="s">
        <v>9159</v>
      </c>
      <c r="B102" s="347" t="s">
        <v>308</v>
      </c>
      <c r="C102" s="1148"/>
      <c r="D102" s="1151"/>
      <c r="E102" s="347">
        <v>91</v>
      </c>
      <c r="F102" s="178" t="s">
        <v>9962</v>
      </c>
      <c r="G102" s="602" t="s">
        <v>9963</v>
      </c>
      <c r="H102" s="415">
        <v>28.8</v>
      </c>
      <c r="I102" s="1153"/>
      <c r="J102" s="415">
        <v>927907.2</v>
      </c>
      <c r="K102" s="437">
        <v>552352.31999999995</v>
      </c>
    </row>
    <row r="103" spans="1:11" x14ac:dyDescent="0.2">
      <c r="A103" s="349" t="s">
        <v>10648</v>
      </c>
      <c r="B103" s="347" t="s">
        <v>308</v>
      </c>
      <c r="C103" s="1148"/>
      <c r="D103" s="1151"/>
      <c r="E103" s="436">
        <v>28</v>
      </c>
      <c r="F103" s="178" t="s">
        <v>10649</v>
      </c>
      <c r="G103" s="602" t="s">
        <v>128</v>
      </c>
      <c r="H103" s="415">
        <v>28.4</v>
      </c>
      <c r="I103" s="1153"/>
      <c r="J103" s="415">
        <v>992324.4</v>
      </c>
      <c r="K103" s="437">
        <v>544680.76</v>
      </c>
    </row>
    <row r="104" spans="1:11" x14ac:dyDescent="0.2">
      <c r="A104" s="349" t="s">
        <v>10728</v>
      </c>
      <c r="B104" s="347" t="s">
        <v>308</v>
      </c>
      <c r="C104" s="1148"/>
      <c r="D104" s="1151"/>
      <c r="E104" s="436">
        <v>58</v>
      </c>
      <c r="F104" s="178" t="s">
        <v>10729</v>
      </c>
      <c r="G104" s="602" t="s">
        <v>137</v>
      </c>
      <c r="H104" s="415">
        <v>30.1</v>
      </c>
      <c r="I104" s="1153"/>
      <c r="J104" s="415">
        <v>1051724.1000000001</v>
      </c>
      <c r="K104" s="437">
        <v>573902.55000000005</v>
      </c>
    </row>
    <row r="105" spans="1:11" ht="24" x14ac:dyDescent="0.2">
      <c r="A105" s="349" t="s">
        <v>10797</v>
      </c>
      <c r="B105" s="178" t="s">
        <v>10681</v>
      </c>
      <c r="C105" s="1148"/>
      <c r="D105" s="1151"/>
      <c r="E105" s="436">
        <v>95</v>
      </c>
      <c r="F105" s="38" t="s">
        <v>10799</v>
      </c>
      <c r="G105" s="602" t="s">
        <v>127</v>
      </c>
      <c r="H105" s="415">
        <f>29.1-29.1</f>
        <v>0</v>
      </c>
      <c r="I105" s="1153"/>
      <c r="J105" s="415">
        <f>1016783.1-1016783.1</f>
        <v>0</v>
      </c>
      <c r="K105" s="437"/>
    </row>
    <row r="106" spans="1:11" ht="24" x14ac:dyDescent="0.2">
      <c r="A106" s="349" t="s">
        <v>10798</v>
      </c>
      <c r="B106" s="178" t="s">
        <v>10681</v>
      </c>
      <c r="C106" s="1148"/>
      <c r="D106" s="1151"/>
      <c r="E106" s="436">
        <v>83</v>
      </c>
      <c r="F106" s="38" t="s">
        <v>10800</v>
      </c>
      <c r="G106" s="602" t="s">
        <v>512</v>
      </c>
      <c r="H106" s="415">
        <v>32.4</v>
      </c>
      <c r="I106" s="1153"/>
      <c r="J106" s="415">
        <v>1126427.96</v>
      </c>
      <c r="K106" s="437">
        <v>642169.93999999994</v>
      </c>
    </row>
    <row r="107" spans="1:11" x14ac:dyDescent="0.2">
      <c r="A107" s="403" t="s">
        <v>13026</v>
      </c>
      <c r="B107" s="432" t="s">
        <v>308</v>
      </c>
      <c r="C107" s="1149"/>
      <c r="D107" s="1152"/>
      <c r="E107" s="672">
        <v>14</v>
      </c>
      <c r="F107" s="200" t="s">
        <v>13027</v>
      </c>
      <c r="G107" s="432" t="s">
        <v>507</v>
      </c>
      <c r="H107" s="435">
        <v>45.5</v>
      </c>
      <c r="I107" s="1146"/>
      <c r="J107" s="435">
        <v>1590992.7</v>
      </c>
      <c r="K107" s="443">
        <v>796508.16000000003</v>
      </c>
    </row>
    <row r="108" spans="1:11" x14ac:dyDescent="0.2">
      <c r="A108" s="348" t="s">
        <v>587</v>
      </c>
      <c r="B108" s="347"/>
      <c r="C108" s="1147" t="s">
        <v>10995</v>
      </c>
      <c r="D108" s="1150">
        <v>23</v>
      </c>
      <c r="E108" s="436"/>
      <c r="F108" s="178"/>
      <c r="G108" s="602"/>
      <c r="H108" s="441">
        <f>7738-7738</f>
        <v>0</v>
      </c>
      <c r="I108" s="1145">
        <v>1966</v>
      </c>
      <c r="J108" s="415">
        <f>16550707-16550707</f>
        <v>0</v>
      </c>
      <c r="K108" s="437"/>
    </row>
    <row r="109" spans="1:11" ht="12.75" customHeight="1" x14ac:dyDescent="0.2">
      <c r="A109" s="349" t="s">
        <v>588</v>
      </c>
      <c r="B109" s="347" t="s">
        <v>308</v>
      </c>
      <c r="C109" s="1148"/>
      <c r="D109" s="1151"/>
      <c r="E109" s="436">
        <v>8</v>
      </c>
      <c r="F109" s="178" t="s">
        <v>3916</v>
      </c>
      <c r="G109" s="602" t="s">
        <v>128</v>
      </c>
      <c r="H109" s="441">
        <v>30.1</v>
      </c>
      <c r="I109" s="1153"/>
      <c r="J109" s="415">
        <v>62675</v>
      </c>
      <c r="K109" s="437">
        <v>590637.79</v>
      </c>
    </row>
    <row r="110" spans="1:11" x14ac:dyDescent="0.2">
      <c r="A110" s="349" t="s">
        <v>589</v>
      </c>
      <c r="B110" s="347" t="s">
        <v>295</v>
      </c>
      <c r="C110" s="1148"/>
      <c r="D110" s="1151"/>
      <c r="E110" s="436">
        <v>19</v>
      </c>
      <c r="F110" s="178"/>
      <c r="G110" s="602"/>
      <c r="H110" s="441">
        <f>41.4-41.4</f>
        <v>0</v>
      </c>
      <c r="I110" s="1153"/>
      <c r="J110" s="415">
        <f>88549.9185577669-88549.9185577669</f>
        <v>0</v>
      </c>
      <c r="K110" s="437"/>
    </row>
    <row r="111" spans="1:11" x14ac:dyDescent="0.2">
      <c r="A111" s="349" t="s">
        <v>590</v>
      </c>
      <c r="B111" s="347" t="s">
        <v>295</v>
      </c>
      <c r="C111" s="1148"/>
      <c r="D111" s="1151"/>
      <c r="E111" s="436">
        <v>35</v>
      </c>
      <c r="F111" s="178"/>
      <c r="G111" s="602"/>
      <c r="H111" s="441">
        <v>43.6</v>
      </c>
      <c r="I111" s="1153"/>
      <c r="J111" s="415">
        <v>93255.469785474284</v>
      </c>
      <c r="K111" s="437"/>
    </row>
    <row r="112" spans="1:11" x14ac:dyDescent="0.2">
      <c r="A112" s="349" t="s">
        <v>591</v>
      </c>
      <c r="B112" s="347" t="s">
        <v>295</v>
      </c>
      <c r="C112" s="1148"/>
      <c r="D112" s="1151"/>
      <c r="E112" s="436">
        <v>101</v>
      </c>
      <c r="F112" s="178" t="s">
        <v>511</v>
      </c>
      <c r="G112" s="602"/>
      <c r="H112" s="441">
        <v>30.4</v>
      </c>
      <c r="I112" s="1153"/>
      <c r="J112" s="415">
        <v>65022.162419229768</v>
      </c>
      <c r="K112" s="437">
        <v>602529.81999999995</v>
      </c>
    </row>
    <row r="113" spans="1:11" x14ac:dyDescent="0.2">
      <c r="A113" s="349" t="s">
        <v>592</v>
      </c>
      <c r="B113" s="347" t="s">
        <v>295</v>
      </c>
      <c r="C113" s="1148"/>
      <c r="D113" s="1151"/>
      <c r="E113" s="436">
        <v>111</v>
      </c>
      <c r="F113" s="178"/>
      <c r="G113" s="602"/>
      <c r="H113" s="441">
        <f>43.5-43.5</f>
        <v>0</v>
      </c>
      <c r="I113" s="1153"/>
      <c r="J113" s="415">
        <f>93041.5810933058-93041.5810933058</f>
        <v>0</v>
      </c>
      <c r="K113" s="437"/>
    </row>
    <row r="114" spans="1:11" x14ac:dyDescent="0.2">
      <c r="A114" s="349" t="s">
        <v>593</v>
      </c>
      <c r="B114" s="347" t="s">
        <v>295</v>
      </c>
      <c r="C114" s="1148"/>
      <c r="D114" s="1151"/>
      <c r="E114" s="425" t="s">
        <v>509</v>
      </c>
      <c r="F114" s="178"/>
      <c r="G114" s="602" t="s">
        <v>512</v>
      </c>
      <c r="H114" s="441">
        <v>15.4</v>
      </c>
      <c r="I114" s="1153"/>
      <c r="J114" s="415">
        <v>32938.858593951925</v>
      </c>
      <c r="K114" s="437"/>
    </row>
    <row r="115" spans="1:11" x14ac:dyDescent="0.2">
      <c r="A115" s="349" t="s">
        <v>594</v>
      </c>
      <c r="B115" s="347" t="s">
        <v>295</v>
      </c>
      <c r="C115" s="1148"/>
      <c r="D115" s="1151"/>
      <c r="E115" s="425" t="s">
        <v>510</v>
      </c>
      <c r="F115" s="178"/>
      <c r="G115" s="602" t="s">
        <v>512</v>
      </c>
      <c r="H115" s="441">
        <v>10</v>
      </c>
      <c r="I115" s="1153"/>
      <c r="J115" s="415">
        <v>21388.869216851897</v>
      </c>
      <c r="K115" s="437"/>
    </row>
    <row r="116" spans="1:11" x14ac:dyDescent="0.2">
      <c r="A116" s="349" t="s">
        <v>595</v>
      </c>
      <c r="B116" s="347" t="s">
        <v>295</v>
      </c>
      <c r="C116" s="1148"/>
      <c r="D116" s="1151"/>
      <c r="E116" s="425">
        <v>139</v>
      </c>
      <c r="F116" s="178"/>
      <c r="G116" s="602"/>
      <c r="H116" s="441">
        <v>36.299999999999997</v>
      </c>
      <c r="I116" s="1153"/>
      <c r="J116" s="415">
        <v>77641.59525717239</v>
      </c>
      <c r="K116" s="437"/>
    </row>
    <row r="117" spans="1:11" x14ac:dyDescent="0.2">
      <c r="A117" s="349" t="s">
        <v>596</v>
      </c>
      <c r="B117" s="347" t="s">
        <v>295</v>
      </c>
      <c r="C117" s="1148"/>
      <c r="D117" s="1151"/>
      <c r="E117" s="425">
        <v>150</v>
      </c>
      <c r="F117" s="178"/>
      <c r="G117" s="602"/>
      <c r="H117" s="441">
        <v>42.8</v>
      </c>
      <c r="I117" s="1153"/>
      <c r="J117" s="415">
        <v>91544.360248126119</v>
      </c>
      <c r="K117" s="437"/>
    </row>
    <row r="118" spans="1:11" x14ac:dyDescent="0.2">
      <c r="A118" s="349" t="s">
        <v>3332</v>
      </c>
      <c r="B118" s="347" t="s">
        <v>295</v>
      </c>
      <c r="C118" s="1148"/>
      <c r="D118" s="1151"/>
      <c r="E118" s="425">
        <v>80</v>
      </c>
      <c r="F118" s="267" t="s">
        <v>3590</v>
      </c>
      <c r="G118" s="602" t="s">
        <v>512</v>
      </c>
      <c r="H118" s="441">
        <v>41.8</v>
      </c>
      <c r="I118" s="1153"/>
      <c r="J118" s="415">
        <v>1000000</v>
      </c>
      <c r="K118" s="437">
        <v>804038.06</v>
      </c>
    </row>
    <row r="119" spans="1:11" ht="25.5" x14ac:dyDescent="0.2">
      <c r="A119" s="349" t="s">
        <v>10256</v>
      </c>
      <c r="B119" s="865" t="s">
        <v>14329</v>
      </c>
      <c r="C119" s="1148"/>
      <c r="D119" s="1151"/>
      <c r="E119" s="425">
        <v>79</v>
      </c>
      <c r="F119" s="38" t="s">
        <v>10257</v>
      </c>
      <c r="G119" s="602" t="s">
        <v>512</v>
      </c>
      <c r="H119" s="415">
        <v>33</v>
      </c>
      <c r="I119" s="1153"/>
      <c r="J119" s="415">
        <v>1090881</v>
      </c>
      <c r="K119" s="437">
        <v>654061.98</v>
      </c>
    </row>
    <row r="120" spans="1:11" x14ac:dyDescent="0.2">
      <c r="A120" s="348" t="s">
        <v>597</v>
      </c>
      <c r="B120" s="347"/>
      <c r="C120" s="1157" t="s">
        <v>10996</v>
      </c>
      <c r="D120" s="1158">
        <v>17</v>
      </c>
      <c r="E120" s="436"/>
      <c r="F120" s="178"/>
      <c r="G120" s="602"/>
      <c r="H120" s="441">
        <f>1571-1571</f>
        <v>0</v>
      </c>
      <c r="I120" s="1159">
        <v>1965</v>
      </c>
      <c r="J120" s="415">
        <f>2397500-2397500</f>
        <v>0</v>
      </c>
      <c r="K120" s="437"/>
    </row>
    <row r="121" spans="1:11" ht="12.75" customHeight="1" x14ac:dyDescent="0.2">
      <c r="A121" s="349" t="s">
        <v>3365</v>
      </c>
      <c r="B121" s="347" t="s">
        <v>308</v>
      </c>
      <c r="C121" s="1157"/>
      <c r="D121" s="1158"/>
      <c r="E121" s="436">
        <v>35</v>
      </c>
      <c r="F121" s="447"/>
      <c r="G121" s="608"/>
      <c r="H121" s="441">
        <v>41.3</v>
      </c>
      <c r="I121" s="1159"/>
      <c r="J121" s="415">
        <f>2397500/1571*H121</f>
        <v>63027.848504137488</v>
      </c>
      <c r="K121" s="437"/>
    </row>
    <row r="122" spans="1:11" x14ac:dyDescent="0.2">
      <c r="A122" s="348" t="s">
        <v>598</v>
      </c>
      <c r="B122" s="347"/>
      <c r="C122" s="1147" t="s">
        <v>10997</v>
      </c>
      <c r="D122" s="1150">
        <v>19</v>
      </c>
      <c r="E122" s="436"/>
      <c r="F122" s="178"/>
      <c r="G122" s="602"/>
      <c r="H122" s="441">
        <f>4796-4796</f>
        <v>0</v>
      </c>
      <c r="I122" s="1145">
        <v>1968</v>
      </c>
      <c r="J122" s="415">
        <f>7611400-7611400</f>
        <v>0</v>
      </c>
      <c r="K122" s="437"/>
    </row>
    <row r="123" spans="1:11" ht="12.75" customHeight="1" x14ac:dyDescent="0.2">
      <c r="A123" s="349" t="s">
        <v>599</v>
      </c>
      <c r="B123" s="347" t="s">
        <v>308</v>
      </c>
      <c r="C123" s="1148"/>
      <c r="D123" s="1151"/>
      <c r="E123" s="436">
        <v>14</v>
      </c>
      <c r="F123" s="178" t="s">
        <v>9964</v>
      </c>
      <c r="G123" s="602" t="s">
        <v>9965</v>
      </c>
      <c r="H123" s="441">
        <v>48.7</v>
      </c>
      <c r="I123" s="1153"/>
      <c r="J123" s="415">
        <v>77288.402835696426</v>
      </c>
      <c r="K123" s="437">
        <v>1356394.83</v>
      </c>
    </row>
    <row r="124" spans="1:11" ht="12.75" customHeight="1" x14ac:dyDescent="0.2">
      <c r="A124" s="347" t="s">
        <v>10650</v>
      </c>
      <c r="B124" s="347" t="s">
        <v>308</v>
      </c>
      <c r="C124" s="1149"/>
      <c r="D124" s="1152"/>
      <c r="E124" s="425">
        <v>15</v>
      </c>
      <c r="F124" s="178" t="s">
        <v>10651</v>
      </c>
      <c r="G124" s="602" t="s">
        <v>127</v>
      </c>
      <c r="H124" s="415">
        <v>30.1</v>
      </c>
      <c r="I124" s="1146"/>
      <c r="J124" s="415">
        <v>1051724.1000000001</v>
      </c>
      <c r="K124" s="437">
        <v>725351</v>
      </c>
    </row>
    <row r="125" spans="1:11" x14ac:dyDescent="0.2">
      <c r="A125" s="348" t="s">
        <v>600</v>
      </c>
      <c r="B125" s="347"/>
      <c r="C125" s="1147" t="s">
        <v>10998</v>
      </c>
      <c r="D125" s="1150">
        <v>48</v>
      </c>
      <c r="E125" s="436"/>
      <c r="F125" s="178"/>
      <c r="G125" s="602"/>
      <c r="H125" s="441">
        <f>5807-5807</f>
        <v>0</v>
      </c>
      <c r="I125" s="1145">
        <v>1973</v>
      </c>
      <c r="J125" s="415">
        <f>12560596-12560596</f>
        <v>0</v>
      </c>
      <c r="K125" s="437"/>
    </row>
    <row r="126" spans="1:11" ht="12.75" customHeight="1" x14ac:dyDescent="0.2">
      <c r="A126" s="349" t="s">
        <v>1427</v>
      </c>
      <c r="B126" s="347" t="s">
        <v>308</v>
      </c>
      <c r="C126" s="1148"/>
      <c r="D126" s="1151"/>
      <c r="E126" s="436">
        <v>74</v>
      </c>
      <c r="F126" s="178"/>
      <c r="G126" s="602"/>
      <c r="H126" s="441">
        <v>59.2</v>
      </c>
      <c r="I126" s="1153"/>
      <c r="J126" s="415">
        <v>128050.20148097124</v>
      </c>
      <c r="K126" s="437"/>
    </row>
    <row r="127" spans="1:11" x14ac:dyDescent="0.2">
      <c r="A127" s="349" t="s">
        <v>10730</v>
      </c>
      <c r="B127" s="347" t="s">
        <v>308</v>
      </c>
      <c r="C127" s="1149"/>
      <c r="D127" s="1152"/>
      <c r="E127" s="425" t="s">
        <v>5192</v>
      </c>
      <c r="F127" s="178" t="s">
        <v>10731</v>
      </c>
      <c r="G127" s="602" t="s">
        <v>507</v>
      </c>
      <c r="H127" s="415">
        <v>31.8</v>
      </c>
      <c r="I127" s="1146"/>
      <c r="J127" s="415">
        <v>1111123.8</v>
      </c>
      <c r="K127" s="437">
        <v>565723.59</v>
      </c>
    </row>
    <row r="128" spans="1:11" x14ac:dyDescent="0.2">
      <c r="A128" s="348" t="s">
        <v>601</v>
      </c>
      <c r="B128" s="347"/>
      <c r="C128" s="1157" t="s">
        <v>10999</v>
      </c>
      <c r="D128" s="1158">
        <v>56</v>
      </c>
      <c r="E128" s="436"/>
      <c r="F128" s="178"/>
      <c r="G128" s="602"/>
      <c r="H128" s="441">
        <f>1713-1713</f>
        <v>0</v>
      </c>
      <c r="I128" s="1159">
        <v>1961</v>
      </c>
      <c r="J128" s="415">
        <f>4161500-4161500</f>
        <v>0</v>
      </c>
      <c r="K128" s="437"/>
    </row>
    <row r="129" spans="1:11" ht="12.75" customHeight="1" x14ac:dyDescent="0.2">
      <c r="A129" s="349" t="s">
        <v>3364</v>
      </c>
      <c r="B129" s="347" t="s">
        <v>308</v>
      </c>
      <c r="C129" s="1157"/>
      <c r="D129" s="1158"/>
      <c r="E129" s="436">
        <v>16</v>
      </c>
      <c r="F129" s="447"/>
      <c r="G129" s="608"/>
      <c r="H129" s="441">
        <v>90.8</v>
      </c>
      <c r="I129" s="1159"/>
      <c r="J129" s="415">
        <f>4161500/1713*H129</f>
        <v>220586.22300058376</v>
      </c>
      <c r="K129" s="437"/>
    </row>
    <row r="130" spans="1:11" ht="16.5" customHeight="1" x14ac:dyDescent="0.2">
      <c r="A130" s="348" t="s">
        <v>602</v>
      </c>
      <c r="B130" s="347"/>
      <c r="C130" s="1147" t="s">
        <v>11000</v>
      </c>
      <c r="D130" s="1150">
        <v>64</v>
      </c>
      <c r="E130" s="436"/>
      <c r="F130" s="178" t="s">
        <v>5135</v>
      </c>
      <c r="G130" s="602" t="s">
        <v>134</v>
      </c>
      <c r="H130" s="441">
        <f>1675.4-1675.4</f>
        <v>0</v>
      </c>
      <c r="I130" s="1145">
        <v>1960</v>
      </c>
      <c r="J130" s="415">
        <f>3717100-3717100</f>
        <v>0</v>
      </c>
      <c r="K130" s="437">
        <v>21093771.870000001</v>
      </c>
    </row>
    <row r="131" spans="1:11" ht="12.75" customHeight="1" x14ac:dyDescent="0.2">
      <c r="A131" s="349" t="s">
        <v>2564</v>
      </c>
      <c r="B131" s="347" t="s">
        <v>308</v>
      </c>
      <c r="C131" s="1148"/>
      <c r="D131" s="1151"/>
      <c r="E131" s="436">
        <v>201</v>
      </c>
      <c r="F131" s="350"/>
      <c r="G131" s="609"/>
      <c r="H131" s="415">
        <v>29</v>
      </c>
      <c r="I131" s="1153"/>
      <c r="J131" s="415">
        <f t="shared" ref="J131:J159" si="1">3717100/1675.4*H131</f>
        <v>64340.396323266083</v>
      </c>
      <c r="K131" s="437"/>
    </row>
    <row r="132" spans="1:11" ht="13.5" customHeight="1" x14ac:dyDescent="0.2">
      <c r="A132" s="349" t="s">
        <v>2682</v>
      </c>
      <c r="B132" s="347" t="s">
        <v>308</v>
      </c>
      <c r="C132" s="1148"/>
      <c r="D132" s="1151"/>
      <c r="E132" s="436">
        <v>202</v>
      </c>
      <c r="F132" s="178"/>
      <c r="G132" s="609"/>
      <c r="H132" s="415">
        <v>21.3</v>
      </c>
      <c r="I132" s="1153"/>
      <c r="J132" s="415">
        <f t="shared" si="1"/>
        <v>47256.911782260948</v>
      </c>
      <c r="K132" s="437"/>
    </row>
    <row r="133" spans="1:11" ht="12.75" customHeight="1" x14ac:dyDescent="0.2">
      <c r="A133" s="349" t="s">
        <v>3159</v>
      </c>
      <c r="B133" s="347" t="s">
        <v>308</v>
      </c>
      <c r="C133" s="1148"/>
      <c r="D133" s="1151"/>
      <c r="E133" s="436">
        <v>204</v>
      </c>
      <c r="F133" s="350"/>
      <c r="G133" s="609"/>
      <c r="H133" s="415">
        <v>26.3</v>
      </c>
      <c r="I133" s="1153"/>
      <c r="J133" s="415">
        <f t="shared" si="1"/>
        <v>58350.083562134416</v>
      </c>
      <c r="K133" s="437"/>
    </row>
    <row r="134" spans="1:11" x14ac:dyDescent="0.2">
      <c r="A134" s="349" t="s">
        <v>3160</v>
      </c>
      <c r="B134" s="347" t="s">
        <v>308</v>
      </c>
      <c r="C134" s="1148"/>
      <c r="D134" s="1151"/>
      <c r="E134" s="425" t="s">
        <v>9966</v>
      </c>
      <c r="F134" s="178"/>
      <c r="G134" s="602"/>
      <c r="H134" s="415">
        <v>26.8</v>
      </c>
      <c r="I134" s="1153"/>
      <c r="J134" s="415">
        <f t="shared" si="1"/>
        <v>59459.40074012176</v>
      </c>
      <c r="K134" s="437"/>
    </row>
    <row r="135" spans="1:11" x14ac:dyDescent="0.2">
      <c r="A135" s="349" t="s">
        <v>3343</v>
      </c>
      <c r="B135" s="347" t="s">
        <v>308</v>
      </c>
      <c r="C135" s="1148"/>
      <c r="D135" s="1151"/>
      <c r="E135" s="436">
        <v>206</v>
      </c>
      <c r="F135" s="178"/>
      <c r="G135" s="602"/>
      <c r="H135" s="415">
        <v>23.5</v>
      </c>
      <c r="I135" s="1153"/>
      <c r="J135" s="415">
        <f t="shared" si="1"/>
        <v>52137.90736540527</v>
      </c>
      <c r="K135" s="437"/>
    </row>
    <row r="136" spans="1:11" x14ac:dyDescent="0.2">
      <c r="A136" s="349" t="s">
        <v>3345</v>
      </c>
      <c r="B136" s="347" t="s">
        <v>308</v>
      </c>
      <c r="C136" s="1148"/>
      <c r="D136" s="1151"/>
      <c r="E136" s="436">
        <v>208</v>
      </c>
      <c r="F136" s="178"/>
      <c r="G136" s="602"/>
      <c r="H136" s="415">
        <v>26.8</v>
      </c>
      <c r="I136" s="1153"/>
      <c r="J136" s="415">
        <f t="shared" si="1"/>
        <v>59459.40074012176</v>
      </c>
      <c r="K136" s="437"/>
    </row>
    <row r="137" spans="1:11" x14ac:dyDescent="0.2">
      <c r="A137" s="349" t="s">
        <v>3346</v>
      </c>
      <c r="B137" s="347" t="s">
        <v>308</v>
      </c>
      <c r="C137" s="1148"/>
      <c r="D137" s="1151"/>
      <c r="E137" s="436">
        <v>210</v>
      </c>
      <c r="F137" s="350"/>
      <c r="G137" s="609"/>
      <c r="H137" s="415">
        <v>25.7</v>
      </c>
      <c r="I137" s="1153"/>
      <c r="J137" s="415">
        <f t="shared" si="1"/>
        <v>57018.902948549592</v>
      </c>
      <c r="K137" s="437"/>
    </row>
    <row r="138" spans="1:11" x14ac:dyDescent="0.2">
      <c r="A138" s="349" t="s">
        <v>3347</v>
      </c>
      <c r="B138" s="347" t="s">
        <v>308</v>
      </c>
      <c r="C138" s="1148"/>
      <c r="D138" s="1151"/>
      <c r="E138" s="436">
        <v>212</v>
      </c>
      <c r="F138" s="350"/>
      <c r="G138" s="609"/>
      <c r="H138" s="415">
        <v>25.5</v>
      </c>
      <c r="I138" s="1153"/>
      <c r="J138" s="415">
        <f t="shared" si="1"/>
        <v>56575.176077354656</v>
      </c>
      <c r="K138" s="437"/>
    </row>
    <row r="139" spans="1:11" x14ac:dyDescent="0.2">
      <c r="A139" s="349" t="s">
        <v>3348</v>
      </c>
      <c r="B139" s="347" t="s">
        <v>308</v>
      </c>
      <c r="C139" s="1148"/>
      <c r="D139" s="1151"/>
      <c r="E139" s="436">
        <v>214</v>
      </c>
      <c r="F139" s="350"/>
      <c r="G139" s="609"/>
      <c r="H139" s="415">
        <v>25</v>
      </c>
      <c r="I139" s="1153"/>
      <c r="J139" s="415">
        <f t="shared" si="1"/>
        <v>55465.858899367311</v>
      </c>
      <c r="K139" s="437"/>
    </row>
    <row r="140" spans="1:11" x14ac:dyDescent="0.2">
      <c r="A140" s="349" t="s">
        <v>3349</v>
      </c>
      <c r="B140" s="347" t="s">
        <v>308</v>
      </c>
      <c r="C140" s="1148"/>
      <c r="D140" s="1151"/>
      <c r="E140" s="436">
        <v>217</v>
      </c>
      <c r="F140" s="350"/>
      <c r="G140" s="609"/>
      <c r="H140" s="415">
        <v>25.7</v>
      </c>
      <c r="I140" s="1153"/>
      <c r="J140" s="415">
        <f t="shared" si="1"/>
        <v>57018.902948549592</v>
      </c>
      <c r="K140" s="437"/>
    </row>
    <row r="141" spans="1:11" x14ac:dyDescent="0.2">
      <c r="A141" s="349" t="s">
        <v>3350</v>
      </c>
      <c r="B141" s="347" t="s">
        <v>308</v>
      </c>
      <c r="C141" s="1148"/>
      <c r="D141" s="1151"/>
      <c r="E141" s="436">
        <v>301</v>
      </c>
      <c r="F141" s="350"/>
      <c r="G141" s="609"/>
      <c r="H141" s="415">
        <v>19.8</v>
      </c>
      <c r="I141" s="1153"/>
      <c r="J141" s="415">
        <f t="shared" si="1"/>
        <v>43928.960248298914</v>
      </c>
      <c r="K141" s="437"/>
    </row>
    <row r="142" spans="1:11" x14ac:dyDescent="0.2">
      <c r="A142" s="349" t="s">
        <v>3351</v>
      </c>
      <c r="B142" s="347" t="s">
        <v>308</v>
      </c>
      <c r="C142" s="1148"/>
      <c r="D142" s="1151"/>
      <c r="E142" s="425" t="s">
        <v>3344</v>
      </c>
      <c r="F142" s="78"/>
      <c r="G142" s="602"/>
      <c r="H142" s="415">
        <v>8</v>
      </c>
      <c r="I142" s="1153"/>
      <c r="J142" s="415">
        <f t="shared" si="1"/>
        <v>17749.074847797539</v>
      </c>
      <c r="K142" s="437"/>
    </row>
    <row r="143" spans="1:11" x14ac:dyDescent="0.2">
      <c r="A143" s="349" t="s">
        <v>3352</v>
      </c>
      <c r="B143" s="347" t="s">
        <v>308</v>
      </c>
      <c r="C143" s="1148"/>
      <c r="D143" s="1151"/>
      <c r="E143" s="436">
        <v>303</v>
      </c>
      <c r="F143" s="350"/>
      <c r="G143" s="609"/>
      <c r="H143" s="415">
        <v>22.4</v>
      </c>
      <c r="I143" s="1153"/>
      <c r="J143" s="415">
        <f t="shared" si="1"/>
        <v>49697.409573833109</v>
      </c>
      <c r="K143" s="437"/>
    </row>
    <row r="144" spans="1:11" x14ac:dyDescent="0.2">
      <c r="A144" s="349" t="s">
        <v>3353</v>
      </c>
      <c r="B144" s="347" t="s">
        <v>308</v>
      </c>
      <c r="C144" s="1148"/>
      <c r="D144" s="1151"/>
      <c r="E144" s="436">
        <v>304</v>
      </c>
      <c r="F144" s="350"/>
      <c r="G144" s="609"/>
      <c r="H144" s="415">
        <v>26.5</v>
      </c>
      <c r="I144" s="1153"/>
      <c r="J144" s="415">
        <f t="shared" si="1"/>
        <v>58793.810433329352</v>
      </c>
      <c r="K144" s="437"/>
    </row>
    <row r="145" spans="1:11" x14ac:dyDescent="0.2">
      <c r="A145" s="349" t="s">
        <v>3354</v>
      </c>
      <c r="B145" s="347" t="s">
        <v>308</v>
      </c>
      <c r="C145" s="1148"/>
      <c r="D145" s="1151"/>
      <c r="E145" s="436">
        <v>305</v>
      </c>
      <c r="F145" s="350"/>
      <c r="G145" s="609"/>
      <c r="H145" s="415">
        <v>27.5</v>
      </c>
      <c r="I145" s="1153"/>
      <c r="J145" s="415">
        <f t="shared" si="1"/>
        <v>61012.444789304041</v>
      </c>
      <c r="K145" s="437"/>
    </row>
    <row r="146" spans="1:11" x14ac:dyDescent="0.2">
      <c r="A146" s="349" t="s">
        <v>3355</v>
      </c>
      <c r="B146" s="347" t="s">
        <v>308</v>
      </c>
      <c r="C146" s="1148"/>
      <c r="D146" s="1151"/>
      <c r="E146" s="436">
        <v>306</v>
      </c>
      <c r="F146" s="78"/>
      <c r="G146" s="602"/>
      <c r="H146" s="415">
        <v>24.6</v>
      </c>
      <c r="I146" s="1153"/>
      <c r="J146" s="415">
        <f t="shared" si="1"/>
        <v>54578.405156977438</v>
      </c>
      <c r="K146" s="437"/>
    </row>
    <row r="147" spans="1:11" x14ac:dyDescent="0.2">
      <c r="A147" s="349" t="s">
        <v>3356</v>
      </c>
      <c r="B147" s="347" t="s">
        <v>308</v>
      </c>
      <c r="C147" s="1148"/>
      <c r="D147" s="1151"/>
      <c r="E147" s="436">
        <v>310</v>
      </c>
      <c r="F147" s="350"/>
      <c r="G147" s="609"/>
      <c r="H147" s="415">
        <v>27.1</v>
      </c>
      <c r="I147" s="1153"/>
      <c r="J147" s="415">
        <f t="shared" si="1"/>
        <v>60124.991046914169</v>
      </c>
      <c r="K147" s="437"/>
    </row>
    <row r="148" spans="1:11" x14ac:dyDescent="0.2">
      <c r="A148" s="349" t="s">
        <v>3357</v>
      </c>
      <c r="B148" s="347" t="s">
        <v>308</v>
      </c>
      <c r="C148" s="1148"/>
      <c r="D148" s="1151"/>
      <c r="E148" s="436">
        <v>311</v>
      </c>
      <c r="F148" s="116"/>
      <c r="G148" s="602"/>
      <c r="H148" s="415">
        <v>21.5</v>
      </c>
      <c r="I148" s="1153"/>
      <c r="J148" s="415">
        <f t="shared" si="1"/>
        <v>47700.638653455884</v>
      </c>
      <c r="K148" s="437"/>
    </row>
    <row r="149" spans="1:11" x14ac:dyDescent="0.2">
      <c r="A149" s="349" t="s">
        <v>3358</v>
      </c>
      <c r="B149" s="347" t="s">
        <v>308</v>
      </c>
      <c r="C149" s="1148"/>
      <c r="D149" s="1151"/>
      <c r="E149" s="436">
        <v>312</v>
      </c>
      <c r="F149" s="350"/>
      <c r="G149" s="609"/>
      <c r="H149" s="415">
        <v>24.7</v>
      </c>
      <c r="I149" s="1153"/>
      <c r="J149" s="415">
        <f t="shared" si="1"/>
        <v>54800.268592574903</v>
      </c>
      <c r="K149" s="437"/>
    </row>
    <row r="150" spans="1:11" x14ac:dyDescent="0.2">
      <c r="A150" s="349" t="s">
        <v>3359</v>
      </c>
      <c r="B150" s="347" t="s">
        <v>308</v>
      </c>
      <c r="C150" s="1148"/>
      <c r="D150" s="1151"/>
      <c r="E150" s="436">
        <v>313</v>
      </c>
      <c r="F150" s="350"/>
      <c r="G150" s="609"/>
      <c r="H150" s="415">
        <v>26.7</v>
      </c>
      <c r="I150" s="1153"/>
      <c r="J150" s="415">
        <f t="shared" si="1"/>
        <v>59237.537304524289</v>
      </c>
      <c r="K150" s="437"/>
    </row>
    <row r="151" spans="1:11" x14ac:dyDescent="0.2">
      <c r="A151" s="349" t="s">
        <v>3360</v>
      </c>
      <c r="B151" s="347" t="s">
        <v>308</v>
      </c>
      <c r="C151" s="1148"/>
      <c r="D151" s="1151"/>
      <c r="E151" s="436">
        <v>314</v>
      </c>
      <c r="F151" s="350"/>
      <c r="G151" s="609"/>
      <c r="H151" s="415">
        <v>22.1</v>
      </c>
      <c r="I151" s="1153"/>
      <c r="J151" s="415">
        <f t="shared" si="1"/>
        <v>49031.819267040708</v>
      </c>
      <c r="K151" s="437"/>
    </row>
    <row r="152" spans="1:11" x14ac:dyDescent="0.2">
      <c r="A152" s="349" t="s">
        <v>3361</v>
      </c>
      <c r="B152" s="347" t="s">
        <v>308</v>
      </c>
      <c r="C152" s="1148"/>
      <c r="D152" s="1151"/>
      <c r="E152" s="436">
        <v>317</v>
      </c>
      <c r="F152" s="350"/>
      <c r="G152" s="609"/>
      <c r="H152" s="415">
        <v>25.4</v>
      </c>
      <c r="I152" s="1153"/>
      <c r="J152" s="415">
        <f t="shared" si="1"/>
        <v>56353.312641757184</v>
      </c>
      <c r="K152" s="437"/>
    </row>
    <row r="153" spans="1:11" x14ac:dyDescent="0.2">
      <c r="A153" s="349" t="s">
        <v>3362</v>
      </c>
      <c r="B153" s="347" t="s">
        <v>308</v>
      </c>
      <c r="C153" s="1148"/>
      <c r="D153" s="1151"/>
      <c r="E153" s="436">
        <v>319</v>
      </c>
      <c r="F153" s="350"/>
      <c r="G153" s="609"/>
      <c r="H153" s="415">
        <v>25.7</v>
      </c>
      <c r="I153" s="1153"/>
      <c r="J153" s="415">
        <f t="shared" si="1"/>
        <v>57018.902948549592</v>
      </c>
      <c r="K153" s="437"/>
    </row>
    <row r="154" spans="1:11" x14ac:dyDescent="0.2">
      <c r="A154" s="349" t="s">
        <v>3363</v>
      </c>
      <c r="B154" s="347" t="s">
        <v>308</v>
      </c>
      <c r="C154" s="1148"/>
      <c r="D154" s="1151"/>
      <c r="E154" s="436">
        <v>320</v>
      </c>
      <c r="F154" s="350"/>
      <c r="G154" s="609"/>
      <c r="H154" s="415">
        <v>26.9</v>
      </c>
      <c r="I154" s="1153"/>
      <c r="J154" s="415">
        <f t="shared" si="1"/>
        <v>59681.264175719225</v>
      </c>
      <c r="K154" s="437"/>
    </row>
    <row r="155" spans="1:11" x14ac:dyDescent="0.2">
      <c r="A155" s="349" t="s">
        <v>5924</v>
      </c>
      <c r="B155" s="347" t="s">
        <v>308</v>
      </c>
      <c r="C155" s="1148"/>
      <c r="D155" s="1151"/>
      <c r="E155" s="436">
        <v>219</v>
      </c>
      <c r="F155" s="350"/>
      <c r="G155" s="609"/>
      <c r="H155" s="441"/>
      <c r="I155" s="1153"/>
      <c r="J155" s="415">
        <f t="shared" si="1"/>
        <v>0</v>
      </c>
      <c r="K155" s="437"/>
    </row>
    <row r="156" spans="1:11" x14ac:dyDescent="0.2">
      <c r="A156" s="349" t="s">
        <v>6359</v>
      </c>
      <c r="B156" s="347" t="s">
        <v>295</v>
      </c>
      <c r="C156" s="1148"/>
      <c r="D156" s="1151"/>
      <c r="E156" s="436">
        <v>218</v>
      </c>
      <c r="F156" s="350"/>
      <c r="G156" s="609"/>
      <c r="H156" s="415">
        <v>26.2</v>
      </c>
      <c r="I156" s="1153"/>
      <c r="J156" s="415">
        <f t="shared" si="1"/>
        <v>58128.220126536937</v>
      </c>
      <c r="K156" s="437"/>
    </row>
    <row r="157" spans="1:11" x14ac:dyDescent="0.2">
      <c r="A157" s="349" t="s">
        <v>7091</v>
      </c>
      <c r="B157" s="347" t="s">
        <v>295</v>
      </c>
      <c r="C157" s="1148"/>
      <c r="D157" s="1151"/>
      <c r="E157" s="436">
        <v>220</v>
      </c>
      <c r="F157" s="431"/>
      <c r="G157" s="610"/>
      <c r="H157" s="415">
        <v>18.399999999999999</v>
      </c>
      <c r="I157" s="1153"/>
      <c r="J157" s="415">
        <f t="shared" si="1"/>
        <v>40822.872149934337</v>
      </c>
      <c r="K157" s="437"/>
    </row>
    <row r="158" spans="1:11" x14ac:dyDescent="0.2">
      <c r="A158" s="349" t="s">
        <v>8171</v>
      </c>
      <c r="B158" s="347" t="s">
        <v>295</v>
      </c>
      <c r="C158" s="1148"/>
      <c r="D158" s="1151"/>
      <c r="E158" s="425">
        <v>207</v>
      </c>
      <c r="F158" s="350"/>
      <c r="G158" s="609"/>
      <c r="H158" s="415">
        <v>26.7</v>
      </c>
      <c r="I158" s="1153"/>
      <c r="J158" s="415">
        <f t="shared" si="1"/>
        <v>59237.537304524289</v>
      </c>
      <c r="K158" s="437"/>
    </row>
    <row r="159" spans="1:11" x14ac:dyDescent="0.2">
      <c r="A159" s="349" t="s">
        <v>9394</v>
      </c>
      <c r="B159" s="347" t="s">
        <v>295</v>
      </c>
      <c r="C159" s="1149"/>
      <c r="D159" s="1152"/>
      <c r="E159" s="425">
        <v>322</v>
      </c>
      <c r="F159" s="431"/>
      <c r="G159" s="610"/>
      <c r="H159" s="415">
        <v>18.8</v>
      </c>
      <c r="I159" s="1146"/>
      <c r="J159" s="415">
        <f t="shared" si="1"/>
        <v>41710.325892324217</v>
      </c>
      <c r="K159" s="437"/>
    </row>
    <row r="160" spans="1:11" x14ac:dyDescent="0.2">
      <c r="A160" s="348" t="s">
        <v>603</v>
      </c>
      <c r="B160" s="347"/>
      <c r="C160" s="1157" t="s">
        <v>11001</v>
      </c>
      <c r="D160" s="1158">
        <v>68</v>
      </c>
      <c r="E160" s="436"/>
      <c r="F160" s="178"/>
      <c r="G160" s="602"/>
      <c r="H160" s="441">
        <f>1247-1247</f>
        <v>0</v>
      </c>
      <c r="I160" s="1159">
        <v>1961</v>
      </c>
      <c r="J160" s="415">
        <f>3021044-3021044</f>
        <v>0</v>
      </c>
      <c r="K160" s="437"/>
    </row>
    <row r="161" spans="1:11" ht="12.75" customHeight="1" x14ac:dyDescent="0.2">
      <c r="A161" s="404" t="s">
        <v>604</v>
      </c>
      <c r="B161" s="347" t="s">
        <v>308</v>
      </c>
      <c r="C161" s="1157"/>
      <c r="D161" s="1158"/>
      <c r="E161" s="436">
        <v>19</v>
      </c>
      <c r="F161" s="178"/>
      <c r="G161" s="602"/>
      <c r="H161" s="441">
        <v>40.6</v>
      </c>
      <c r="I161" s="1159"/>
      <c r="J161" s="415">
        <v>98358.139534883725</v>
      </c>
      <c r="K161" s="437"/>
    </row>
    <row r="162" spans="1:11" ht="12.75" customHeight="1" x14ac:dyDescent="0.2">
      <c r="A162" s="348" t="s">
        <v>605</v>
      </c>
      <c r="B162" s="347"/>
      <c r="C162" s="1157" t="s">
        <v>11002</v>
      </c>
      <c r="D162" s="1158">
        <v>72</v>
      </c>
      <c r="E162" s="436"/>
      <c r="F162" s="178"/>
      <c r="G162" s="602"/>
      <c r="H162" s="441">
        <f>1352-1352</f>
        <v>0</v>
      </c>
      <c r="I162" s="1159">
        <v>1962</v>
      </c>
      <c r="J162" s="415">
        <f>2502804-2502804</f>
        <v>0</v>
      </c>
      <c r="K162" s="437"/>
    </row>
    <row r="163" spans="1:11" ht="12.75" customHeight="1" x14ac:dyDescent="0.2">
      <c r="A163" s="349" t="s">
        <v>606</v>
      </c>
      <c r="B163" s="347" t="s">
        <v>308</v>
      </c>
      <c r="C163" s="1157"/>
      <c r="D163" s="1158"/>
      <c r="E163" s="436">
        <v>12</v>
      </c>
      <c r="F163" s="178"/>
      <c r="G163" s="602"/>
      <c r="H163" s="441">
        <v>40.5</v>
      </c>
      <c r="I163" s="1159"/>
      <c r="J163" s="415">
        <v>74972.928994082831</v>
      </c>
      <c r="K163" s="437"/>
    </row>
    <row r="164" spans="1:11" x14ac:dyDescent="0.2">
      <c r="A164" s="348" t="s">
        <v>607</v>
      </c>
      <c r="B164" s="347"/>
      <c r="C164" s="1147" t="s">
        <v>11003</v>
      </c>
      <c r="D164" s="1150">
        <v>76</v>
      </c>
      <c r="E164" s="436"/>
      <c r="F164" s="178"/>
      <c r="G164" s="602"/>
      <c r="H164" s="441">
        <f>1998-1998</f>
        <v>0</v>
      </c>
      <c r="I164" s="1145">
        <v>1995</v>
      </c>
      <c r="J164" s="415">
        <f>3583582-3583582</f>
        <v>0</v>
      </c>
      <c r="K164" s="437"/>
    </row>
    <row r="165" spans="1:11" x14ac:dyDescent="0.2">
      <c r="A165" s="349" t="s">
        <v>608</v>
      </c>
      <c r="B165" s="347" t="s">
        <v>295</v>
      </c>
      <c r="C165" s="1148"/>
      <c r="D165" s="1151"/>
      <c r="E165" s="436">
        <v>46</v>
      </c>
      <c r="F165" s="178" t="s">
        <v>3917</v>
      </c>
      <c r="G165" s="602" t="s">
        <v>507</v>
      </c>
      <c r="H165" s="441">
        <v>31.4</v>
      </c>
      <c r="I165" s="1153"/>
      <c r="J165" s="415">
        <v>334152</v>
      </c>
      <c r="K165" s="437">
        <v>599866.48</v>
      </c>
    </row>
    <row r="166" spans="1:11" ht="12.75" customHeight="1" x14ac:dyDescent="0.2">
      <c r="A166" s="349" t="s">
        <v>10258</v>
      </c>
      <c r="B166" s="347" t="s">
        <v>295</v>
      </c>
      <c r="C166" s="1148"/>
      <c r="D166" s="1151"/>
      <c r="E166" s="436">
        <v>8</v>
      </c>
      <c r="F166" s="38" t="s">
        <v>10259</v>
      </c>
      <c r="G166" s="602" t="s">
        <v>512</v>
      </c>
      <c r="H166" s="415">
        <v>31</v>
      </c>
      <c r="I166" s="1153"/>
      <c r="J166" s="415">
        <v>1024767</v>
      </c>
      <c r="K166" s="437">
        <v>592764.64</v>
      </c>
    </row>
    <row r="167" spans="1:11" x14ac:dyDescent="0.2">
      <c r="A167" s="348" t="s">
        <v>609</v>
      </c>
      <c r="B167" s="347"/>
      <c r="C167" s="1147" t="s">
        <v>11004</v>
      </c>
      <c r="D167" s="1150">
        <v>78</v>
      </c>
      <c r="E167" s="436"/>
      <c r="F167" s="178"/>
      <c r="G167" s="602"/>
      <c r="H167" s="441">
        <f>2530-2530</f>
        <v>0</v>
      </c>
      <c r="I167" s="1145">
        <v>1963</v>
      </c>
      <c r="J167" s="415">
        <f>4446204-4446204</f>
        <v>0</v>
      </c>
      <c r="K167" s="437"/>
    </row>
    <row r="168" spans="1:11" ht="12.75" customHeight="1" x14ac:dyDescent="0.2">
      <c r="A168" s="349" t="s">
        <v>10113</v>
      </c>
      <c r="B168" s="178" t="s">
        <v>5162</v>
      </c>
      <c r="C168" s="1149"/>
      <c r="D168" s="1152"/>
      <c r="E168" s="436">
        <v>23</v>
      </c>
      <c r="F168" s="178" t="s">
        <v>10114</v>
      </c>
      <c r="G168" s="602" t="s">
        <v>137</v>
      </c>
      <c r="H168" s="415">
        <f>30.3-30.3</f>
        <v>0</v>
      </c>
      <c r="I168" s="1146"/>
      <c r="J168" s="415">
        <f>991710-991710</f>
        <v>0</v>
      </c>
      <c r="K168" s="437">
        <f>578852.05-578852.05</f>
        <v>0</v>
      </c>
    </row>
    <row r="169" spans="1:11" ht="12.75" customHeight="1" x14ac:dyDescent="0.2">
      <c r="A169" s="348" t="s">
        <v>610</v>
      </c>
      <c r="B169" s="347"/>
      <c r="C169" s="1147" t="s">
        <v>11005</v>
      </c>
      <c r="D169" s="1150">
        <v>82</v>
      </c>
      <c r="E169" s="436"/>
      <c r="F169" s="178"/>
      <c r="G169" s="602"/>
      <c r="H169" s="441">
        <f>2651-2651</f>
        <v>0</v>
      </c>
      <c r="I169" s="1145">
        <v>1965</v>
      </c>
      <c r="J169" s="415">
        <f>4371256-4371256</f>
        <v>0</v>
      </c>
      <c r="K169" s="437"/>
    </row>
    <row r="170" spans="1:11" x14ac:dyDescent="0.2">
      <c r="A170" s="349" t="s">
        <v>611</v>
      </c>
      <c r="B170" s="347" t="s">
        <v>308</v>
      </c>
      <c r="C170" s="1148"/>
      <c r="D170" s="1151"/>
      <c r="E170" s="436">
        <v>15</v>
      </c>
      <c r="F170" s="178" t="s">
        <v>2895</v>
      </c>
      <c r="G170" s="602"/>
      <c r="H170" s="441">
        <v>29.6</v>
      </c>
      <c r="I170" s="1153"/>
      <c r="J170" s="415">
        <v>48808.178046020374</v>
      </c>
      <c r="K170" s="437">
        <v>565479.23</v>
      </c>
    </row>
    <row r="171" spans="1:11" ht="12.75" customHeight="1" x14ac:dyDescent="0.2">
      <c r="A171" s="349" t="s">
        <v>612</v>
      </c>
      <c r="B171" s="347" t="s">
        <v>308</v>
      </c>
      <c r="C171" s="1148"/>
      <c r="D171" s="1151"/>
      <c r="E171" s="436">
        <v>30</v>
      </c>
      <c r="F171" s="178" t="s">
        <v>2896</v>
      </c>
      <c r="G171" s="602"/>
      <c r="H171" s="441">
        <v>41.4</v>
      </c>
      <c r="I171" s="1153"/>
      <c r="J171" s="415">
        <v>68265.492267069028</v>
      </c>
      <c r="K171" s="437">
        <v>766700.19</v>
      </c>
    </row>
    <row r="172" spans="1:11" ht="24.75" customHeight="1" x14ac:dyDescent="0.2">
      <c r="A172" s="348" t="s">
        <v>629</v>
      </c>
      <c r="B172" s="347" t="s">
        <v>9967</v>
      </c>
      <c r="C172" s="405" t="s">
        <v>11007</v>
      </c>
      <c r="D172" s="537">
        <v>7</v>
      </c>
      <c r="E172" s="436"/>
      <c r="F172" s="178" t="s">
        <v>182</v>
      </c>
      <c r="G172" s="602" t="s">
        <v>2900</v>
      </c>
      <c r="H172" s="441">
        <v>69.099999999999994</v>
      </c>
      <c r="I172" s="536">
        <v>1984</v>
      </c>
      <c r="J172" s="415">
        <f>101516</f>
        <v>101516</v>
      </c>
      <c r="K172" s="437">
        <v>765936.88</v>
      </c>
    </row>
    <row r="173" spans="1:11" ht="27" customHeight="1" x14ac:dyDescent="0.2">
      <c r="A173" s="348" t="s">
        <v>630</v>
      </c>
      <c r="B173" s="347" t="s">
        <v>307</v>
      </c>
      <c r="C173" s="405" t="s">
        <v>11008</v>
      </c>
      <c r="D173" s="537">
        <v>9</v>
      </c>
      <c r="E173" s="436"/>
      <c r="F173" s="178" t="s">
        <v>183</v>
      </c>
      <c r="G173" s="602"/>
      <c r="H173" s="441">
        <v>104.8</v>
      </c>
      <c r="I173" s="536">
        <v>1986</v>
      </c>
      <c r="J173" s="415">
        <v>94300</v>
      </c>
      <c r="K173" s="437">
        <v>834953.13</v>
      </c>
    </row>
    <row r="174" spans="1:11" ht="25.5" x14ac:dyDescent="0.2">
      <c r="A174" s="348" t="s">
        <v>631</v>
      </c>
      <c r="B174" s="347" t="s">
        <v>9967</v>
      </c>
      <c r="C174" s="405" t="s">
        <v>11009</v>
      </c>
      <c r="D174" s="537">
        <v>15</v>
      </c>
      <c r="E174" s="436"/>
      <c r="F174" s="178" t="s">
        <v>184</v>
      </c>
      <c r="G174" s="602"/>
      <c r="H174" s="441">
        <v>54.6</v>
      </c>
      <c r="I174" s="536">
        <v>1984</v>
      </c>
      <c r="J174" s="415">
        <v>87248</v>
      </c>
      <c r="K174" s="437">
        <v>435004.21</v>
      </c>
    </row>
    <row r="175" spans="1:11" x14ac:dyDescent="0.2">
      <c r="A175" s="348" t="s">
        <v>613</v>
      </c>
      <c r="B175" s="347"/>
      <c r="C175" s="1147" t="s">
        <v>11010</v>
      </c>
      <c r="D175" s="1150">
        <v>31</v>
      </c>
      <c r="E175" s="436"/>
      <c r="F175" s="178"/>
      <c r="G175" s="602"/>
      <c r="H175" s="441">
        <f>3590-3590</f>
        <v>0</v>
      </c>
      <c r="I175" s="1145">
        <v>1967</v>
      </c>
      <c r="J175" s="415">
        <f>5702900+738420 -5702900-738420</f>
        <v>0</v>
      </c>
      <c r="K175" s="437"/>
    </row>
    <row r="176" spans="1:11" ht="26.25" customHeight="1" x14ac:dyDescent="0.2">
      <c r="A176" s="349" t="s">
        <v>1781</v>
      </c>
      <c r="B176" s="347" t="s">
        <v>295</v>
      </c>
      <c r="C176" s="1148"/>
      <c r="D176" s="1151"/>
      <c r="E176" s="436">
        <v>28</v>
      </c>
      <c r="F176" s="178" t="s">
        <v>24</v>
      </c>
      <c r="G176" s="602"/>
      <c r="H176" s="441">
        <v>41.7</v>
      </c>
      <c r="I176" s="1153"/>
      <c r="J176" s="415">
        <v>662331.90250696382</v>
      </c>
      <c r="K176" s="437">
        <v>802114.53</v>
      </c>
    </row>
    <row r="177" spans="1:11" ht="12.75" customHeight="1" x14ac:dyDescent="0.2">
      <c r="A177" s="349" t="s">
        <v>9160</v>
      </c>
      <c r="B177" s="347" t="s">
        <v>5162</v>
      </c>
      <c r="C177" s="1148"/>
      <c r="D177" s="1151"/>
      <c r="E177" s="436">
        <v>38</v>
      </c>
      <c r="F177" s="178" t="s">
        <v>9968</v>
      </c>
      <c r="G177" s="602" t="s">
        <v>137</v>
      </c>
      <c r="H177" s="415">
        <v>42.6</v>
      </c>
      <c r="I177" s="1153"/>
      <c r="J177" s="415">
        <v>1063227</v>
      </c>
      <c r="K177" s="437">
        <v>788923.39</v>
      </c>
    </row>
    <row r="178" spans="1:11" ht="12.75" customHeight="1" x14ac:dyDescent="0.2">
      <c r="A178" s="348" t="s">
        <v>614</v>
      </c>
      <c r="B178" s="347"/>
      <c r="C178" s="1157" t="s">
        <v>11011</v>
      </c>
      <c r="D178" s="1158">
        <v>33</v>
      </c>
      <c r="E178" s="436"/>
      <c r="F178" s="178"/>
      <c r="G178" s="602"/>
      <c r="H178" s="441">
        <f>3765-3765</f>
        <v>0</v>
      </c>
      <c r="I178" s="1159">
        <v>1967</v>
      </c>
      <c r="J178" s="415">
        <f>5927900-5927900</f>
        <v>0</v>
      </c>
      <c r="K178" s="437"/>
    </row>
    <row r="179" spans="1:11" x14ac:dyDescent="0.2">
      <c r="A179" s="349" t="s">
        <v>1782</v>
      </c>
      <c r="B179" s="347" t="s">
        <v>308</v>
      </c>
      <c r="C179" s="1157"/>
      <c r="D179" s="1158"/>
      <c r="E179" s="436">
        <v>5</v>
      </c>
      <c r="F179" s="178" t="s">
        <v>273</v>
      </c>
      <c r="G179" s="602"/>
      <c r="H179" s="441">
        <v>51.5</v>
      </c>
      <c r="I179" s="1159"/>
      <c r="J179" s="415">
        <v>81085.48472775564</v>
      </c>
      <c r="K179" s="437">
        <v>986548.03</v>
      </c>
    </row>
    <row r="180" spans="1:11" ht="12.75" customHeight="1" x14ac:dyDescent="0.2">
      <c r="A180" s="348" t="s">
        <v>615</v>
      </c>
      <c r="B180" s="347"/>
      <c r="C180" s="1147" t="s">
        <v>11012</v>
      </c>
      <c r="D180" s="1150">
        <v>35</v>
      </c>
      <c r="E180" s="436"/>
      <c r="F180" s="178"/>
      <c r="G180" s="602"/>
      <c r="H180" s="441">
        <f>4375-4375</f>
        <v>0</v>
      </c>
      <c r="I180" s="1145">
        <v>1971</v>
      </c>
      <c r="J180" s="415">
        <f>7985800-7985800</f>
        <v>0</v>
      </c>
      <c r="K180" s="437"/>
    </row>
    <row r="181" spans="1:11" x14ac:dyDescent="0.2">
      <c r="A181" s="349" t="s">
        <v>616</v>
      </c>
      <c r="B181" s="347" t="s">
        <v>295</v>
      </c>
      <c r="C181" s="1148"/>
      <c r="D181" s="1151"/>
      <c r="E181" s="436">
        <v>3</v>
      </c>
      <c r="F181" s="178"/>
      <c r="G181" s="602"/>
      <c r="H181" s="441">
        <v>54.6</v>
      </c>
      <c r="I181" s="1153"/>
      <c r="J181" s="415">
        <v>99662.784</v>
      </c>
      <c r="K181" s="437"/>
    </row>
    <row r="182" spans="1:11" ht="12.75" customHeight="1" x14ac:dyDescent="0.2">
      <c r="A182" s="349" t="s">
        <v>617</v>
      </c>
      <c r="B182" s="347" t="s">
        <v>295</v>
      </c>
      <c r="C182" s="1148"/>
      <c r="D182" s="1151"/>
      <c r="E182" s="436">
        <v>22</v>
      </c>
      <c r="F182" s="38" t="s">
        <v>10260</v>
      </c>
      <c r="G182" s="602" t="s">
        <v>10261</v>
      </c>
      <c r="H182" s="415">
        <v>30.5</v>
      </c>
      <c r="I182" s="1153"/>
      <c r="J182" s="415">
        <v>55307.36914285714</v>
      </c>
      <c r="K182" s="437">
        <v>582671.69999999995</v>
      </c>
    </row>
    <row r="183" spans="1:11" x14ac:dyDescent="0.2">
      <c r="A183" s="349" t="s">
        <v>618</v>
      </c>
      <c r="B183" s="347" t="s">
        <v>295</v>
      </c>
      <c r="C183" s="1148"/>
      <c r="D183" s="1151"/>
      <c r="E183" s="425" t="s">
        <v>393</v>
      </c>
      <c r="F183" s="178"/>
      <c r="G183" s="602"/>
      <c r="H183" s="441">
        <v>21.6</v>
      </c>
      <c r="I183" s="1153"/>
      <c r="J183" s="415">
        <v>39427.035428571427</v>
      </c>
      <c r="K183" s="437"/>
    </row>
    <row r="184" spans="1:11" ht="12.75" customHeight="1" x14ac:dyDescent="0.2">
      <c r="A184" s="349" t="s">
        <v>5787</v>
      </c>
      <c r="B184" s="347" t="s">
        <v>295</v>
      </c>
      <c r="C184" s="1148"/>
      <c r="D184" s="1151"/>
      <c r="E184" s="436">
        <v>52</v>
      </c>
      <c r="F184" s="178" t="s">
        <v>394</v>
      </c>
      <c r="G184" s="602"/>
      <c r="H184" s="441">
        <v>41.3</v>
      </c>
      <c r="I184" s="1153"/>
      <c r="J184" s="415">
        <v>75385.95199999999</v>
      </c>
      <c r="K184" s="437">
        <v>794420.38</v>
      </c>
    </row>
    <row r="185" spans="1:11" x14ac:dyDescent="0.2">
      <c r="A185" s="349" t="s">
        <v>10262</v>
      </c>
      <c r="B185" s="178" t="s">
        <v>10263</v>
      </c>
      <c r="C185" s="1149"/>
      <c r="D185" s="1152"/>
      <c r="E185" s="436">
        <v>10</v>
      </c>
      <c r="F185" s="38" t="s">
        <v>10264</v>
      </c>
      <c r="G185" s="602" t="s">
        <v>128</v>
      </c>
      <c r="H185" s="415">
        <v>28.5</v>
      </c>
      <c r="I185" s="1146"/>
      <c r="J185" s="415">
        <v>4027</v>
      </c>
      <c r="K185" s="437">
        <v>564871.71</v>
      </c>
    </row>
    <row r="186" spans="1:11" x14ac:dyDescent="0.2">
      <c r="A186" s="348" t="s">
        <v>619</v>
      </c>
      <c r="B186" s="347"/>
      <c r="C186" s="1157" t="s">
        <v>11013</v>
      </c>
      <c r="D186" s="1158">
        <v>37</v>
      </c>
      <c r="E186" s="425"/>
      <c r="F186" s="178"/>
      <c r="G186" s="602"/>
      <c r="H186" s="441">
        <f>4871-4871</f>
        <v>0</v>
      </c>
      <c r="I186" s="1159">
        <v>1972</v>
      </c>
      <c r="J186" s="415">
        <f>7916911-7916911</f>
        <v>0</v>
      </c>
      <c r="K186" s="437"/>
    </row>
    <row r="187" spans="1:11" x14ac:dyDescent="0.2">
      <c r="A187" s="349" t="s">
        <v>620</v>
      </c>
      <c r="B187" s="347" t="s">
        <v>308</v>
      </c>
      <c r="C187" s="1157"/>
      <c r="D187" s="1158"/>
      <c r="E187" s="425" t="s">
        <v>387</v>
      </c>
      <c r="F187" s="178"/>
      <c r="G187" s="602"/>
      <c r="H187" s="441">
        <v>22</v>
      </c>
      <c r="I187" s="1159"/>
      <c r="J187" s="415">
        <v>35756.937384520628</v>
      </c>
      <c r="K187" s="437"/>
    </row>
    <row r="188" spans="1:11" ht="12.75" customHeight="1" x14ac:dyDescent="0.2">
      <c r="A188" s="349" t="s">
        <v>621</v>
      </c>
      <c r="B188" s="347" t="s">
        <v>308</v>
      </c>
      <c r="C188" s="1157"/>
      <c r="D188" s="1158"/>
      <c r="E188" s="425" t="s">
        <v>395</v>
      </c>
      <c r="F188" s="268"/>
      <c r="G188" s="602"/>
      <c r="H188" s="441">
        <v>30</v>
      </c>
      <c r="I188" s="1159"/>
      <c r="J188" s="415">
        <v>48759.460069800858</v>
      </c>
      <c r="K188" s="437"/>
    </row>
    <row r="189" spans="1:11" x14ac:dyDescent="0.2">
      <c r="A189" s="349" t="s">
        <v>622</v>
      </c>
      <c r="B189" s="347" t="s">
        <v>308</v>
      </c>
      <c r="C189" s="1157"/>
      <c r="D189" s="1158"/>
      <c r="E189" s="425">
        <v>3</v>
      </c>
      <c r="F189" s="178"/>
      <c r="G189" s="602"/>
      <c r="H189" s="441"/>
      <c r="I189" s="1159"/>
      <c r="J189" s="415"/>
      <c r="K189" s="437"/>
    </row>
    <row r="190" spans="1:11" x14ac:dyDescent="0.2">
      <c r="A190" s="349" t="s">
        <v>623</v>
      </c>
      <c r="B190" s="347" t="s">
        <v>308</v>
      </c>
      <c r="C190" s="1157"/>
      <c r="D190" s="1158"/>
      <c r="E190" s="425" t="s">
        <v>240</v>
      </c>
      <c r="F190" s="178"/>
      <c r="G190" s="602"/>
      <c r="H190" s="441">
        <v>29.2</v>
      </c>
      <c r="I190" s="1159"/>
      <c r="J190" s="415">
        <v>47459.207801272838</v>
      </c>
      <c r="K190" s="437"/>
    </row>
    <row r="191" spans="1:11" x14ac:dyDescent="0.2">
      <c r="A191" s="349" t="s">
        <v>624</v>
      </c>
      <c r="B191" s="347" t="s">
        <v>308</v>
      </c>
      <c r="C191" s="1157"/>
      <c r="D191" s="1158"/>
      <c r="E191" s="425" t="s">
        <v>396</v>
      </c>
      <c r="F191" s="178"/>
      <c r="G191" s="602"/>
      <c r="H191" s="441">
        <v>28.5</v>
      </c>
      <c r="I191" s="1159"/>
      <c r="J191" s="415">
        <v>46321.487066310816</v>
      </c>
      <c r="K191" s="437"/>
    </row>
    <row r="192" spans="1:11" x14ac:dyDescent="0.2">
      <c r="A192" s="349" t="s">
        <v>625</v>
      </c>
      <c r="B192" s="347" t="s">
        <v>308</v>
      </c>
      <c r="C192" s="1157"/>
      <c r="D192" s="1158"/>
      <c r="E192" s="425" t="s">
        <v>241</v>
      </c>
      <c r="F192" s="178"/>
      <c r="G192" s="602"/>
      <c r="H192" s="441">
        <v>10.199999999999999</v>
      </c>
      <c r="I192" s="1159"/>
      <c r="J192" s="415">
        <v>16578.21642373229</v>
      </c>
      <c r="K192" s="437"/>
    </row>
    <row r="193" spans="1:11" x14ac:dyDescent="0.2">
      <c r="A193" s="349" t="s">
        <v>626</v>
      </c>
      <c r="B193" s="347" t="s">
        <v>308</v>
      </c>
      <c r="C193" s="1157"/>
      <c r="D193" s="1158"/>
      <c r="E193" s="425" t="s">
        <v>397</v>
      </c>
      <c r="F193" s="178"/>
      <c r="G193" s="602"/>
      <c r="H193" s="441"/>
      <c r="I193" s="1159"/>
      <c r="J193" s="415"/>
      <c r="K193" s="437"/>
    </row>
    <row r="194" spans="1:11" ht="12.75" customHeight="1" x14ac:dyDescent="0.2">
      <c r="A194" s="349" t="s">
        <v>627</v>
      </c>
      <c r="B194" s="347"/>
      <c r="C194" s="1157"/>
      <c r="D194" s="1158"/>
      <c r="E194" s="436">
        <v>53</v>
      </c>
      <c r="F194" s="178" t="s">
        <v>5133</v>
      </c>
      <c r="G194" s="602" t="s">
        <v>512</v>
      </c>
      <c r="H194" s="441">
        <v>29.8</v>
      </c>
      <c r="I194" s="1159"/>
      <c r="J194" s="415">
        <v>309676</v>
      </c>
      <c r="K194" s="437">
        <v>576763.74</v>
      </c>
    </row>
    <row r="195" spans="1:11" x14ac:dyDescent="0.2">
      <c r="A195" s="349" t="s">
        <v>628</v>
      </c>
      <c r="B195" s="347"/>
      <c r="C195" s="1157"/>
      <c r="D195" s="1158"/>
      <c r="E195" s="436">
        <v>55</v>
      </c>
      <c r="F195" s="178"/>
      <c r="G195" s="602"/>
      <c r="H195" s="441">
        <v>47.2</v>
      </c>
      <c r="I195" s="1159"/>
      <c r="J195" s="415">
        <v>76714.883843153366</v>
      </c>
      <c r="K195" s="437"/>
    </row>
    <row r="196" spans="1:11" ht="25.5" customHeight="1" x14ac:dyDescent="0.2">
      <c r="A196" s="348" t="s">
        <v>632</v>
      </c>
      <c r="B196" s="347" t="s">
        <v>308</v>
      </c>
      <c r="C196" s="405" t="s">
        <v>11014</v>
      </c>
      <c r="D196" s="537" t="s">
        <v>383</v>
      </c>
      <c r="E196" s="436">
        <v>4</v>
      </c>
      <c r="F196" s="178" t="s">
        <v>211</v>
      </c>
      <c r="G196" s="602"/>
      <c r="H196" s="441">
        <f>317-237.5</f>
        <v>79.5</v>
      </c>
      <c r="I196" s="536">
        <v>1991</v>
      </c>
      <c r="J196" s="415">
        <f>1214584/317*79.5</f>
        <v>304603.87381703471</v>
      </c>
      <c r="K196" s="437">
        <v>1002005.28</v>
      </c>
    </row>
    <row r="197" spans="1:11" x14ac:dyDescent="0.2">
      <c r="A197" s="348" t="s">
        <v>633</v>
      </c>
      <c r="B197" s="347"/>
      <c r="C197" s="1157" t="s">
        <v>11015</v>
      </c>
      <c r="D197" s="1158">
        <v>7</v>
      </c>
      <c r="E197" s="436"/>
      <c r="F197" s="178"/>
      <c r="G197" s="602"/>
      <c r="H197" s="441">
        <f>127-127</f>
        <v>0</v>
      </c>
      <c r="I197" s="1159">
        <v>1959</v>
      </c>
      <c r="J197" s="415">
        <f>213364-213364</f>
        <v>0</v>
      </c>
      <c r="K197" s="437"/>
    </row>
    <row r="198" spans="1:11" x14ac:dyDescent="0.2">
      <c r="A198" s="349" t="s">
        <v>634</v>
      </c>
      <c r="B198" s="347" t="s">
        <v>308</v>
      </c>
      <c r="C198" s="1157"/>
      <c r="D198" s="1158"/>
      <c r="E198" s="436">
        <v>3</v>
      </c>
      <c r="F198" s="178" t="s">
        <v>204</v>
      </c>
      <c r="G198" s="602" t="s">
        <v>137</v>
      </c>
      <c r="H198" s="441">
        <v>62.9</v>
      </c>
      <c r="I198" s="1159"/>
      <c r="J198" s="415">
        <v>105691.81102362204</v>
      </c>
      <c r="K198" s="437">
        <v>648735.68999999994</v>
      </c>
    </row>
    <row r="199" spans="1:11" ht="12.75" customHeight="1" x14ac:dyDescent="0.2">
      <c r="A199" s="349" t="s">
        <v>635</v>
      </c>
      <c r="B199" s="347" t="s">
        <v>308</v>
      </c>
      <c r="C199" s="1157"/>
      <c r="D199" s="1158"/>
      <c r="E199" s="436">
        <v>4</v>
      </c>
      <c r="F199" s="178" t="s">
        <v>205</v>
      </c>
      <c r="G199" s="602" t="s">
        <v>137</v>
      </c>
      <c r="H199" s="441">
        <v>30.3</v>
      </c>
      <c r="I199" s="1159"/>
      <c r="J199" s="415">
        <v>50913.543307086613</v>
      </c>
      <c r="K199" s="437">
        <v>314004.65999999997</v>
      </c>
    </row>
    <row r="200" spans="1:11" ht="27" customHeight="1" x14ac:dyDescent="0.2">
      <c r="A200" s="348" t="s">
        <v>636</v>
      </c>
      <c r="B200" s="347" t="s">
        <v>9967</v>
      </c>
      <c r="C200" s="405" t="s">
        <v>11016</v>
      </c>
      <c r="D200" s="537">
        <v>8</v>
      </c>
      <c r="E200" s="436"/>
      <c r="F200" s="178" t="s">
        <v>2901</v>
      </c>
      <c r="G200" s="602" t="s">
        <v>2902</v>
      </c>
      <c r="H200" s="441">
        <v>51.5</v>
      </c>
      <c r="I200" s="536">
        <v>1958</v>
      </c>
      <c r="J200" s="415">
        <v>59040</v>
      </c>
      <c r="K200" s="437">
        <v>426864.44</v>
      </c>
    </row>
    <row r="201" spans="1:11" ht="12.75" customHeight="1" x14ac:dyDescent="0.2">
      <c r="A201" s="590" t="s">
        <v>637</v>
      </c>
      <c r="B201" s="591"/>
      <c r="C201" s="1192" t="s">
        <v>11017</v>
      </c>
      <c r="D201" s="1198">
        <v>11</v>
      </c>
      <c r="E201" s="592"/>
      <c r="F201" s="200"/>
      <c r="G201" s="612"/>
      <c r="H201" s="593">
        <f>120-120</f>
        <v>0</v>
      </c>
      <c r="I201" s="1195">
        <v>1959</v>
      </c>
      <c r="J201" s="594">
        <f>248952-248952</f>
        <v>0</v>
      </c>
      <c r="K201" s="596"/>
    </row>
    <row r="202" spans="1:11" x14ac:dyDescent="0.2">
      <c r="A202" s="595" t="s">
        <v>1254</v>
      </c>
      <c r="B202" s="591" t="s">
        <v>295</v>
      </c>
      <c r="C202" s="1193"/>
      <c r="D202" s="1199"/>
      <c r="E202" s="592">
        <v>1</v>
      </c>
      <c r="F202" s="200" t="s">
        <v>9969</v>
      </c>
      <c r="G202" s="612" t="s">
        <v>137</v>
      </c>
      <c r="H202" s="593">
        <v>29.7</v>
      </c>
      <c r="I202" s="1196"/>
      <c r="J202" s="594">
        <v>61627.5</v>
      </c>
      <c r="K202" s="596">
        <v>307786.74</v>
      </c>
    </row>
    <row r="203" spans="1:11" ht="12.75" customHeight="1" x14ac:dyDescent="0.2">
      <c r="A203" s="595" t="s">
        <v>1255</v>
      </c>
      <c r="B203" s="591" t="s">
        <v>295</v>
      </c>
      <c r="C203" s="1193"/>
      <c r="D203" s="1199"/>
      <c r="E203" s="592">
        <v>3</v>
      </c>
      <c r="F203" s="200" t="s">
        <v>202</v>
      </c>
      <c r="G203" s="612" t="s">
        <v>137</v>
      </c>
      <c r="H203" s="593">
        <v>30.4</v>
      </c>
      <c r="I203" s="1196"/>
      <c r="J203" s="594">
        <v>63080</v>
      </c>
      <c r="K203" s="596">
        <v>315040.98</v>
      </c>
    </row>
    <row r="204" spans="1:11" ht="12.75" customHeight="1" x14ac:dyDescent="0.2">
      <c r="A204" s="595" t="s">
        <v>1256</v>
      </c>
      <c r="B204" s="591" t="s">
        <v>295</v>
      </c>
      <c r="C204" s="1193"/>
      <c r="D204" s="1199"/>
      <c r="E204" s="592">
        <v>4</v>
      </c>
      <c r="F204" s="200" t="s">
        <v>203</v>
      </c>
      <c r="G204" s="612" t="s">
        <v>137</v>
      </c>
      <c r="H204" s="593">
        <v>29.5</v>
      </c>
      <c r="I204" s="1196"/>
      <c r="J204" s="594">
        <v>61212.5</v>
      </c>
      <c r="K204" s="596">
        <v>305714.11</v>
      </c>
    </row>
    <row r="205" spans="1:11" ht="12.75" customHeight="1" x14ac:dyDescent="0.2">
      <c r="A205" s="403" t="s">
        <v>12633</v>
      </c>
      <c r="B205" s="432" t="s">
        <v>295</v>
      </c>
      <c r="C205" s="1254"/>
      <c r="D205" s="1255"/>
      <c r="E205" s="672">
        <v>2</v>
      </c>
      <c r="F205" s="200" t="s">
        <v>12634</v>
      </c>
      <c r="G205" s="636" t="s">
        <v>137</v>
      </c>
      <c r="H205" s="435">
        <v>29.7</v>
      </c>
      <c r="I205" s="1256"/>
      <c r="J205" s="435">
        <v>1480000</v>
      </c>
      <c r="K205" s="443">
        <v>320222.57</v>
      </c>
    </row>
    <row r="206" spans="1:11" x14ac:dyDescent="0.2">
      <c r="A206" s="348" t="s">
        <v>638</v>
      </c>
      <c r="B206" s="347"/>
      <c r="C206" s="1157" t="s">
        <v>11018</v>
      </c>
      <c r="D206" s="1158">
        <v>13</v>
      </c>
      <c r="E206" s="436"/>
      <c r="F206" s="178"/>
      <c r="G206" s="602"/>
      <c r="H206" s="441">
        <f>130-130</f>
        <v>0</v>
      </c>
      <c r="I206" s="1159">
        <v>1959</v>
      </c>
      <c r="J206" s="415">
        <f>254036-254036</f>
        <v>0</v>
      </c>
      <c r="K206" s="437"/>
    </row>
    <row r="207" spans="1:11" x14ac:dyDescent="0.2">
      <c r="A207" s="349" t="s">
        <v>639</v>
      </c>
      <c r="B207" s="347" t="s">
        <v>295</v>
      </c>
      <c r="C207" s="1157"/>
      <c r="D207" s="1158"/>
      <c r="E207" s="436">
        <v>1</v>
      </c>
      <c r="F207" s="178" t="s">
        <v>199</v>
      </c>
      <c r="G207" s="602" t="s">
        <v>137</v>
      </c>
      <c r="H207" s="441">
        <v>32.200000000000003</v>
      </c>
      <c r="I207" s="1159"/>
      <c r="J207" s="415">
        <v>62913.846153846156</v>
      </c>
      <c r="K207" s="437">
        <v>333694.32</v>
      </c>
    </row>
    <row r="208" spans="1:11" ht="12.75" customHeight="1" x14ac:dyDescent="0.2">
      <c r="A208" s="349" t="s">
        <v>1257</v>
      </c>
      <c r="B208" s="347" t="s">
        <v>295</v>
      </c>
      <c r="C208" s="1157"/>
      <c r="D208" s="1158"/>
      <c r="E208" s="436">
        <v>3</v>
      </c>
      <c r="F208" s="178" t="s">
        <v>200</v>
      </c>
      <c r="G208" s="602" t="s">
        <v>137</v>
      </c>
      <c r="H208" s="441">
        <v>32.6</v>
      </c>
      <c r="I208" s="1159"/>
      <c r="J208" s="415">
        <v>63695.384615384617</v>
      </c>
      <c r="K208" s="437">
        <v>337839.99</v>
      </c>
    </row>
    <row r="209" spans="1:11" ht="12.75" customHeight="1" x14ac:dyDescent="0.2">
      <c r="A209" s="349" t="s">
        <v>1258</v>
      </c>
      <c r="B209" s="347" t="s">
        <v>295</v>
      </c>
      <c r="C209" s="1157"/>
      <c r="D209" s="1158"/>
      <c r="E209" s="436">
        <v>4</v>
      </c>
      <c r="F209" s="178" t="s">
        <v>201</v>
      </c>
      <c r="G209" s="602" t="s">
        <v>137</v>
      </c>
      <c r="H209" s="441">
        <v>32.5</v>
      </c>
      <c r="I209" s="1159"/>
      <c r="J209" s="415">
        <v>63500</v>
      </c>
      <c r="K209" s="437">
        <v>336803.68</v>
      </c>
    </row>
    <row r="210" spans="1:11" x14ac:dyDescent="0.2">
      <c r="A210" s="348" t="s">
        <v>640</v>
      </c>
      <c r="B210" s="347"/>
      <c r="C210" s="1149" t="s">
        <v>11019</v>
      </c>
      <c r="D210" s="1158">
        <v>14</v>
      </c>
      <c r="E210" s="436"/>
      <c r="F210" s="178"/>
      <c r="G210" s="602"/>
      <c r="H210" s="441">
        <f>257-257</f>
        <v>0</v>
      </c>
      <c r="I210" s="1159">
        <v>1989</v>
      </c>
      <c r="J210" s="415">
        <f>1521756-1521756</f>
        <v>0</v>
      </c>
      <c r="K210" s="437"/>
    </row>
    <row r="211" spans="1:11" ht="12.75" customHeight="1" x14ac:dyDescent="0.2">
      <c r="A211" s="349" t="s">
        <v>641</v>
      </c>
      <c r="B211" s="347" t="s">
        <v>295</v>
      </c>
      <c r="C211" s="1157"/>
      <c r="D211" s="1158"/>
      <c r="E211" s="436">
        <v>1</v>
      </c>
      <c r="F211" s="178"/>
      <c r="G211" s="602"/>
      <c r="H211" s="441">
        <v>78.900000000000006</v>
      </c>
      <c r="I211" s="1159"/>
      <c r="J211" s="415">
        <v>467198.52140077826</v>
      </c>
      <c r="K211" s="437"/>
    </row>
    <row r="212" spans="1:11" ht="12.75" customHeight="1" x14ac:dyDescent="0.2">
      <c r="A212" s="348" t="s">
        <v>642</v>
      </c>
      <c r="B212" s="347" t="s">
        <v>307</v>
      </c>
      <c r="C212" s="405" t="s">
        <v>11020</v>
      </c>
      <c r="D212" s="537">
        <v>21</v>
      </c>
      <c r="E212" s="436">
        <v>1</v>
      </c>
      <c r="F212" s="178" t="s">
        <v>2951</v>
      </c>
      <c r="G212" s="602" t="s">
        <v>137</v>
      </c>
      <c r="H212" s="441">
        <v>74.400000000000006</v>
      </c>
      <c r="I212" s="536">
        <v>1962</v>
      </c>
      <c r="J212" s="415">
        <v>76588</v>
      </c>
      <c r="K212" s="437">
        <v>616674.06999999995</v>
      </c>
    </row>
    <row r="213" spans="1:11" x14ac:dyDescent="0.2">
      <c r="A213" s="348" t="s">
        <v>643</v>
      </c>
      <c r="B213" s="347"/>
      <c r="C213" s="1157" t="s">
        <v>11021</v>
      </c>
      <c r="D213" s="1158">
        <v>4</v>
      </c>
      <c r="E213" s="436"/>
      <c r="F213" s="178"/>
      <c r="G213" s="602"/>
      <c r="H213" s="441">
        <f>823-823</f>
        <v>0</v>
      </c>
      <c r="I213" s="1159">
        <v>1960</v>
      </c>
      <c r="J213" s="415">
        <f>1303308-1303308</f>
        <v>0</v>
      </c>
      <c r="K213" s="437"/>
    </row>
    <row r="214" spans="1:11" x14ac:dyDescent="0.2">
      <c r="A214" s="349" t="s">
        <v>1259</v>
      </c>
      <c r="B214" s="347" t="s">
        <v>295</v>
      </c>
      <c r="C214" s="1157"/>
      <c r="D214" s="1158"/>
      <c r="E214" s="436">
        <v>4</v>
      </c>
      <c r="F214" s="178"/>
      <c r="G214" s="602"/>
      <c r="H214" s="441">
        <v>56.4</v>
      </c>
      <c r="I214" s="1159"/>
      <c r="J214" s="415">
        <v>89314.848116646419</v>
      </c>
      <c r="K214" s="437"/>
    </row>
    <row r="215" spans="1:11" ht="27.75" customHeight="1" x14ac:dyDescent="0.2">
      <c r="A215" s="348" t="s">
        <v>644</v>
      </c>
      <c r="B215" s="347" t="s">
        <v>295</v>
      </c>
      <c r="C215" s="405" t="s">
        <v>11022</v>
      </c>
      <c r="D215" s="537">
        <v>5</v>
      </c>
      <c r="E215" s="436">
        <v>2</v>
      </c>
      <c r="F215" s="178"/>
      <c r="G215" s="602" t="s">
        <v>137</v>
      </c>
      <c r="H215" s="441">
        <f>76-31.8</f>
        <v>44.2</v>
      </c>
      <c r="I215" s="536">
        <v>1992</v>
      </c>
      <c r="J215" s="415">
        <f>80196/76*44.2</f>
        <v>46640.30526315789</v>
      </c>
      <c r="K215" s="437"/>
    </row>
    <row r="216" spans="1:11" ht="12.75" customHeight="1" x14ac:dyDescent="0.2">
      <c r="A216" s="348" t="s">
        <v>645</v>
      </c>
      <c r="B216" s="347"/>
      <c r="C216" s="1147" t="s">
        <v>11023</v>
      </c>
      <c r="D216" s="1150">
        <v>6</v>
      </c>
      <c r="E216" s="436"/>
      <c r="F216" s="178"/>
      <c r="G216" s="1040"/>
      <c r="H216" s="441">
        <f>1043-1043</f>
        <v>0</v>
      </c>
      <c r="I216" s="1145">
        <v>1961</v>
      </c>
      <c r="J216" s="837">
        <f>1183752-1183752</f>
        <v>0</v>
      </c>
      <c r="K216" s="437"/>
    </row>
    <row r="217" spans="1:11" x14ac:dyDescent="0.2">
      <c r="A217" s="349" t="s">
        <v>1260</v>
      </c>
      <c r="B217" s="347" t="s">
        <v>295</v>
      </c>
      <c r="C217" s="1148"/>
      <c r="D217" s="1151"/>
      <c r="E217" s="436">
        <v>2</v>
      </c>
      <c r="F217" s="350" t="s">
        <v>14747</v>
      </c>
      <c r="G217" s="1040" t="s">
        <v>137</v>
      </c>
      <c r="H217" s="441">
        <v>36.700000000000003</v>
      </c>
      <c r="I217" s="1153"/>
      <c r="J217" s="837">
        <v>41654.324065196553</v>
      </c>
      <c r="K217" s="437"/>
    </row>
    <row r="218" spans="1:11" x14ac:dyDescent="0.2">
      <c r="A218" s="349" t="s">
        <v>1261</v>
      </c>
      <c r="B218" s="347" t="s">
        <v>295</v>
      </c>
      <c r="C218" s="1148"/>
      <c r="D218" s="1151"/>
      <c r="E218" s="436">
        <v>3</v>
      </c>
      <c r="F218" s="350" t="s">
        <v>14748</v>
      </c>
      <c r="G218" s="1040" t="s">
        <v>137</v>
      </c>
      <c r="H218" s="441">
        <v>35.200000000000003</v>
      </c>
      <c r="I218" s="1153"/>
      <c r="J218" s="837">
        <v>39951.831255992336</v>
      </c>
      <c r="K218" s="437"/>
    </row>
    <row r="219" spans="1:11" ht="12.75" customHeight="1" x14ac:dyDescent="0.2">
      <c r="A219" s="349" t="s">
        <v>1262</v>
      </c>
      <c r="B219" s="347" t="s">
        <v>295</v>
      </c>
      <c r="C219" s="1148"/>
      <c r="D219" s="1151"/>
      <c r="E219" s="436">
        <v>4</v>
      </c>
      <c r="F219" s="178" t="s">
        <v>9970</v>
      </c>
      <c r="G219" s="1040"/>
      <c r="H219" s="441">
        <v>33</v>
      </c>
      <c r="I219" s="1153"/>
      <c r="J219" s="837">
        <v>37454.841802492811</v>
      </c>
      <c r="K219" s="437">
        <v>435497.37</v>
      </c>
    </row>
    <row r="220" spans="1:11" x14ac:dyDescent="0.2">
      <c r="A220" s="349" t="s">
        <v>1263</v>
      </c>
      <c r="B220" s="347" t="s">
        <v>295</v>
      </c>
      <c r="C220" s="1148"/>
      <c r="D220" s="1151"/>
      <c r="E220" s="436">
        <v>5</v>
      </c>
      <c r="F220" s="350" t="s">
        <v>14749</v>
      </c>
      <c r="G220" s="1040" t="s">
        <v>512</v>
      </c>
      <c r="H220" s="441">
        <v>34.4</v>
      </c>
      <c r="I220" s="1153"/>
      <c r="J220" s="837">
        <v>39043.835091083412</v>
      </c>
      <c r="K220" s="437"/>
    </row>
    <row r="221" spans="1:11" x14ac:dyDescent="0.2">
      <c r="A221" s="349" t="s">
        <v>1264</v>
      </c>
      <c r="B221" s="347" t="s">
        <v>295</v>
      </c>
      <c r="C221" s="1148"/>
      <c r="D221" s="1151"/>
      <c r="E221" s="436">
        <v>7</v>
      </c>
      <c r="F221" s="350" t="s">
        <v>14750</v>
      </c>
      <c r="G221" s="1040" t="s">
        <v>512</v>
      </c>
      <c r="H221" s="441">
        <v>37.6</v>
      </c>
      <c r="I221" s="1153"/>
      <c r="J221" s="837">
        <v>42675.819750719078</v>
      </c>
      <c r="K221" s="437"/>
    </row>
    <row r="222" spans="1:11" x14ac:dyDescent="0.2">
      <c r="A222" s="349" t="s">
        <v>1265</v>
      </c>
      <c r="B222" s="347" t="s">
        <v>295</v>
      </c>
      <c r="C222" s="1148"/>
      <c r="D222" s="1151"/>
      <c r="E222" s="436">
        <v>8</v>
      </c>
      <c r="F222" s="350" t="s">
        <v>14751</v>
      </c>
      <c r="G222" s="1040" t="s">
        <v>512</v>
      </c>
      <c r="H222" s="441">
        <v>32.200000000000003</v>
      </c>
      <c r="I222" s="1153"/>
      <c r="J222" s="837">
        <v>36546.845637583894</v>
      </c>
      <c r="K222" s="437"/>
    </row>
    <row r="223" spans="1:11" x14ac:dyDescent="0.2">
      <c r="A223" s="349" t="s">
        <v>1266</v>
      </c>
      <c r="B223" s="347" t="s">
        <v>295</v>
      </c>
      <c r="C223" s="1148"/>
      <c r="D223" s="1151"/>
      <c r="E223" s="436">
        <v>12</v>
      </c>
      <c r="F223" s="350" t="s">
        <v>14752</v>
      </c>
      <c r="G223" s="1040" t="s">
        <v>137</v>
      </c>
      <c r="H223" s="441">
        <v>36.5</v>
      </c>
      <c r="I223" s="1153"/>
      <c r="J223" s="837">
        <v>41427.325023969323</v>
      </c>
      <c r="K223" s="437"/>
    </row>
    <row r="224" spans="1:11" x14ac:dyDescent="0.2">
      <c r="A224" s="349" t="s">
        <v>1267</v>
      </c>
      <c r="B224" s="347" t="s">
        <v>295</v>
      </c>
      <c r="C224" s="1148"/>
      <c r="D224" s="1151"/>
      <c r="E224" s="436">
        <v>14</v>
      </c>
      <c r="F224" s="350" t="s">
        <v>14753</v>
      </c>
      <c r="G224" s="1040" t="s">
        <v>512</v>
      </c>
      <c r="H224" s="441">
        <v>35.6</v>
      </c>
      <c r="I224" s="1153"/>
      <c r="J224" s="837">
        <v>40405.829338446791</v>
      </c>
      <c r="K224" s="437"/>
    </row>
    <row r="225" spans="1:11" x14ac:dyDescent="0.2">
      <c r="A225" s="404" t="s">
        <v>1268</v>
      </c>
      <c r="B225" s="347" t="s">
        <v>295</v>
      </c>
      <c r="C225" s="1148"/>
      <c r="D225" s="1151"/>
      <c r="E225" s="436">
        <v>17</v>
      </c>
      <c r="F225" s="350" t="s">
        <v>14754</v>
      </c>
      <c r="G225" s="1040" t="s">
        <v>137</v>
      </c>
      <c r="H225" s="837">
        <v>15.1</v>
      </c>
      <c r="I225" s="1153"/>
      <c r="J225" s="837">
        <f>34390.3547459252-J226</f>
        <v>17138.427612655792</v>
      </c>
      <c r="K225" s="437"/>
    </row>
    <row r="226" spans="1:11" x14ac:dyDescent="0.2">
      <c r="A226" s="587" t="s">
        <v>12126</v>
      </c>
      <c r="B226" s="347" t="s">
        <v>295</v>
      </c>
      <c r="C226" s="1148"/>
      <c r="D226" s="1151"/>
      <c r="E226" s="425" t="s">
        <v>11024</v>
      </c>
      <c r="F226" s="350" t="s">
        <v>14755</v>
      </c>
      <c r="G226" s="1040" t="s">
        <v>137</v>
      </c>
      <c r="H226" s="837">
        <f>30.3-15.1</f>
        <v>15.200000000000001</v>
      </c>
      <c r="I226" s="1153"/>
      <c r="J226" s="837">
        <f>34390.3547459252/30.3*H226</f>
        <v>17251.927133269408</v>
      </c>
      <c r="K226" s="437"/>
    </row>
    <row r="227" spans="1:11" x14ac:dyDescent="0.2">
      <c r="A227" s="349" t="s">
        <v>1269</v>
      </c>
      <c r="B227" s="347" t="s">
        <v>295</v>
      </c>
      <c r="C227" s="1148"/>
      <c r="D227" s="1151"/>
      <c r="E227" s="436">
        <v>18</v>
      </c>
      <c r="F227" s="350" t="s">
        <v>14756</v>
      </c>
      <c r="G227" s="1040" t="s">
        <v>137</v>
      </c>
      <c r="H227" s="441">
        <v>29.7</v>
      </c>
      <c r="I227" s="1153"/>
      <c r="J227" s="837">
        <v>33709.357622243529</v>
      </c>
      <c r="K227" s="437"/>
    </row>
    <row r="228" spans="1:11" x14ac:dyDescent="0.2">
      <c r="A228" s="349" t="s">
        <v>1270</v>
      </c>
      <c r="B228" s="347" t="s">
        <v>295</v>
      </c>
      <c r="C228" s="1148"/>
      <c r="D228" s="1151"/>
      <c r="E228" s="436">
        <v>22</v>
      </c>
      <c r="F228" s="350" t="s">
        <v>14757</v>
      </c>
      <c r="G228" s="1040" t="s">
        <v>512</v>
      </c>
      <c r="H228" s="441">
        <v>17.5</v>
      </c>
      <c r="I228" s="1153"/>
      <c r="J228" s="837">
        <v>19862.416107382549</v>
      </c>
      <c r="K228" s="437"/>
    </row>
    <row r="229" spans="1:11" x14ac:dyDescent="0.2">
      <c r="A229" s="863" t="s">
        <v>14321</v>
      </c>
      <c r="B229" s="833" t="s">
        <v>295</v>
      </c>
      <c r="C229" s="1148"/>
      <c r="D229" s="1151"/>
      <c r="E229" s="436">
        <v>10</v>
      </c>
      <c r="F229" s="178" t="s">
        <v>14322</v>
      </c>
      <c r="G229" s="1040" t="s">
        <v>137</v>
      </c>
      <c r="H229" s="441">
        <v>36.5</v>
      </c>
      <c r="I229" s="1153"/>
      <c r="J229" s="837">
        <v>2776620</v>
      </c>
      <c r="K229" s="437">
        <v>481686.49</v>
      </c>
    </row>
    <row r="230" spans="1:11" x14ac:dyDescent="0.2">
      <c r="A230" s="863" t="s">
        <v>14323</v>
      </c>
      <c r="B230" s="833" t="s">
        <v>295</v>
      </c>
      <c r="C230" s="1149"/>
      <c r="D230" s="1152"/>
      <c r="E230" s="436">
        <v>21</v>
      </c>
      <c r="F230" s="178" t="s">
        <v>14324</v>
      </c>
      <c r="G230" s="1040" t="s">
        <v>512</v>
      </c>
      <c r="H230" s="441">
        <v>30.2</v>
      </c>
      <c r="I230" s="1146"/>
      <c r="J230" s="837">
        <v>2541028</v>
      </c>
      <c r="K230" s="437">
        <v>398546.08</v>
      </c>
    </row>
    <row r="231" spans="1:11" x14ac:dyDescent="0.2">
      <c r="A231" s="348" t="s">
        <v>646</v>
      </c>
      <c r="B231" s="347"/>
      <c r="C231" s="1157" t="s">
        <v>11025</v>
      </c>
      <c r="D231" s="1158">
        <v>8</v>
      </c>
      <c r="E231" s="436"/>
      <c r="F231" s="178"/>
      <c r="G231" s="602"/>
      <c r="H231" s="441">
        <f>831-831</f>
        <v>0</v>
      </c>
      <c r="I231" s="1159">
        <v>1961</v>
      </c>
      <c r="J231" s="415">
        <f>1480100-1480100</f>
        <v>0</v>
      </c>
      <c r="K231" s="437"/>
    </row>
    <row r="232" spans="1:11" x14ac:dyDescent="0.2">
      <c r="A232" s="349" t="s">
        <v>1276</v>
      </c>
      <c r="B232" s="347" t="s">
        <v>295</v>
      </c>
      <c r="C232" s="1157"/>
      <c r="D232" s="1158"/>
      <c r="E232" s="436">
        <v>3</v>
      </c>
      <c r="F232" s="178" t="s">
        <v>2688</v>
      </c>
      <c r="G232" s="602"/>
      <c r="H232" s="441">
        <v>36.4</v>
      </c>
      <c r="I232" s="1159"/>
      <c r="J232" s="415">
        <v>64832.298435619734</v>
      </c>
      <c r="K232" s="437">
        <v>480366.8</v>
      </c>
    </row>
    <row r="233" spans="1:11" ht="12.75" customHeight="1" x14ac:dyDescent="0.2">
      <c r="A233" s="349" t="s">
        <v>1271</v>
      </c>
      <c r="B233" s="347" t="s">
        <v>295</v>
      </c>
      <c r="C233" s="1157"/>
      <c r="D233" s="1158"/>
      <c r="E233" s="436">
        <v>7</v>
      </c>
      <c r="F233" s="178" t="s">
        <v>2686</v>
      </c>
      <c r="G233" s="602"/>
      <c r="H233" s="441">
        <v>38.4</v>
      </c>
      <c r="I233" s="1159"/>
      <c r="J233" s="415">
        <v>68394.512635379098</v>
      </c>
      <c r="K233" s="437">
        <v>506760.58</v>
      </c>
    </row>
    <row r="234" spans="1:11" x14ac:dyDescent="0.2">
      <c r="A234" s="349" t="s">
        <v>1272</v>
      </c>
      <c r="B234" s="347" t="s">
        <v>295</v>
      </c>
      <c r="C234" s="1157"/>
      <c r="D234" s="1158"/>
      <c r="E234" s="436">
        <v>11</v>
      </c>
      <c r="F234" s="178" t="s">
        <v>2689</v>
      </c>
      <c r="G234" s="602"/>
      <c r="H234" s="441">
        <v>38.1</v>
      </c>
      <c r="I234" s="1159"/>
      <c r="J234" s="415">
        <v>67860.180505415163</v>
      </c>
      <c r="K234" s="437">
        <v>502801.51</v>
      </c>
    </row>
    <row r="235" spans="1:11" x14ac:dyDescent="0.2">
      <c r="A235" s="349" t="s">
        <v>1273</v>
      </c>
      <c r="B235" s="347" t="s">
        <v>295</v>
      </c>
      <c r="C235" s="1157"/>
      <c r="D235" s="1158"/>
      <c r="E235" s="436">
        <v>12</v>
      </c>
      <c r="F235" s="178" t="s">
        <v>2684</v>
      </c>
      <c r="G235" s="602"/>
      <c r="H235" s="441">
        <v>35.9</v>
      </c>
      <c r="I235" s="1159"/>
      <c r="J235" s="415">
        <v>63941.744885679902</v>
      </c>
      <c r="K235" s="437">
        <v>473768.35</v>
      </c>
    </row>
    <row r="236" spans="1:11" x14ac:dyDescent="0.2">
      <c r="A236" s="349" t="s">
        <v>1274</v>
      </c>
      <c r="B236" s="347" t="s">
        <v>295</v>
      </c>
      <c r="C236" s="1157"/>
      <c r="D236" s="1158"/>
      <c r="E236" s="436">
        <v>15</v>
      </c>
      <c r="F236" s="178" t="s">
        <v>9971</v>
      </c>
      <c r="G236" s="602"/>
      <c r="H236" s="441">
        <v>38.6</v>
      </c>
      <c r="I236" s="1159"/>
      <c r="J236" s="415">
        <v>68750.734055355002</v>
      </c>
      <c r="K236" s="437">
        <v>509399.95</v>
      </c>
    </row>
    <row r="237" spans="1:11" x14ac:dyDescent="0.2">
      <c r="A237" s="349" t="s">
        <v>1275</v>
      </c>
      <c r="B237" s="347" t="s">
        <v>295</v>
      </c>
      <c r="C237" s="1157"/>
      <c r="D237" s="1158"/>
      <c r="E237" s="436">
        <v>17</v>
      </c>
      <c r="F237" s="178" t="s">
        <v>9972</v>
      </c>
      <c r="G237" s="602"/>
      <c r="H237" s="441">
        <v>17.8</v>
      </c>
      <c r="I237" s="1159"/>
      <c r="J237" s="415">
        <v>61626.305655836346</v>
      </c>
      <c r="K237" s="437">
        <v>234904.64</v>
      </c>
    </row>
    <row r="238" spans="1:11" x14ac:dyDescent="0.2">
      <c r="A238" s="349" t="s">
        <v>1277</v>
      </c>
      <c r="B238" s="347" t="s">
        <v>295</v>
      </c>
      <c r="C238" s="1157"/>
      <c r="D238" s="1158"/>
      <c r="E238" s="436">
        <v>18</v>
      </c>
      <c r="F238" s="178" t="s">
        <v>9973</v>
      </c>
      <c r="G238" s="602"/>
      <c r="H238" s="441">
        <v>32.5</v>
      </c>
      <c r="I238" s="1159"/>
      <c r="J238" s="415">
        <v>57885.980746089052</v>
      </c>
      <c r="K238" s="437">
        <v>428898.92</v>
      </c>
    </row>
    <row r="239" spans="1:11" x14ac:dyDescent="0.2">
      <c r="A239" s="349" t="s">
        <v>1278</v>
      </c>
      <c r="B239" s="347" t="s">
        <v>295</v>
      </c>
      <c r="C239" s="1157"/>
      <c r="D239" s="1158"/>
      <c r="E239" s="436">
        <v>19</v>
      </c>
      <c r="F239" s="178" t="s">
        <v>2685</v>
      </c>
      <c r="G239" s="602"/>
      <c r="H239" s="441">
        <v>17.2</v>
      </c>
      <c r="I239" s="1159"/>
      <c r="J239" s="415">
        <v>30635.042117930203</v>
      </c>
      <c r="K239" s="437">
        <v>226986.51</v>
      </c>
    </row>
    <row r="240" spans="1:11" x14ac:dyDescent="0.2">
      <c r="A240" s="349" t="s">
        <v>1279</v>
      </c>
      <c r="B240" s="347" t="s">
        <v>295</v>
      </c>
      <c r="C240" s="1157"/>
      <c r="D240" s="1158"/>
      <c r="E240" s="436">
        <v>20</v>
      </c>
      <c r="F240" s="178" t="s">
        <v>9974</v>
      </c>
      <c r="G240" s="602"/>
      <c r="H240" s="441">
        <v>17.8</v>
      </c>
      <c r="I240" s="1159"/>
      <c r="J240" s="415">
        <v>60379.530685920574</v>
      </c>
      <c r="K240" s="437">
        <v>234904.64</v>
      </c>
    </row>
    <row r="241" spans="1:11" ht="12.75" customHeight="1" x14ac:dyDescent="0.2">
      <c r="A241" s="349" t="s">
        <v>1280</v>
      </c>
      <c r="B241" s="347" t="s">
        <v>295</v>
      </c>
      <c r="C241" s="1157"/>
      <c r="D241" s="1158"/>
      <c r="E241" s="436">
        <v>22</v>
      </c>
      <c r="F241" s="178" t="s">
        <v>2687</v>
      </c>
      <c r="G241" s="602"/>
      <c r="H241" s="441">
        <v>17.5</v>
      </c>
      <c r="I241" s="1159"/>
      <c r="J241" s="415">
        <v>31169.374247894106</v>
      </c>
      <c r="K241" s="437">
        <v>230945.57</v>
      </c>
    </row>
    <row r="242" spans="1:11" x14ac:dyDescent="0.2">
      <c r="A242" s="348" t="s">
        <v>647</v>
      </c>
      <c r="B242" s="347"/>
      <c r="C242" s="1157" t="s">
        <v>11026</v>
      </c>
      <c r="D242" s="1158">
        <v>9</v>
      </c>
      <c r="E242" s="436"/>
      <c r="F242" s="178"/>
      <c r="G242" s="602"/>
      <c r="H242" s="441">
        <f>75-75</f>
        <v>0</v>
      </c>
      <c r="I242" s="1159">
        <v>1962</v>
      </c>
      <c r="J242" s="415">
        <f>89216-89216</f>
        <v>0</v>
      </c>
      <c r="K242" s="437"/>
    </row>
    <row r="243" spans="1:11" x14ac:dyDescent="0.2">
      <c r="A243" s="349" t="s">
        <v>648</v>
      </c>
      <c r="B243" s="347" t="s">
        <v>295</v>
      </c>
      <c r="C243" s="1157"/>
      <c r="D243" s="1158"/>
      <c r="E243" s="436">
        <v>1</v>
      </c>
      <c r="F243" s="178" t="s">
        <v>209</v>
      </c>
      <c r="G243" s="602" t="s">
        <v>137</v>
      </c>
      <c r="H243" s="441">
        <v>38.6</v>
      </c>
      <c r="I243" s="1159"/>
      <c r="J243" s="415">
        <v>45908.266666666663</v>
      </c>
      <c r="K243" s="437">
        <v>426944.18</v>
      </c>
    </row>
    <row r="244" spans="1:11" ht="12.75" customHeight="1" x14ac:dyDescent="0.2">
      <c r="A244" s="349" t="s">
        <v>1281</v>
      </c>
      <c r="B244" s="347" t="s">
        <v>295</v>
      </c>
      <c r="C244" s="1157"/>
      <c r="D244" s="1158"/>
      <c r="E244" s="436">
        <v>2</v>
      </c>
      <c r="F244" s="178" t="s">
        <v>9975</v>
      </c>
      <c r="G244" s="602" t="s">
        <v>137</v>
      </c>
      <c r="H244" s="441">
        <v>36.299999999999997</v>
      </c>
      <c r="I244" s="1159"/>
      <c r="J244" s="415">
        <v>43172.799999999996</v>
      </c>
      <c r="K244" s="437">
        <v>401504.5</v>
      </c>
    </row>
    <row r="245" spans="1:11" ht="25.5" x14ac:dyDescent="0.2">
      <c r="A245" s="348" t="s">
        <v>649</v>
      </c>
      <c r="B245" s="347"/>
      <c r="C245" s="1147" t="s">
        <v>11027</v>
      </c>
      <c r="D245" s="1150">
        <v>10</v>
      </c>
      <c r="E245" s="436"/>
      <c r="F245" s="178" t="s">
        <v>2690</v>
      </c>
      <c r="G245" s="602" t="s">
        <v>2691</v>
      </c>
      <c r="H245" s="441">
        <f>757-757</f>
        <v>0</v>
      </c>
      <c r="I245" s="1145">
        <v>1962</v>
      </c>
      <c r="J245" s="415">
        <f>1116184-1116184</f>
        <v>0</v>
      </c>
      <c r="K245" s="437"/>
    </row>
    <row r="246" spans="1:11" x14ac:dyDescent="0.2">
      <c r="A246" s="349" t="s">
        <v>650</v>
      </c>
      <c r="B246" s="347" t="s">
        <v>295</v>
      </c>
      <c r="C246" s="1148"/>
      <c r="D246" s="1151"/>
      <c r="E246" s="436">
        <v>1</v>
      </c>
      <c r="F246" s="178" t="s">
        <v>2692</v>
      </c>
      <c r="G246" s="602"/>
      <c r="H246" s="441">
        <v>29.6</v>
      </c>
      <c r="I246" s="1153"/>
      <c r="J246" s="415">
        <v>43645.336856010566</v>
      </c>
      <c r="K246" s="437">
        <v>390627.94</v>
      </c>
    </row>
    <row r="247" spans="1:11" ht="27.75" customHeight="1" x14ac:dyDescent="0.2">
      <c r="A247" s="349" t="s">
        <v>651</v>
      </c>
      <c r="B247" s="347" t="s">
        <v>295</v>
      </c>
      <c r="C247" s="1148"/>
      <c r="D247" s="1151"/>
      <c r="E247" s="436">
        <v>2</v>
      </c>
      <c r="F247" s="178" t="s">
        <v>2693</v>
      </c>
      <c r="G247" s="602"/>
      <c r="H247" s="441">
        <v>36.299999999999997</v>
      </c>
      <c r="I247" s="1153"/>
      <c r="J247" s="415">
        <v>53524.517833553495</v>
      </c>
      <c r="K247" s="437">
        <v>479047.11</v>
      </c>
    </row>
    <row r="248" spans="1:11" x14ac:dyDescent="0.2">
      <c r="A248" s="349" t="s">
        <v>1282</v>
      </c>
      <c r="B248" s="347" t="s">
        <v>295</v>
      </c>
      <c r="C248" s="1148"/>
      <c r="D248" s="1151"/>
      <c r="E248" s="436">
        <v>5</v>
      </c>
      <c r="F248" s="178" t="s">
        <v>2697</v>
      </c>
      <c r="G248" s="602"/>
      <c r="H248" s="441">
        <v>30.6</v>
      </c>
      <c r="I248" s="1153"/>
      <c r="J248" s="415">
        <v>45119.841479524439</v>
      </c>
      <c r="K248" s="437">
        <v>403824.83</v>
      </c>
    </row>
    <row r="249" spans="1:11" x14ac:dyDescent="0.2">
      <c r="A249" s="349" t="s">
        <v>1283</v>
      </c>
      <c r="B249" s="347" t="s">
        <v>295</v>
      </c>
      <c r="C249" s="1148"/>
      <c r="D249" s="1151"/>
      <c r="E249" s="436">
        <v>8</v>
      </c>
      <c r="F249" s="178" t="s">
        <v>2694</v>
      </c>
      <c r="G249" s="602"/>
      <c r="H249" s="441">
        <v>33</v>
      </c>
      <c r="I249" s="1153"/>
      <c r="J249" s="415">
        <v>48658.652575957727</v>
      </c>
      <c r="K249" s="437">
        <v>435497.37</v>
      </c>
    </row>
    <row r="250" spans="1:11" x14ac:dyDescent="0.2">
      <c r="A250" s="349" t="s">
        <v>1284</v>
      </c>
      <c r="B250" s="347" t="s">
        <v>295</v>
      </c>
      <c r="C250" s="1148"/>
      <c r="D250" s="1151"/>
      <c r="E250" s="436">
        <v>10</v>
      </c>
      <c r="F250" s="178" t="s">
        <v>2695</v>
      </c>
      <c r="G250" s="602"/>
      <c r="H250" s="441">
        <v>34.299999999999997</v>
      </c>
      <c r="I250" s="1153"/>
      <c r="J250" s="415">
        <v>50575.50858652575</v>
      </c>
      <c r="K250" s="437">
        <v>452653.33</v>
      </c>
    </row>
    <row r="251" spans="1:11" x14ac:dyDescent="0.2">
      <c r="A251" s="349" t="s">
        <v>1285</v>
      </c>
      <c r="B251" s="347" t="s">
        <v>295</v>
      </c>
      <c r="C251" s="1148"/>
      <c r="D251" s="1151"/>
      <c r="E251" s="436">
        <v>12</v>
      </c>
      <c r="F251" s="178" t="s">
        <v>9976</v>
      </c>
      <c r="G251" s="602"/>
      <c r="H251" s="441">
        <v>33.6</v>
      </c>
      <c r="I251" s="1153"/>
      <c r="J251" s="415">
        <v>49543.355350066049</v>
      </c>
      <c r="K251" s="437">
        <v>443415.5</v>
      </c>
    </row>
    <row r="252" spans="1:11" x14ac:dyDescent="0.2">
      <c r="A252" s="349" t="s">
        <v>1286</v>
      </c>
      <c r="B252" s="347" t="s">
        <v>295</v>
      </c>
      <c r="C252" s="1148"/>
      <c r="D252" s="1151"/>
      <c r="E252" s="436">
        <v>13</v>
      </c>
      <c r="F252" s="178" t="s">
        <v>2696</v>
      </c>
      <c r="G252" s="602"/>
      <c r="H252" s="441">
        <v>31.6</v>
      </c>
      <c r="I252" s="1153"/>
      <c r="J252" s="415">
        <v>49985.706737120207</v>
      </c>
      <c r="K252" s="437">
        <v>417021.72</v>
      </c>
    </row>
    <row r="253" spans="1:11" x14ac:dyDescent="0.2">
      <c r="A253" s="349" t="s">
        <v>1287</v>
      </c>
      <c r="B253" s="347" t="s">
        <v>295</v>
      </c>
      <c r="C253" s="1148"/>
      <c r="D253" s="1151"/>
      <c r="E253" s="436">
        <v>15</v>
      </c>
      <c r="F253" s="178" t="s">
        <v>2698</v>
      </c>
      <c r="G253" s="602"/>
      <c r="H253" s="441">
        <v>35.299999999999997</v>
      </c>
      <c r="I253" s="1153"/>
      <c r="J253" s="415">
        <v>52050.013210039622</v>
      </c>
      <c r="K253" s="437">
        <v>465850.22</v>
      </c>
    </row>
    <row r="254" spans="1:11" x14ac:dyDescent="0.2">
      <c r="A254" s="349" t="s">
        <v>1288</v>
      </c>
      <c r="B254" s="347" t="s">
        <v>295</v>
      </c>
      <c r="C254" s="1148"/>
      <c r="D254" s="1151"/>
      <c r="E254" s="436">
        <v>20</v>
      </c>
      <c r="F254" s="178" t="s">
        <v>2699</v>
      </c>
      <c r="G254" s="602"/>
      <c r="H254" s="441">
        <v>14.4</v>
      </c>
      <c r="I254" s="1153"/>
      <c r="J254" s="415">
        <v>42908.08454425363</v>
      </c>
      <c r="K254" s="437">
        <v>190035.22</v>
      </c>
    </row>
    <row r="255" spans="1:11" ht="12.75" customHeight="1" x14ac:dyDescent="0.2">
      <c r="A255" s="405" t="s">
        <v>10265</v>
      </c>
      <c r="B255" s="347" t="s">
        <v>295</v>
      </c>
      <c r="C255" s="1148"/>
      <c r="D255" s="1151"/>
      <c r="E255" s="436">
        <v>18</v>
      </c>
      <c r="F255" s="178" t="s">
        <v>10266</v>
      </c>
      <c r="G255" s="602" t="s">
        <v>137</v>
      </c>
      <c r="H255" s="441">
        <v>28.6</v>
      </c>
      <c r="I255" s="1153"/>
      <c r="J255" s="415">
        <f>1116184/757*H255</f>
        <v>42170.227741083232</v>
      </c>
      <c r="K255" s="437">
        <v>377431.05</v>
      </c>
    </row>
    <row r="256" spans="1:11" x14ac:dyDescent="0.2">
      <c r="A256" s="405" t="s">
        <v>10267</v>
      </c>
      <c r="B256" s="347" t="s">
        <v>295</v>
      </c>
      <c r="C256" s="1148"/>
      <c r="D256" s="1151"/>
      <c r="E256" s="436">
        <v>7</v>
      </c>
      <c r="F256" s="178" t="s">
        <v>10268</v>
      </c>
      <c r="G256" s="602" t="s">
        <v>137</v>
      </c>
      <c r="H256" s="415">
        <v>35.5</v>
      </c>
      <c r="I256" s="1153"/>
      <c r="J256" s="415">
        <v>11614</v>
      </c>
      <c r="K256" s="437">
        <v>468489.59</v>
      </c>
    </row>
    <row r="257" spans="1:11" x14ac:dyDescent="0.2">
      <c r="A257" s="868" t="s">
        <v>14325</v>
      </c>
      <c r="B257" s="833" t="s">
        <v>295</v>
      </c>
      <c r="C257" s="1149"/>
      <c r="D257" s="1152"/>
      <c r="E257" s="436">
        <v>11</v>
      </c>
      <c r="F257" s="178" t="s">
        <v>14326</v>
      </c>
      <c r="G257" s="615" t="s">
        <v>137</v>
      </c>
      <c r="H257" s="837">
        <v>34.5</v>
      </c>
      <c r="I257" s="1146"/>
      <c r="J257" s="837">
        <v>2776620</v>
      </c>
      <c r="K257" s="437">
        <v>455292.7</v>
      </c>
    </row>
    <row r="258" spans="1:11" ht="25.5" x14ac:dyDescent="0.2">
      <c r="A258" s="348" t="s">
        <v>652</v>
      </c>
      <c r="B258" s="347" t="s">
        <v>295</v>
      </c>
      <c r="C258" s="405" t="s">
        <v>11028</v>
      </c>
      <c r="D258" s="537">
        <v>11</v>
      </c>
      <c r="E258" s="436">
        <v>2</v>
      </c>
      <c r="F258" s="178" t="s">
        <v>210</v>
      </c>
      <c r="G258" s="602" t="s">
        <v>137</v>
      </c>
      <c r="H258" s="441">
        <f>87-48.7</f>
        <v>38.299999999999997</v>
      </c>
      <c r="I258" s="536">
        <v>1962</v>
      </c>
      <c r="J258" s="415">
        <f>95448/87*38.3</f>
        <v>42019.062068965512</v>
      </c>
      <c r="K258" s="437">
        <v>423625.96</v>
      </c>
    </row>
    <row r="259" spans="1:11" ht="12.75" customHeight="1" x14ac:dyDescent="0.2">
      <c r="A259" s="348" t="s">
        <v>653</v>
      </c>
      <c r="B259" s="347"/>
      <c r="C259" s="1157" t="s">
        <v>11029</v>
      </c>
      <c r="D259" s="1158">
        <v>13</v>
      </c>
      <c r="E259" s="436"/>
      <c r="F259" s="178"/>
      <c r="G259" s="602"/>
      <c r="H259" s="441">
        <f>75-75</f>
        <v>0</v>
      </c>
      <c r="I259" s="1159">
        <v>1962</v>
      </c>
      <c r="J259" s="415">
        <f>92004-92004</f>
        <v>0</v>
      </c>
      <c r="K259" s="437"/>
    </row>
    <row r="260" spans="1:11" x14ac:dyDescent="0.2">
      <c r="A260" s="349" t="s">
        <v>1289</v>
      </c>
      <c r="B260" s="347" t="s">
        <v>295</v>
      </c>
      <c r="C260" s="1157"/>
      <c r="D260" s="1158"/>
      <c r="E260" s="436">
        <v>1</v>
      </c>
      <c r="F260" s="178" t="s">
        <v>208</v>
      </c>
      <c r="G260" s="602" t="s">
        <v>137</v>
      </c>
      <c r="H260" s="441">
        <v>36.700000000000003</v>
      </c>
      <c r="I260" s="1159"/>
      <c r="J260" s="415">
        <v>45018.666666666672</v>
      </c>
      <c r="K260" s="437">
        <v>405928.79</v>
      </c>
    </row>
    <row r="261" spans="1:11" ht="24.75" customHeight="1" x14ac:dyDescent="0.2">
      <c r="A261" s="348" t="s">
        <v>654</v>
      </c>
      <c r="B261" s="347" t="s">
        <v>9967</v>
      </c>
      <c r="C261" s="405" t="s">
        <v>11030</v>
      </c>
      <c r="D261" s="537">
        <v>15</v>
      </c>
      <c r="E261" s="436">
        <v>1</v>
      </c>
      <c r="F261" s="178" t="s">
        <v>11031</v>
      </c>
      <c r="G261" s="602"/>
      <c r="H261" s="441">
        <v>75.3</v>
      </c>
      <c r="I261" s="536">
        <v>1962</v>
      </c>
      <c r="J261" s="415">
        <v>91700</v>
      </c>
      <c r="K261" s="437">
        <v>780348.21</v>
      </c>
    </row>
    <row r="262" spans="1:11" ht="12.75" customHeight="1" x14ac:dyDescent="0.2">
      <c r="A262" s="348" t="s">
        <v>655</v>
      </c>
      <c r="B262" s="347"/>
      <c r="C262" s="1157" t="s">
        <v>11032</v>
      </c>
      <c r="D262" s="1158">
        <v>17</v>
      </c>
      <c r="E262" s="436"/>
      <c r="F262" s="178"/>
      <c r="G262" s="602"/>
      <c r="H262" s="441">
        <f>84-84</f>
        <v>0</v>
      </c>
      <c r="I262" s="1159">
        <v>1962</v>
      </c>
      <c r="J262" s="415">
        <f>92004-92004</f>
        <v>0</v>
      </c>
      <c r="K262" s="437"/>
    </row>
    <row r="263" spans="1:11" ht="23.25" customHeight="1" x14ac:dyDescent="0.2">
      <c r="A263" s="349" t="s">
        <v>1290</v>
      </c>
      <c r="B263" s="347" t="s">
        <v>295</v>
      </c>
      <c r="C263" s="1157"/>
      <c r="D263" s="1158"/>
      <c r="E263" s="436">
        <v>1</v>
      </c>
      <c r="F263" s="178" t="s">
        <v>206</v>
      </c>
      <c r="G263" s="602" t="s">
        <v>137</v>
      </c>
      <c r="H263" s="441">
        <v>38.299999999999997</v>
      </c>
      <c r="I263" s="1159"/>
      <c r="J263" s="415">
        <v>41947.619047619046</v>
      </c>
      <c r="K263" s="437">
        <v>423625.96</v>
      </c>
    </row>
    <row r="264" spans="1:11" ht="12.75" customHeight="1" x14ac:dyDescent="0.2">
      <c r="A264" s="349" t="s">
        <v>1291</v>
      </c>
      <c r="B264" s="347" t="s">
        <v>295</v>
      </c>
      <c r="C264" s="1157"/>
      <c r="D264" s="1158"/>
      <c r="E264" s="436">
        <v>2</v>
      </c>
      <c r="F264" s="178" t="s">
        <v>207</v>
      </c>
      <c r="G264" s="602" t="s">
        <v>137</v>
      </c>
      <c r="H264" s="441">
        <v>46.1</v>
      </c>
      <c r="I264" s="1159"/>
      <c r="J264" s="415">
        <v>50490.476190476191</v>
      </c>
      <c r="K264" s="437">
        <v>495663.97</v>
      </c>
    </row>
    <row r="265" spans="1:11" x14ac:dyDescent="0.2">
      <c r="A265" s="348" t="s">
        <v>656</v>
      </c>
      <c r="B265" s="347"/>
      <c r="C265" s="1157" t="s">
        <v>11033</v>
      </c>
      <c r="D265" s="1158">
        <v>15</v>
      </c>
      <c r="E265" s="436"/>
      <c r="F265" s="178"/>
      <c r="G265" s="602"/>
      <c r="H265" s="441">
        <f>394-394</f>
        <v>0</v>
      </c>
      <c r="I265" s="1159">
        <v>1982</v>
      </c>
      <c r="J265" s="415">
        <f>265680-265680</f>
        <v>0</v>
      </c>
      <c r="K265" s="437"/>
    </row>
    <row r="266" spans="1:11" x14ac:dyDescent="0.2">
      <c r="A266" s="349" t="s">
        <v>657</v>
      </c>
      <c r="B266" s="347" t="s">
        <v>295</v>
      </c>
      <c r="C266" s="1157"/>
      <c r="D266" s="1158"/>
      <c r="E266" s="436">
        <v>1</v>
      </c>
      <c r="F266" s="178" t="s">
        <v>212</v>
      </c>
      <c r="G266" s="602"/>
      <c r="H266" s="441">
        <v>17.7</v>
      </c>
      <c r="I266" s="1159"/>
      <c r="J266" s="415">
        <v>11936.269035532996</v>
      </c>
      <c r="K266" s="437">
        <v>250720.85</v>
      </c>
    </row>
    <row r="267" spans="1:11" ht="12.75" customHeight="1" x14ac:dyDescent="0.2">
      <c r="A267" s="349" t="s">
        <v>658</v>
      </c>
      <c r="B267" s="347" t="s">
        <v>295</v>
      </c>
      <c r="C267" s="1157"/>
      <c r="D267" s="1158"/>
      <c r="E267" s="436">
        <v>2</v>
      </c>
      <c r="F267" s="178" t="s">
        <v>9977</v>
      </c>
      <c r="G267" s="602"/>
      <c r="H267" s="441">
        <v>16.399999999999999</v>
      </c>
      <c r="I267" s="1159"/>
      <c r="J267" s="415">
        <v>11059.593908629442</v>
      </c>
      <c r="K267" s="437">
        <v>232306.33</v>
      </c>
    </row>
    <row r="268" spans="1:11" x14ac:dyDescent="0.2">
      <c r="A268" s="349" t="s">
        <v>1292</v>
      </c>
      <c r="B268" s="347" t="s">
        <v>295</v>
      </c>
      <c r="C268" s="1157"/>
      <c r="D268" s="1158"/>
      <c r="E268" s="436">
        <v>3</v>
      </c>
      <c r="F268" s="178" t="s">
        <v>9978</v>
      </c>
      <c r="G268" s="602"/>
      <c r="H268" s="441">
        <v>21.4</v>
      </c>
      <c r="I268" s="1159"/>
      <c r="J268" s="415">
        <v>14431.421319796955</v>
      </c>
      <c r="K268" s="437">
        <v>303131.43</v>
      </c>
    </row>
    <row r="269" spans="1:11" x14ac:dyDescent="0.2">
      <c r="A269" s="349" t="s">
        <v>1293</v>
      </c>
      <c r="B269" s="347" t="s">
        <v>295</v>
      </c>
      <c r="C269" s="1157"/>
      <c r="D269" s="1158"/>
      <c r="E269" s="436">
        <v>4</v>
      </c>
      <c r="F269" s="178" t="s">
        <v>213</v>
      </c>
      <c r="G269" s="602"/>
      <c r="H269" s="441">
        <v>43</v>
      </c>
      <c r="I269" s="1159"/>
      <c r="J269" s="415">
        <v>28997.715736040609</v>
      </c>
      <c r="K269" s="437">
        <v>592091.07999999996</v>
      </c>
    </row>
    <row r="270" spans="1:11" x14ac:dyDescent="0.2">
      <c r="A270" s="349" t="s">
        <v>1294</v>
      </c>
      <c r="B270" s="347" t="s">
        <v>295</v>
      </c>
      <c r="C270" s="1157"/>
      <c r="D270" s="1158"/>
      <c r="E270" s="436">
        <v>5</v>
      </c>
      <c r="F270" s="178" t="s">
        <v>9979</v>
      </c>
      <c r="G270" s="608"/>
      <c r="H270" s="441">
        <v>18.2</v>
      </c>
      <c r="I270" s="1159"/>
      <c r="J270" s="415">
        <v>12273.451776649747</v>
      </c>
      <c r="K270" s="437">
        <v>257803.36</v>
      </c>
    </row>
    <row r="271" spans="1:11" x14ac:dyDescent="0.2">
      <c r="A271" s="349" t="s">
        <v>1295</v>
      </c>
      <c r="B271" s="347" t="s">
        <v>295</v>
      </c>
      <c r="C271" s="1157"/>
      <c r="D271" s="1158"/>
      <c r="E271" s="436">
        <v>6</v>
      </c>
      <c r="F271" s="178" t="s">
        <v>9980</v>
      </c>
      <c r="G271" s="602"/>
      <c r="H271" s="441">
        <v>18.399999999999999</v>
      </c>
      <c r="I271" s="1159"/>
      <c r="J271" s="415">
        <v>12408.324873096446</v>
      </c>
      <c r="K271" s="437">
        <v>260636.37</v>
      </c>
    </row>
    <row r="272" spans="1:11" x14ac:dyDescent="0.2">
      <c r="A272" s="349" t="s">
        <v>1296</v>
      </c>
      <c r="B272" s="347" t="s">
        <v>295</v>
      </c>
      <c r="C272" s="1157"/>
      <c r="D272" s="1158"/>
      <c r="E272" s="436">
        <v>7</v>
      </c>
      <c r="F272" s="178" t="s">
        <v>9981</v>
      </c>
      <c r="G272" s="602"/>
      <c r="H272" s="441">
        <v>23</v>
      </c>
      <c r="I272" s="1159"/>
      <c r="J272" s="415">
        <v>15510.40609137056</v>
      </c>
      <c r="K272" s="437">
        <v>325795.46000000002</v>
      </c>
    </row>
    <row r="273" spans="1:11" x14ac:dyDescent="0.2">
      <c r="A273" s="349" t="s">
        <v>1297</v>
      </c>
      <c r="B273" s="347" t="s">
        <v>295</v>
      </c>
      <c r="C273" s="1157"/>
      <c r="D273" s="1158"/>
      <c r="E273" s="436">
        <v>8</v>
      </c>
      <c r="F273" s="178" t="s">
        <v>9982</v>
      </c>
      <c r="G273" s="602"/>
      <c r="H273" s="441">
        <v>44.2</v>
      </c>
      <c r="I273" s="1159"/>
      <c r="J273" s="415">
        <v>29806.954314720817</v>
      </c>
      <c r="K273" s="437">
        <v>608614.55000000005</v>
      </c>
    </row>
    <row r="274" spans="1:11" x14ac:dyDescent="0.2">
      <c r="A274" s="349" t="s">
        <v>1298</v>
      </c>
      <c r="B274" s="347" t="s">
        <v>295</v>
      </c>
      <c r="C274" s="1157"/>
      <c r="D274" s="1158"/>
      <c r="E274" s="436">
        <v>9</v>
      </c>
      <c r="F274" s="178" t="s">
        <v>9983</v>
      </c>
      <c r="G274" s="602"/>
      <c r="H274" s="441">
        <v>18.2</v>
      </c>
      <c r="I274" s="1159"/>
      <c r="J274" s="415">
        <v>12273.451776649747</v>
      </c>
      <c r="K274" s="437">
        <v>257803.26</v>
      </c>
    </row>
    <row r="275" spans="1:11" x14ac:dyDescent="0.2">
      <c r="A275" s="349" t="s">
        <v>1299</v>
      </c>
      <c r="B275" s="347" t="s">
        <v>295</v>
      </c>
      <c r="C275" s="1157"/>
      <c r="D275" s="1158"/>
      <c r="E275" s="436">
        <v>10</v>
      </c>
      <c r="F275" s="178" t="s">
        <v>9984</v>
      </c>
      <c r="G275" s="602"/>
      <c r="H275" s="441">
        <v>18.3</v>
      </c>
      <c r="I275" s="1159"/>
      <c r="J275" s="415">
        <v>12340.888324873098</v>
      </c>
      <c r="K275" s="437">
        <v>259219.87</v>
      </c>
    </row>
    <row r="276" spans="1:11" ht="12.75" customHeight="1" x14ac:dyDescent="0.2">
      <c r="A276" s="349" t="s">
        <v>1300</v>
      </c>
      <c r="B276" s="347" t="s">
        <v>295</v>
      </c>
      <c r="C276" s="1157"/>
      <c r="D276" s="1158"/>
      <c r="E276" s="436">
        <v>11</v>
      </c>
      <c r="F276" s="178" t="s">
        <v>214</v>
      </c>
      <c r="G276" s="602"/>
      <c r="H276" s="441">
        <v>21.5</v>
      </c>
      <c r="I276" s="1159"/>
      <c r="J276" s="415">
        <v>14498.857868020305</v>
      </c>
      <c r="K276" s="437">
        <v>304547.93</v>
      </c>
    </row>
    <row r="277" spans="1:11" x14ac:dyDescent="0.2">
      <c r="A277" s="349" t="s">
        <v>1301</v>
      </c>
      <c r="B277" s="347" t="s">
        <v>295</v>
      </c>
      <c r="C277" s="1157"/>
      <c r="D277" s="1158"/>
      <c r="E277" s="436">
        <v>12</v>
      </c>
      <c r="F277" s="178" t="s">
        <v>9985</v>
      </c>
      <c r="G277" s="602"/>
      <c r="H277" s="441">
        <v>26.2</v>
      </c>
      <c r="I277" s="1159"/>
      <c r="J277" s="415">
        <v>17668.375634517768</v>
      </c>
      <c r="K277" s="437">
        <v>371123.52</v>
      </c>
    </row>
    <row r="278" spans="1:11" x14ac:dyDescent="0.2">
      <c r="A278" s="349" t="s">
        <v>1302</v>
      </c>
      <c r="B278" s="347" t="s">
        <v>295</v>
      </c>
      <c r="C278" s="1157"/>
      <c r="D278" s="1158"/>
      <c r="E278" s="436">
        <v>13</v>
      </c>
      <c r="F278" s="178" t="s">
        <v>9986</v>
      </c>
      <c r="G278" s="602"/>
      <c r="H278" s="441">
        <v>18</v>
      </c>
      <c r="I278" s="1159"/>
      <c r="J278" s="415">
        <v>12138.578680203047</v>
      </c>
      <c r="K278" s="437">
        <v>254970.36</v>
      </c>
    </row>
    <row r="279" spans="1:11" ht="12.75" customHeight="1" x14ac:dyDescent="0.2">
      <c r="A279" s="348" t="s">
        <v>659</v>
      </c>
      <c r="B279" s="347"/>
      <c r="C279" s="1157" t="s">
        <v>11034</v>
      </c>
      <c r="D279" s="1158">
        <v>1</v>
      </c>
      <c r="E279" s="436"/>
      <c r="F279" s="178"/>
      <c r="G279" s="602"/>
      <c r="H279" s="441">
        <f>88.3-88.3</f>
        <v>0</v>
      </c>
      <c r="I279" s="1159">
        <v>1967</v>
      </c>
      <c r="J279" s="415">
        <f>140200-140200</f>
        <v>0</v>
      </c>
      <c r="K279" s="437"/>
    </row>
    <row r="280" spans="1:11" x14ac:dyDescent="0.2">
      <c r="A280" s="349" t="s">
        <v>660</v>
      </c>
      <c r="B280" s="347" t="s">
        <v>295</v>
      </c>
      <c r="C280" s="1157"/>
      <c r="D280" s="1158"/>
      <c r="E280" s="436">
        <v>1</v>
      </c>
      <c r="F280" s="178" t="s">
        <v>215</v>
      </c>
      <c r="G280" s="602" t="s">
        <v>137</v>
      </c>
      <c r="H280" s="441">
        <v>48.4</v>
      </c>
      <c r="I280" s="1159"/>
      <c r="J280" s="437">
        <v>76848.02</v>
      </c>
      <c r="K280" s="437">
        <v>501578.4</v>
      </c>
    </row>
    <row r="281" spans="1:11" ht="12.75" customHeight="1" x14ac:dyDescent="0.2">
      <c r="A281" s="349" t="s">
        <v>661</v>
      </c>
      <c r="B281" s="347" t="s">
        <v>295</v>
      </c>
      <c r="C281" s="1157"/>
      <c r="D281" s="1158"/>
      <c r="E281" s="436">
        <v>2</v>
      </c>
      <c r="F281" s="178" t="s">
        <v>216</v>
      </c>
      <c r="G281" s="602" t="s">
        <v>137</v>
      </c>
      <c r="H281" s="441">
        <v>39.9</v>
      </c>
      <c r="I281" s="1159"/>
      <c r="J281" s="437">
        <v>63551.98</v>
      </c>
      <c r="K281" s="437">
        <v>413491.28</v>
      </c>
    </row>
    <row r="282" spans="1:11" x14ac:dyDescent="0.2">
      <c r="A282" s="348" t="s">
        <v>662</v>
      </c>
      <c r="B282" s="347"/>
      <c r="C282" s="1157" t="s">
        <v>11035</v>
      </c>
      <c r="D282" s="1158" t="s">
        <v>384</v>
      </c>
      <c r="E282" s="436"/>
      <c r="F282" s="178"/>
      <c r="G282" s="602"/>
      <c r="H282" s="441">
        <f>776-776</f>
        <v>0</v>
      </c>
      <c r="I282" s="1159">
        <v>1971</v>
      </c>
      <c r="J282" s="415">
        <f>2168736-2168736</f>
        <v>0</v>
      </c>
      <c r="K282" s="437"/>
    </row>
    <row r="283" spans="1:11" ht="12.75" customHeight="1" x14ac:dyDescent="0.2">
      <c r="A283" s="349" t="s">
        <v>1303</v>
      </c>
      <c r="B283" s="347" t="s">
        <v>295</v>
      </c>
      <c r="C283" s="1157"/>
      <c r="D283" s="1158"/>
      <c r="E283" s="436">
        <v>4</v>
      </c>
      <c r="F283" s="178"/>
      <c r="G283" s="602"/>
      <c r="H283" s="441">
        <v>40.700000000000003</v>
      </c>
      <c r="I283" s="1159"/>
      <c r="J283" s="415">
        <v>113744.9613402062</v>
      </c>
      <c r="K283" s="437"/>
    </row>
    <row r="284" spans="1:11" x14ac:dyDescent="0.2">
      <c r="A284" s="349" t="s">
        <v>1304</v>
      </c>
      <c r="B284" s="347" t="s">
        <v>295</v>
      </c>
      <c r="C284" s="1157"/>
      <c r="D284" s="1158"/>
      <c r="E284" s="436">
        <v>7</v>
      </c>
      <c r="F284" s="178"/>
      <c r="G284" s="602"/>
      <c r="H284" s="441">
        <v>40.299999999999997</v>
      </c>
      <c r="I284" s="1159"/>
      <c r="J284" s="415">
        <v>112627.07474226804</v>
      </c>
      <c r="K284" s="437"/>
    </row>
    <row r="285" spans="1:11" x14ac:dyDescent="0.2">
      <c r="A285" s="349" t="s">
        <v>1305</v>
      </c>
      <c r="B285" s="347" t="s">
        <v>295</v>
      </c>
      <c r="C285" s="1157"/>
      <c r="D285" s="1158"/>
      <c r="E285" s="436">
        <v>15</v>
      </c>
      <c r="F285" s="178"/>
      <c r="G285" s="602"/>
      <c r="H285" s="441">
        <v>28.6</v>
      </c>
      <c r="I285" s="1159"/>
      <c r="J285" s="415">
        <v>79928.891752577329</v>
      </c>
      <c r="K285" s="437"/>
    </row>
    <row r="286" spans="1:11" x14ac:dyDescent="0.2">
      <c r="A286" s="348" t="s">
        <v>663</v>
      </c>
      <c r="B286" s="347"/>
      <c r="C286" s="1157" t="s">
        <v>11036</v>
      </c>
      <c r="D286" s="1158">
        <v>7</v>
      </c>
      <c r="E286" s="436"/>
      <c r="F286" s="178"/>
      <c r="G286" s="602"/>
      <c r="H286" s="441">
        <f>145.4-145.4</f>
        <v>0</v>
      </c>
      <c r="I286" s="1159">
        <v>1969</v>
      </c>
      <c r="J286" s="415">
        <f>302252-302252</f>
        <v>0</v>
      </c>
      <c r="K286" s="437"/>
    </row>
    <row r="287" spans="1:11" ht="12.75" customHeight="1" x14ac:dyDescent="0.2">
      <c r="A287" s="349" t="s">
        <v>664</v>
      </c>
      <c r="B287" s="347" t="s">
        <v>295</v>
      </c>
      <c r="C287" s="1157"/>
      <c r="D287" s="1158"/>
      <c r="E287" s="436">
        <v>4</v>
      </c>
      <c r="F287" s="178"/>
      <c r="G287" s="602" t="s">
        <v>137</v>
      </c>
      <c r="H287" s="441">
        <v>27.3</v>
      </c>
      <c r="I287" s="1159"/>
      <c r="J287" s="415">
        <v>56759.215955983491</v>
      </c>
      <c r="K287" s="437"/>
    </row>
    <row r="288" spans="1:11" ht="25.5" customHeight="1" x14ac:dyDescent="0.2">
      <c r="A288" s="348" t="s">
        <v>665</v>
      </c>
      <c r="B288" s="347" t="s">
        <v>9967</v>
      </c>
      <c r="C288" s="405" t="s">
        <v>11037</v>
      </c>
      <c r="D288" s="537">
        <v>18</v>
      </c>
      <c r="E288" s="436"/>
      <c r="F288" s="178" t="s">
        <v>185</v>
      </c>
      <c r="G288" s="602" t="s">
        <v>186</v>
      </c>
      <c r="H288" s="441">
        <v>65.599999999999994</v>
      </c>
      <c r="I288" s="536">
        <v>1984</v>
      </c>
      <c r="J288" s="415">
        <v>258500</v>
      </c>
      <c r="K288" s="437">
        <v>727141.23</v>
      </c>
    </row>
    <row r="289" spans="1:11" ht="25.5" x14ac:dyDescent="0.2">
      <c r="A289" s="348" t="s">
        <v>666</v>
      </c>
      <c r="B289" s="347"/>
      <c r="C289" s="1157" t="s">
        <v>11038</v>
      </c>
      <c r="D289" s="1158">
        <v>1</v>
      </c>
      <c r="E289" s="436"/>
      <c r="F289" s="178" t="s">
        <v>2927</v>
      </c>
      <c r="G289" s="602" t="s">
        <v>2928</v>
      </c>
      <c r="H289" s="441">
        <f>190.7-190.7</f>
        <v>0</v>
      </c>
      <c r="I289" s="1159">
        <v>1940</v>
      </c>
      <c r="J289" s="415">
        <f>363900-363900</f>
        <v>0</v>
      </c>
      <c r="K289" s="437">
        <v>1638736.59</v>
      </c>
    </row>
    <row r="290" spans="1:11" x14ac:dyDescent="0.2">
      <c r="A290" s="349" t="s">
        <v>1306</v>
      </c>
      <c r="B290" s="347" t="s">
        <v>295</v>
      </c>
      <c r="C290" s="1157"/>
      <c r="D290" s="1158"/>
      <c r="E290" s="436">
        <v>1</v>
      </c>
      <c r="F290" s="178" t="s">
        <v>2925</v>
      </c>
      <c r="G290" s="602"/>
      <c r="H290" s="441">
        <v>50.8</v>
      </c>
      <c r="I290" s="1159"/>
      <c r="J290" s="415">
        <v>96938.227582590451</v>
      </c>
      <c r="K290" s="437">
        <v>534275.79</v>
      </c>
    </row>
    <row r="291" spans="1:11" ht="27" customHeight="1" x14ac:dyDescent="0.2">
      <c r="A291" s="349" t="s">
        <v>1307</v>
      </c>
      <c r="B291" s="347" t="s">
        <v>295</v>
      </c>
      <c r="C291" s="1157"/>
      <c r="D291" s="1158"/>
      <c r="E291" s="436">
        <v>2</v>
      </c>
      <c r="F291" s="178" t="s">
        <v>9987</v>
      </c>
      <c r="G291" s="602"/>
      <c r="H291" s="441">
        <v>40.4</v>
      </c>
      <c r="I291" s="1159"/>
      <c r="J291" s="415">
        <v>77092.606187729412</v>
      </c>
      <c r="K291" s="437">
        <v>434377.97</v>
      </c>
    </row>
    <row r="292" spans="1:11" x14ac:dyDescent="0.2">
      <c r="A292" s="349" t="s">
        <v>1308</v>
      </c>
      <c r="B292" s="347" t="s">
        <v>295</v>
      </c>
      <c r="C292" s="1157"/>
      <c r="D292" s="1158"/>
      <c r="E292" s="436">
        <v>3</v>
      </c>
      <c r="F292" s="178" t="s">
        <v>9988</v>
      </c>
      <c r="G292" s="602"/>
      <c r="H292" s="441">
        <v>29</v>
      </c>
      <c r="I292" s="1159"/>
      <c r="J292" s="415">
        <v>55338.751966439435</v>
      </c>
      <c r="K292" s="437">
        <v>320761.17</v>
      </c>
    </row>
    <row r="293" spans="1:11" ht="12.75" customHeight="1" x14ac:dyDescent="0.2">
      <c r="A293" s="349" t="s">
        <v>1309</v>
      </c>
      <c r="B293" s="347" t="s">
        <v>295</v>
      </c>
      <c r="C293" s="1157"/>
      <c r="D293" s="1158"/>
      <c r="E293" s="436">
        <v>4</v>
      </c>
      <c r="F293" s="178" t="s">
        <v>9989</v>
      </c>
      <c r="G293" s="602"/>
      <c r="H293" s="441">
        <v>42.2</v>
      </c>
      <c r="I293" s="1159"/>
      <c r="J293" s="415">
        <v>80527.425275301532</v>
      </c>
      <c r="K293" s="437">
        <v>453731.45</v>
      </c>
    </row>
    <row r="294" spans="1:11" x14ac:dyDescent="0.2">
      <c r="A294" s="349" t="s">
        <v>1310</v>
      </c>
      <c r="B294" s="347" t="s">
        <v>295</v>
      </c>
      <c r="C294" s="1157"/>
      <c r="D294" s="1158"/>
      <c r="E294" s="436">
        <v>5</v>
      </c>
      <c r="F294" s="178" t="s">
        <v>2926</v>
      </c>
      <c r="G294" s="602"/>
      <c r="H294" s="441">
        <v>28.3</v>
      </c>
      <c r="I294" s="1159"/>
      <c r="J294" s="415">
        <v>54002.988987939178</v>
      </c>
      <c r="K294" s="437">
        <v>313018.65999999997</v>
      </c>
    </row>
    <row r="295" spans="1:11" x14ac:dyDescent="0.2">
      <c r="A295" s="348" t="s">
        <v>667</v>
      </c>
      <c r="B295" s="347"/>
      <c r="C295" s="1157" t="s">
        <v>11039</v>
      </c>
      <c r="D295" s="1158">
        <v>3</v>
      </c>
      <c r="E295" s="436"/>
      <c r="F295" s="178"/>
      <c r="G295" s="602"/>
      <c r="H295" s="441">
        <f>130.6-130.6</f>
        <v>0</v>
      </c>
      <c r="I295" s="1159">
        <v>1940</v>
      </c>
      <c r="J295" s="415">
        <f>245700-245700</f>
        <v>0</v>
      </c>
      <c r="K295" s="437"/>
    </row>
    <row r="296" spans="1:11" ht="12.75" customHeight="1" x14ac:dyDescent="0.2">
      <c r="A296" s="349" t="s">
        <v>668</v>
      </c>
      <c r="B296" s="347" t="s">
        <v>295</v>
      </c>
      <c r="C296" s="1157"/>
      <c r="D296" s="1158"/>
      <c r="E296" s="436">
        <v>2</v>
      </c>
      <c r="F296" s="178" t="s">
        <v>371</v>
      </c>
      <c r="G296" s="602"/>
      <c r="H296" s="441">
        <v>33.700000000000003</v>
      </c>
      <c r="I296" s="1159"/>
      <c r="J296" s="415">
        <v>63400.382848392044</v>
      </c>
      <c r="K296" s="437">
        <v>372746.6</v>
      </c>
    </row>
    <row r="297" spans="1:11" ht="12.75" customHeight="1" x14ac:dyDescent="0.2">
      <c r="A297" s="349" t="s">
        <v>669</v>
      </c>
      <c r="B297" s="347" t="s">
        <v>295</v>
      </c>
      <c r="C297" s="1157"/>
      <c r="D297" s="1158"/>
      <c r="E297" s="436">
        <v>4</v>
      </c>
      <c r="F297" s="178" t="s">
        <v>9990</v>
      </c>
      <c r="G297" s="602"/>
      <c r="H297" s="441">
        <v>20.399999999999999</v>
      </c>
      <c r="I297" s="1159"/>
      <c r="J297" s="415">
        <v>38378.866768759566</v>
      </c>
      <c r="K297" s="437">
        <v>225638.89</v>
      </c>
    </row>
    <row r="298" spans="1:11" x14ac:dyDescent="0.2">
      <c r="A298" s="349" t="s">
        <v>670</v>
      </c>
      <c r="B298" s="347" t="s">
        <v>295</v>
      </c>
      <c r="C298" s="1157"/>
      <c r="D298" s="1158"/>
      <c r="E298" s="436">
        <v>5</v>
      </c>
      <c r="F298" s="178" t="s">
        <v>372</v>
      </c>
      <c r="G298" s="602"/>
      <c r="H298" s="441">
        <v>33.799999999999997</v>
      </c>
      <c r="I298" s="1159"/>
      <c r="J298" s="415">
        <v>63588.514548238891</v>
      </c>
      <c r="K298" s="437">
        <v>373852.67</v>
      </c>
    </row>
    <row r="299" spans="1:11" x14ac:dyDescent="0.2">
      <c r="A299" s="348" t="s">
        <v>671</v>
      </c>
      <c r="B299" s="347"/>
      <c r="C299" s="1157" t="s">
        <v>11040</v>
      </c>
      <c r="D299" s="1158">
        <v>5</v>
      </c>
      <c r="E299" s="436"/>
      <c r="F299" s="178" t="s">
        <v>2929</v>
      </c>
      <c r="G299" s="602"/>
      <c r="H299" s="441">
        <f>137.6-137.6</f>
        <v>0</v>
      </c>
      <c r="I299" s="1159">
        <v>1940</v>
      </c>
      <c r="J299" s="415">
        <f>120500-120500</f>
        <v>0</v>
      </c>
      <c r="K299" s="437"/>
    </row>
    <row r="300" spans="1:11" x14ac:dyDescent="0.2">
      <c r="A300" s="349" t="s">
        <v>672</v>
      </c>
      <c r="B300" s="347" t="s">
        <v>295</v>
      </c>
      <c r="C300" s="1157"/>
      <c r="D300" s="1158"/>
      <c r="E300" s="436">
        <v>1</v>
      </c>
      <c r="F300" s="178" t="s">
        <v>9991</v>
      </c>
      <c r="G300" s="602"/>
      <c r="H300" s="441">
        <v>40.799999999999997</v>
      </c>
      <c r="I300" s="1159"/>
      <c r="J300" s="415">
        <v>35729.651162790695</v>
      </c>
      <c r="K300" s="437">
        <v>438678.74</v>
      </c>
    </row>
    <row r="301" spans="1:11" ht="12.75" customHeight="1" x14ac:dyDescent="0.2">
      <c r="A301" s="349" t="s">
        <v>673</v>
      </c>
      <c r="B301" s="347" t="s">
        <v>295</v>
      </c>
      <c r="C301" s="1157"/>
      <c r="D301" s="1158"/>
      <c r="E301" s="436">
        <v>2</v>
      </c>
      <c r="F301" s="178" t="s">
        <v>9992</v>
      </c>
      <c r="G301" s="602"/>
      <c r="H301" s="441">
        <v>28.1</v>
      </c>
      <c r="I301" s="1159"/>
      <c r="J301" s="415">
        <v>24607.921511627908</v>
      </c>
      <c r="K301" s="437">
        <v>310806.51</v>
      </c>
    </row>
    <row r="302" spans="1:11" x14ac:dyDescent="0.2">
      <c r="A302" s="349" t="s">
        <v>674</v>
      </c>
      <c r="B302" s="347" t="s">
        <v>295</v>
      </c>
      <c r="C302" s="1157"/>
      <c r="D302" s="1158"/>
      <c r="E302" s="436">
        <v>3</v>
      </c>
      <c r="F302" s="178" t="s">
        <v>9993</v>
      </c>
      <c r="G302" s="602"/>
      <c r="H302" s="441">
        <v>38.9</v>
      </c>
      <c r="I302" s="1159"/>
      <c r="J302" s="415">
        <v>34065.770348837206</v>
      </c>
      <c r="K302" s="437">
        <v>427926.81</v>
      </c>
    </row>
    <row r="303" spans="1:11" ht="25.5" x14ac:dyDescent="0.2">
      <c r="A303" s="348" t="s">
        <v>675</v>
      </c>
      <c r="B303" s="347" t="s">
        <v>295</v>
      </c>
      <c r="C303" s="405" t="s">
        <v>11041</v>
      </c>
      <c r="D303" s="537">
        <v>15</v>
      </c>
      <c r="E303" s="436">
        <v>2</v>
      </c>
      <c r="F303" s="178" t="s">
        <v>2932</v>
      </c>
      <c r="G303" s="602" t="s">
        <v>190</v>
      </c>
      <c r="H303" s="441">
        <f>78.5-39.2</f>
        <v>39.299999999999997</v>
      </c>
      <c r="I303" s="536">
        <v>1951</v>
      </c>
      <c r="J303" s="415">
        <v>315400</v>
      </c>
      <c r="K303" s="437">
        <v>407273.37</v>
      </c>
    </row>
    <row r="304" spans="1:11" ht="25.5" customHeight="1" x14ac:dyDescent="0.2">
      <c r="A304" s="348" t="s">
        <v>676</v>
      </c>
      <c r="B304" s="347" t="s">
        <v>295</v>
      </c>
      <c r="C304" s="405" t="s">
        <v>11042</v>
      </c>
      <c r="D304" s="537">
        <v>17</v>
      </c>
      <c r="E304" s="436">
        <v>1</v>
      </c>
      <c r="F304" s="178" t="s">
        <v>2930</v>
      </c>
      <c r="G304" s="602" t="s">
        <v>190</v>
      </c>
      <c r="H304" s="441">
        <f>123-84</f>
        <v>39</v>
      </c>
      <c r="I304" s="536">
        <v>1967</v>
      </c>
      <c r="J304" s="415">
        <v>208300</v>
      </c>
      <c r="K304" s="437">
        <v>455137.41</v>
      </c>
    </row>
    <row r="305" spans="1:11" ht="25.5" x14ac:dyDescent="0.2">
      <c r="A305" s="348" t="s">
        <v>677</v>
      </c>
      <c r="B305" s="347" t="s">
        <v>295</v>
      </c>
      <c r="C305" s="405" t="s">
        <v>11043</v>
      </c>
      <c r="D305" s="537">
        <v>44</v>
      </c>
      <c r="E305" s="436">
        <v>1</v>
      </c>
      <c r="F305" s="178" t="s">
        <v>2931</v>
      </c>
      <c r="G305" s="602" t="s">
        <v>190</v>
      </c>
      <c r="H305" s="441">
        <f>144-70.3</f>
        <v>73.7</v>
      </c>
      <c r="I305" s="536">
        <v>1990</v>
      </c>
      <c r="J305" s="415">
        <v>965100</v>
      </c>
      <c r="K305" s="437">
        <v>857595.31</v>
      </c>
    </row>
    <row r="306" spans="1:11" x14ac:dyDescent="0.2">
      <c r="A306" s="351" t="s">
        <v>10674</v>
      </c>
      <c r="B306" s="347"/>
      <c r="C306" s="1157" t="s">
        <v>11044</v>
      </c>
      <c r="D306" s="1150">
        <v>68</v>
      </c>
      <c r="E306" s="436"/>
      <c r="F306" s="178" t="s">
        <v>10675</v>
      </c>
      <c r="G306" s="602" t="s">
        <v>190</v>
      </c>
      <c r="H306" s="415">
        <f>146-146</f>
        <v>0</v>
      </c>
      <c r="I306" s="1145">
        <v>1990</v>
      </c>
      <c r="J306" s="415">
        <f>894500-894500</f>
        <v>0</v>
      </c>
      <c r="K306" s="437">
        <f>1166384.9-1166384.9</f>
        <v>0</v>
      </c>
    </row>
    <row r="307" spans="1:11" x14ac:dyDescent="0.2">
      <c r="A307" s="347" t="s">
        <v>10676</v>
      </c>
      <c r="B307" s="347" t="s">
        <v>295</v>
      </c>
      <c r="C307" s="1157"/>
      <c r="D307" s="1152"/>
      <c r="E307" s="436">
        <v>3</v>
      </c>
      <c r="F307" s="178" t="s">
        <v>10677</v>
      </c>
      <c r="G307" s="602" t="s">
        <v>137</v>
      </c>
      <c r="H307" s="415">
        <v>46.1</v>
      </c>
      <c r="I307" s="1146"/>
      <c r="J307" s="415">
        <f t="shared" ref="J307" si="2">894500/146*H307</f>
        <v>282441.43835616438</v>
      </c>
      <c r="K307" s="437">
        <f>477743.06</f>
        <v>477743.06</v>
      </c>
    </row>
    <row r="308" spans="1:11" x14ac:dyDescent="0.2">
      <c r="A308" s="348" t="s">
        <v>678</v>
      </c>
      <c r="B308" s="347"/>
      <c r="C308" s="1157" t="s">
        <v>11045</v>
      </c>
      <c r="D308" s="1158">
        <v>70</v>
      </c>
      <c r="E308" s="436"/>
      <c r="F308" s="178"/>
      <c r="G308" s="602" t="s">
        <v>190</v>
      </c>
      <c r="H308" s="441">
        <f>149-149</f>
        <v>0</v>
      </c>
      <c r="I308" s="1159">
        <v>1991</v>
      </c>
      <c r="J308" s="415">
        <f>876900-876900</f>
        <v>0</v>
      </c>
      <c r="K308" s="437"/>
    </row>
    <row r="309" spans="1:11" x14ac:dyDescent="0.2">
      <c r="A309" s="349" t="s">
        <v>1311</v>
      </c>
      <c r="B309" s="347" t="s">
        <v>295</v>
      </c>
      <c r="C309" s="1157"/>
      <c r="D309" s="1158"/>
      <c r="E309" s="436">
        <v>2</v>
      </c>
      <c r="F309" s="178"/>
      <c r="G309" s="602" t="s">
        <v>190</v>
      </c>
      <c r="H309" s="441">
        <v>48.7</v>
      </c>
      <c r="I309" s="1159"/>
      <c r="J309" s="415">
        <v>286610.93959731545</v>
      </c>
      <c r="K309" s="437"/>
    </row>
    <row r="310" spans="1:11" ht="24" customHeight="1" x14ac:dyDescent="0.2">
      <c r="A310" s="348" t="s">
        <v>679</v>
      </c>
      <c r="B310" s="347" t="s">
        <v>9967</v>
      </c>
      <c r="C310" s="405" t="s">
        <v>11046</v>
      </c>
      <c r="D310" s="537">
        <v>19</v>
      </c>
      <c r="E310" s="436"/>
      <c r="F310" s="178" t="s">
        <v>9994</v>
      </c>
      <c r="G310" s="602"/>
      <c r="H310" s="441">
        <v>42.8</v>
      </c>
      <c r="I310" s="536">
        <v>1955</v>
      </c>
      <c r="J310" s="415">
        <v>91000</v>
      </c>
      <c r="K310" s="437">
        <v>460182.6</v>
      </c>
    </row>
    <row r="311" spans="1:11" x14ac:dyDescent="0.2">
      <c r="A311" s="348" t="s">
        <v>680</v>
      </c>
      <c r="B311" s="347"/>
      <c r="C311" s="1147" t="s">
        <v>11047</v>
      </c>
      <c r="D311" s="1150">
        <v>6</v>
      </c>
      <c r="E311" s="436"/>
      <c r="F311" s="178"/>
      <c r="G311" s="602"/>
      <c r="H311" s="415">
        <f>79-79</f>
        <v>0</v>
      </c>
      <c r="I311" s="1145">
        <v>1952</v>
      </c>
      <c r="J311" s="415">
        <f>140.6*1000-140600</f>
        <v>0</v>
      </c>
      <c r="K311" s="437"/>
    </row>
    <row r="312" spans="1:11" x14ac:dyDescent="0.2">
      <c r="A312" s="349" t="s">
        <v>2563</v>
      </c>
      <c r="B312" s="347" t="s">
        <v>295</v>
      </c>
      <c r="C312" s="1148"/>
      <c r="D312" s="1151"/>
      <c r="E312" s="436">
        <v>2</v>
      </c>
      <c r="F312" s="178" t="s">
        <v>231</v>
      </c>
      <c r="G312" s="602"/>
      <c r="H312" s="415">
        <f>79-39.2</f>
        <v>39.799999999999997</v>
      </c>
      <c r="I312" s="1153"/>
      <c r="J312" s="415">
        <f>140.6*1000/79*H312</f>
        <v>70833.924050632908</v>
      </c>
      <c r="K312" s="437">
        <v>412454.96</v>
      </c>
    </row>
    <row r="313" spans="1:11" ht="25.5" customHeight="1" x14ac:dyDescent="0.2">
      <c r="A313" s="348" t="s">
        <v>681</v>
      </c>
      <c r="B313" s="347" t="s">
        <v>9967</v>
      </c>
      <c r="C313" s="405" t="s">
        <v>11048</v>
      </c>
      <c r="D313" s="537">
        <v>9</v>
      </c>
      <c r="E313" s="436"/>
      <c r="F313" s="178" t="s">
        <v>232</v>
      </c>
      <c r="G313" s="602"/>
      <c r="H313" s="441">
        <v>32.9</v>
      </c>
      <c r="I313" s="536">
        <v>1954</v>
      </c>
      <c r="J313" s="415">
        <v>65100</v>
      </c>
      <c r="K313" s="437">
        <v>325029.63</v>
      </c>
    </row>
    <row r="314" spans="1:11" ht="25.5" x14ac:dyDescent="0.2">
      <c r="A314" s="348" t="s">
        <v>682</v>
      </c>
      <c r="B314" s="347" t="s">
        <v>295</v>
      </c>
      <c r="C314" s="405" t="s">
        <v>11049</v>
      </c>
      <c r="D314" s="537">
        <v>13</v>
      </c>
      <c r="E314" s="436">
        <v>2</v>
      </c>
      <c r="F314" s="178"/>
      <c r="G314" s="602"/>
      <c r="H314" s="441">
        <v>38.200000000000003</v>
      </c>
      <c r="I314" s="536">
        <v>1952</v>
      </c>
      <c r="J314" s="415">
        <f>50800-25300</f>
        <v>25500</v>
      </c>
      <c r="K314" s="437"/>
    </row>
    <row r="315" spans="1:11" ht="23.25" customHeight="1" x14ac:dyDescent="0.2">
      <c r="A315" s="351" t="s">
        <v>683</v>
      </c>
      <c r="B315" s="347"/>
      <c r="C315" s="1147" t="s">
        <v>11050</v>
      </c>
      <c r="D315" s="1150">
        <v>28</v>
      </c>
      <c r="E315" s="436"/>
      <c r="F315" s="178"/>
      <c r="G315" s="602"/>
      <c r="H315" s="441">
        <f>2145-2145</f>
        <v>0</v>
      </c>
      <c r="I315" s="1145">
        <v>1979</v>
      </c>
      <c r="J315" s="415">
        <f>6450400-6450400</f>
        <v>0</v>
      </c>
      <c r="K315" s="437"/>
    </row>
    <row r="316" spans="1:11" ht="12.75" customHeight="1" x14ac:dyDescent="0.2">
      <c r="A316" s="349" t="s">
        <v>1312</v>
      </c>
      <c r="B316" s="347" t="s">
        <v>295</v>
      </c>
      <c r="C316" s="1148"/>
      <c r="D316" s="1151"/>
      <c r="E316" s="436">
        <v>14</v>
      </c>
      <c r="F316" s="178"/>
      <c r="G316" s="602"/>
      <c r="H316" s="441">
        <v>60.8</v>
      </c>
      <c r="I316" s="1153"/>
      <c r="J316" s="415">
        <v>182836.51282051281</v>
      </c>
      <c r="K316" s="437"/>
    </row>
    <row r="317" spans="1:11" x14ac:dyDescent="0.2">
      <c r="A317" s="349" t="s">
        <v>1313</v>
      </c>
      <c r="B317" s="347" t="s">
        <v>295</v>
      </c>
      <c r="C317" s="1148"/>
      <c r="D317" s="1151"/>
      <c r="E317" s="436">
        <v>32</v>
      </c>
      <c r="F317" s="178"/>
      <c r="G317" s="602"/>
      <c r="H317" s="441">
        <v>50.7</v>
      </c>
      <c r="I317" s="1153"/>
      <c r="J317" s="415">
        <v>152464</v>
      </c>
      <c r="K317" s="437"/>
    </row>
    <row r="318" spans="1:11" x14ac:dyDescent="0.2">
      <c r="A318" s="349" t="s">
        <v>10269</v>
      </c>
      <c r="B318" s="347" t="s">
        <v>295</v>
      </c>
      <c r="C318" s="1149"/>
      <c r="D318" s="1152"/>
      <c r="E318" s="436">
        <v>25</v>
      </c>
      <c r="F318" s="38" t="s">
        <v>10270</v>
      </c>
      <c r="G318" s="602" t="s">
        <v>512</v>
      </c>
      <c r="H318" s="415">
        <v>27.8</v>
      </c>
      <c r="I318" s="1146"/>
      <c r="J318" s="415">
        <v>22644</v>
      </c>
      <c r="K318" s="437">
        <v>495022.65</v>
      </c>
    </row>
    <row r="319" spans="1:11" ht="24" customHeight="1" x14ac:dyDescent="0.2">
      <c r="A319" s="348" t="s">
        <v>684</v>
      </c>
      <c r="B319" s="347" t="s">
        <v>9967</v>
      </c>
      <c r="C319" s="405" t="s">
        <v>11051</v>
      </c>
      <c r="D319" s="537">
        <v>32</v>
      </c>
      <c r="E319" s="436"/>
      <c r="F319" s="178" t="s">
        <v>6342</v>
      </c>
      <c r="G319" s="602"/>
      <c r="H319" s="441">
        <v>32.700000000000003</v>
      </c>
      <c r="I319" s="536">
        <v>1954</v>
      </c>
      <c r="J319" s="415">
        <f>62.5*1000</f>
        <v>62500</v>
      </c>
      <c r="K319" s="437">
        <v>392575.27</v>
      </c>
    </row>
    <row r="320" spans="1:11" x14ac:dyDescent="0.2">
      <c r="A320" s="348" t="s">
        <v>10115</v>
      </c>
      <c r="B320" s="347"/>
      <c r="C320" s="1147" t="s">
        <v>11052</v>
      </c>
      <c r="D320" s="1150">
        <v>34</v>
      </c>
      <c r="E320" s="436"/>
      <c r="F320" s="178"/>
      <c r="G320" s="602"/>
      <c r="H320" s="441">
        <f>4650-4650</f>
        <v>0</v>
      </c>
      <c r="I320" s="1145">
        <v>1989</v>
      </c>
      <c r="J320" s="415">
        <f>16798539-16798539</f>
        <v>0</v>
      </c>
      <c r="K320" s="437"/>
    </row>
    <row r="321" spans="1:11" ht="12.75" customHeight="1" x14ac:dyDescent="0.2">
      <c r="A321" s="349" t="s">
        <v>10672</v>
      </c>
      <c r="B321" s="347" t="s">
        <v>295</v>
      </c>
      <c r="C321" s="1149"/>
      <c r="D321" s="1152"/>
      <c r="E321" s="405">
        <v>28</v>
      </c>
      <c r="F321" s="178" t="s">
        <v>10673</v>
      </c>
      <c r="G321" s="602" t="s">
        <v>128</v>
      </c>
      <c r="H321" s="415">
        <v>55.7</v>
      </c>
      <c r="I321" s="1146"/>
      <c r="J321" s="437">
        <f t="shared" ref="J321" si="3">16798539/4650*H321</f>
        <v>201221.2090967742</v>
      </c>
      <c r="K321" s="437">
        <v>1150446.8400000001</v>
      </c>
    </row>
    <row r="322" spans="1:11" ht="12.75" customHeight="1" x14ac:dyDescent="0.2">
      <c r="A322" s="348" t="s">
        <v>685</v>
      </c>
      <c r="B322" s="347"/>
      <c r="C322" s="1157" t="s">
        <v>11053</v>
      </c>
      <c r="D322" s="1158">
        <v>36</v>
      </c>
      <c r="E322" s="436"/>
      <c r="F322" s="178"/>
      <c r="G322" s="602"/>
      <c r="H322" s="441">
        <f>678-678</f>
        <v>0</v>
      </c>
      <c r="I322" s="1145">
        <v>1988</v>
      </c>
      <c r="J322" s="415">
        <f>1693100-1693100</f>
        <v>0</v>
      </c>
      <c r="K322" s="437"/>
    </row>
    <row r="323" spans="1:11" ht="12.75" customHeight="1" x14ac:dyDescent="0.2">
      <c r="A323" s="349" t="s">
        <v>686</v>
      </c>
      <c r="B323" s="347" t="s">
        <v>295</v>
      </c>
      <c r="C323" s="1157"/>
      <c r="D323" s="1158"/>
      <c r="E323" s="449" t="s">
        <v>2683</v>
      </c>
      <c r="F323" s="178"/>
      <c r="G323" s="602"/>
      <c r="H323" s="415">
        <v>23.8</v>
      </c>
      <c r="I323" s="1153"/>
      <c r="J323" s="415">
        <v>199026.651917404</v>
      </c>
      <c r="K323" s="437"/>
    </row>
    <row r="324" spans="1:11" x14ac:dyDescent="0.2">
      <c r="A324" s="349" t="s">
        <v>687</v>
      </c>
      <c r="B324" s="347" t="s">
        <v>295</v>
      </c>
      <c r="C324" s="1157"/>
      <c r="D324" s="1158"/>
      <c r="E324" s="405">
        <v>10</v>
      </c>
      <c r="F324" s="178"/>
      <c r="G324" s="602"/>
      <c r="H324" s="441">
        <v>49.5</v>
      </c>
      <c r="I324" s="1153"/>
      <c r="J324" s="415">
        <v>123611.2831858407</v>
      </c>
      <c r="K324" s="437"/>
    </row>
    <row r="325" spans="1:11" ht="25.5" customHeight="1" x14ac:dyDescent="0.2">
      <c r="A325" s="349" t="s">
        <v>688</v>
      </c>
      <c r="B325" s="347" t="s">
        <v>295</v>
      </c>
      <c r="C325" s="1157"/>
      <c r="D325" s="1158"/>
      <c r="E325" s="405">
        <v>12</v>
      </c>
      <c r="F325" s="178"/>
      <c r="G325" s="602"/>
      <c r="H325" s="441"/>
      <c r="I325" s="1153"/>
      <c r="J325" s="415"/>
      <c r="K325" s="437"/>
    </row>
    <row r="326" spans="1:11" ht="12.75" customHeight="1" x14ac:dyDescent="0.2">
      <c r="A326" s="348" t="s">
        <v>689</v>
      </c>
      <c r="B326" s="347"/>
      <c r="C326" s="1157" t="s">
        <v>11054</v>
      </c>
      <c r="D326" s="1150">
        <v>38</v>
      </c>
      <c r="E326" s="436"/>
      <c r="F326" s="178"/>
      <c r="G326" s="602"/>
      <c r="H326" s="441">
        <f>5822-5822</f>
        <v>0</v>
      </c>
      <c r="I326" s="1145">
        <v>1994</v>
      </c>
      <c r="J326" s="415">
        <f>9390300-9390300</f>
        <v>0</v>
      </c>
      <c r="K326" s="437"/>
    </row>
    <row r="327" spans="1:11" x14ac:dyDescent="0.2">
      <c r="A327" s="349" t="s">
        <v>1314</v>
      </c>
      <c r="B327" s="347" t="s">
        <v>295</v>
      </c>
      <c r="C327" s="1157"/>
      <c r="D327" s="1151"/>
      <c r="E327" s="425" t="s">
        <v>370</v>
      </c>
      <c r="F327" s="178"/>
      <c r="G327" s="602"/>
      <c r="H327" s="441">
        <v>28.85</v>
      </c>
      <c r="I327" s="1153"/>
      <c r="J327" s="415">
        <v>46532.14616970114</v>
      </c>
      <c r="K327" s="437"/>
    </row>
    <row r="328" spans="1:11" ht="12.75" customHeight="1" x14ac:dyDescent="0.2">
      <c r="A328" s="349" t="s">
        <v>1315</v>
      </c>
      <c r="B328" s="347" t="s">
        <v>295</v>
      </c>
      <c r="C328" s="1157"/>
      <c r="D328" s="1151"/>
      <c r="E328" s="436">
        <v>50</v>
      </c>
      <c r="F328" s="178"/>
      <c r="G328" s="602"/>
      <c r="H328" s="441">
        <v>55.1</v>
      </c>
      <c r="I328" s="1153"/>
      <c r="J328" s="415">
        <v>88870.754036413608</v>
      </c>
      <c r="K328" s="437"/>
    </row>
    <row r="329" spans="1:11" ht="15.75" customHeight="1" x14ac:dyDescent="0.2">
      <c r="A329" s="349" t="s">
        <v>1316</v>
      </c>
      <c r="B329" s="347" t="s">
        <v>295</v>
      </c>
      <c r="C329" s="1157"/>
      <c r="D329" s="1151"/>
      <c r="E329" s="436">
        <v>80</v>
      </c>
      <c r="F329" s="178"/>
      <c r="G329" s="602"/>
      <c r="H329" s="441">
        <v>58.1</v>
      </c>
      <c r="I329" s="1153"/>
      <c r="J329" s="415">
        <v>93709.452078323608</v>
      </c>
      <c r="K329" s="437"/>
    </row>
    <row r="330" spans="1:11" ht="15.75" customHeight="1" x14ac:dyDescent="0.2">
      <c r="A330" s="349" t="s">
        <v>1317</v>
      </c>
      <c r="B330" s="347" t="s">
        <v>295</v>
      </c>
      <c r="C330" s="1157"/>
      <c r="D330" s="1151"/>
      <c r="E330" s="436">
        <v>100</v>
      </c>
      <c r="F330" s="220"/>
      <c r="G330" s="613"/>
      <c r="H330" s="441">
        <v>50.8</v>
      </c>
      <c r="I330" s="1153"/>
      <c r="J330" s="415">
        <v>81935.286843009279</v>
      </c>
      <c r="K330" s="437"/>
    </row>
    <row r="331" spans="1:11" ht="12.75" customHeight="1" x14ac:dyDescent="0.2">
      <c r="A331" s="348" t="s">
        <v>690</v>
      </c>
      <c r="B331" s="347"/>
      <c r="C331" s="1149" t="s">
        <v>11055</v>
      </c>
      <c r="D331" s="1158">
        <v>40</v>
      </c>
      <c r="E331" s="436"/>
      <c r="F331" s="178"/>
      <c r="G331" s="602"/>
      <c r="H331" s="441">
        <f>138-138</f>
        <v>0</v>
      </c>
      <c r="I331" s="1159">
        <v>1966</v>
      </c>
      <c r="J331" s="415">
        <f>423900-423900</f>
        <v>0</v>
      </c>
      <c r="K331" s="437"/>
    </row>
    <row r="332" spans="1:11" x14ac:dyDescent="0.2">
      <c r="A332" s="349" t="s">
        <v>691</v>
      </c>
      <c r="B332" s="347" t="s">
        <v>295</v>
      </c>
      <c r="C332" s="1157"/>
      <c r="D332" s="1158"/>
      <c r="E332" s="436">
        <v>1</v>
      </c>
      <c r="F332" s="178" t="s">
        <v>233</v>
      </c>
      <c r="G332" s="602"/>
      <c r="H332" s="441">
        <v>28.8</v>
      </c>
      <c r="I332" s="1159"/>
      <c r="J332" s="415">
        <v>88466.086956521744</v>
      </c>
      <c r="K332" s="437">
        <v>298459.87</v>
      </c>
    </row>
    <row r="333" spans="1:11" x14ac:dyDescent="0.2">
      <c r="A333" s="349" t="s">
        <v>692</v>
      </c>
      <c r="B333" s="347" t="s">
        <v>295</v>
      </c>
      <c r="C333" s="1157"/>
      <c r="D333" s="1158"/>
      <c r="E333" s="436">
        <v>2</v>
      </c>
      <c r="F333" s="178" t="s">
        <v>234</v>
      </c>
      <c r="G333" s="602"/>
      <c r="H333" s="441">
        <v>28.2</v>
      </c>
      <c r="I333" s="1159"/>
      <c r="J333" s="415">
        <v>86623.043478260865</v>
      </c>
      <c r="K333" s="437">
        <v>292241.96000000002</v>
      </c>
    </row>
    <row r="334" spans="1:11" ht="24" customHeight="1" x14ac:dyDescent="0.2">
      <c r="A334" s="348" t="s">
        <v>693</v>
      </c>
      <c r="B334" s="347" t="s">
        <v>295</v>
      </c>
      <c r="C334" s="405" t="s">
        <v>11056</v>
      </c>
      <c r="D334" s="537">
        <v>41</v>
      </c>
      <c r="E334" s="436">
        <v>1</v>
      </c>
      <c r="F334" s="178" t="s">
        <v>235</v>
      </c>
      <c r="G334" s="602"/>
      <c r="H334" s="441">
        <v>39.1</v>
      </c>
      <c r="I334" s="536">
        <v>1952</v>
      </c>
      <c r="J334" s="415">
        <v>140200</v>
      </c>
      <c r="K334" s="437">
        <v>405200.73</v>
      </c>
    </row>
    <row r="335" spans="1:11" ht="25.5" x14ac:dyDescent="0.2">
      <c r="A335" s="348" t="s">
        <v>694</v>
      </c>
      <c r="B335" s="347" t="s">
        <v>9967</v>
      </c>
      <c r="C335" s="405" t="s">
        <v>11057</v>
      </c>
      <c r="D335" s="537">
        <v>44</v>
      </c>
      <c r="E335" s="436"/>
      <c r="F335" s="178" t="s">
        <v>6343</v>
      </c>
      <c r="G335" s="602"/>
      <c r="H335" s="441">
        <v>60</v>
      </c>
      <c r="I335" s="536">
        <v>1952</v>
      </c>
      <c r="J335" s="415">
        <v>140200</v>
      </c>
      <c r="K335" s="437">
        <v>621791.4</v>
      </c>
    </row>
    <row r="336" spans="1:11" ht="12.75" customHeight="1" x14ac:dyDescent="0.2">
      <c r="A336" s="348" t="s">
        <v>695</v>
      </c>
      <c r="B336" s="347"/>
      <c r="C336" s="1157" t="s">
        <v>11058</v>
      </c>
      <c r="D336" s="1158">
        <v>45</v>
      </c>
      <c r="E336" s="436"/>
      <c r="F336" s="178"/>
      <c r="G336" s="602"/>
      <c r="H336" s="441">
        <f>85-85</f>
        <v>0</v>
      </c>
      <c r="I336" s="1159">
        <v>1952</v>
      </c>
      <c r="J336" s="415">
        <f>140200-140200</f>
        <v>0</v>
      </c>
      <c r="K336" s="437"/>
    </row>
    <row r="337" spans="1:11" x14ac:dyDescent="0.2">
      <c r="A337" s="349" t="s">
        <v>1318</v>
      </c>
      <c r="B337" s="347" t="s">
        <v>295</v>
      </c>
      <c r="C337" s="1157"/>
      <c r="D337" s="1158"/>
      <c r="E337" s="436">
        <v>1</v>
      </c>
      <c r="F337" s="178" t="s">
        <v>236</v>
      </c>
      <c r="G337" s="602"/>
      <c r="H337" s="441">
        <v>42.9</v>
      </c>
      <c r="I337" s="1159"/>
      <c r="J337" s="415">
        <v>70759.76470588235</v>
      </c>
      <c r="K337" s="437">
        <v>444580.85</v>
      </c>
    </row>
    <row r="338" spans="1:11" ht="27" customHeight="1" x14ac:dyDescent="0.2">
      <c r="A338" s="348" t="s">
        <v>696</v>
      </c>
      <c r="B338" s="347" t="s">
        <v>9967</v>
      </c>
      <c r="C338" s="405" t="s">
        <v>11059</v>
      </c>
      <c r="D338" s="537">
        <v>54</v>
      </c>
      <c r="E338" s="436"/>
      <c r="F338" s="178"/>
      <c r="G338" s="602"/>
      <c r="H338" s="441">
        <v>27</v>
      </c>
      <c r="I338" s="536">
        <v>1954</v>
      </c>
      <c r="J338" s="415">
        <v>56900</v>
      </c>
      <c r="K338" s="437"/>
    </row>
    <row r="339" spans="1:11" ht="25.5" x14ac:dyDescent="0.2">
      <c r="A339" s="348" t="s">
        <v>697</v>
      </c>
      <c r="B339" s="347" t="s">
        <v>9967</v>
      </c>
      <c r="C339" s="405" t="s">
        <v>11060</v>
      </c>
      <c r="D339" s="537">
        <v>58</v>
      </c>
      <c r="E339" s="436"/>
      <c r="F339" s="178"/>
      <c r="G339" s="602"/>
      <c r="H339" s="441">
        <v>31</v>
      </c>
      <c r="I339" s="536">
        <v>1954</v>
      </c>
      <c r="J339" s="415">
        <v>65600</v>
      </c>
      <c r="K339" s="437"/>
    </row>
    <row r="340" spans="1:11" ht="25.5" x14ac:dyDescent="0.2">
      <c r="A340" s="348" t="s">
        <v>698</v>
      </c>
      <c r="B340" s="347" t="s">
        <v>295</v>
      </c>
      <c r="C340" s="405" t="s">
        <v>11061</v>
      </c>
      <c r="D340" s="537">
        <v>64</v>
      </c>
      <c r="E340" s="436">
        <v>1</v>
      </c>
      <c r="F340" s="178" t="s">
        <v>237</v>
      </c>
      <c r="G340" s="602"/>
      <c r="H340" s="441">
        <f>74.8-39</f>
        <v>35.799999999999997</v>
      </c>
      <c r="I340" s="536">
        <v>1952</v>
      </c>
      <c r="J340" s="415">
        <v>140200</v>
      </c>
      <c r="K340" s="437"/>
    </row>
    <row r="341" spans="1:11" ht="25.5" x14ac:dyDescent="0.2">
      <c r="A341" s="348" t="s">
        <v>699</v>
      </c>
      <c r="B341" s="347" t="s">
        <v>9967</v>
      </c>
      <c r="C341" s="405" t="s">
        <v>11062</v>
      </c>
      <c r="D341" s="537">
        <v>66</v>
      </c>
      <c r="E341" s="436"/>
      <c r="F341" s="178" t="s">
        <v>6344</v>
      </c>
      <c r="G341" s="602"/>
      <c r="H341" s="441">
        <v>34.4</v>
      </c>
      <c r="I341" s="536">
        <v>1954</v>
      </c>
      <c r="J341" s="415">
        <v>66100</v>
      </c>
      <c r="K341" s="437">
        <v>412984.38</v>
      </c>
    </row>
    <row r="342" spans="1:11" ht="24" customHeight="1" x14ac:dyDescent="0.2">
      <c r="A342" s="348" t="s">
        <v>700</v>
      </c>
      <c r="B342" s="347"/>
      <c r="C342" s="1157" t="s">
        <v>11063</v>
      </c>
      <c r="D342" s="1158">
        <v>74</v>
      </c>
      <c r="E342" s="436"/>
      <c r="F342" s="178"/>
      <c r="G342" s="602"/>
      <c r="H342" s="441">
        <f>77-77</f>
        <v>0</v>
      </c>
      <c r="I342" s="1159">
        <v>1952</v>
      </c>
      <c r="J342" s="415">
        <f>137400-137400</f>
        <v>0</v>
      </c>
      <c r="K342" s="437"/>
    </row>
    <row r="343" spans="1:11" x14ac:dyDescent="0.2">
      <c r="A343" s="349" t="s">
        <v>1319</v>
      </c>
      <c r="B343" s="347" t="s">
        <v>295</v>
      </c>
      <c r="C343" s="1157"/>
      <c r="D343" s="1158"/>
      <c r="E343" s="436">
        <v>1</v>
      </c>
      <c r="F343" s="178" t="s">
        <v>9995</v>
      </c>
      <c r="G343" s="602"/>
      <c r="H343" s="441">
        <v>38.200000000000003</v>
      </c>
      <c r="I343" s="1159"/>
      <c r="J343" s="415">
        <v>68164.675324675321</v>
      </c>
      <c r="K343" s="437">
        <v>395873.66</v>
      </c>
    </row>
    <row r="344" spans="1:11" x14ac:dyDescent="0.2">
      <c r="A344" s="349" t="s">
        <v>1320</v>
      </c>
      <c r="B344" s="347" t="s">
        <v>295</v>
      </c>
      <c r="C344" s="1157"/>
      <c r="D344" s="1158"/>
      <c r="E344" s="436">
        <v>2</v>
      </c>
      <c r="F344" s="178" t="s">
        <v>217</v>
      </c>
      <c r="G344" s="602"/>
      <c r="H344" s="441">
        <v>38.4</v>
      </c>
      <c r="I344" s="1159"/>
      <c r="J344" s="415">
        <v>68521.558441558431</v>
      </c>
      <c r="K344" s="437">
        <v>397946.5</v>
      </c>
    </row>
    <row r="345" spans="1:11" ht="12.75" customHeight="1" x14ac:dyDescent="0.2">
      <c r="A345" s="348" t="s">
        <v>701</v>
      </c>
      <c r="B345" s="347"/>
      <c r="C345" s="1157" t="s">
        <v>11064</v>
      </c>
      <c r="D345" s="1158">
        <v>78</v>
      </c>
      <c r="E345" s="436"/>
      <c r="F345" s="178"/>
      <c r="G345" s="602"/>
      <c r="H345" s="441">
        <f>77-77</f>
        <v>0</v>
      </c>
      <c r="I345" s="1159">
        <v>1952</v>
      </c>
      <c r="J345" s="415">
        <f>140200-140200</f>
        <v>0</v>
      </c>
      <c r="K345" s="437"/>
    </row>
    <row r="346" spans="1:11" x14ac:dyDescent="0.2">
      <c r="A346" s="349" t="s">
        <v>702</v>
      </c>
      <c r="B346" s="347" t="s">
        <v>295</v>
      </c>
      <c r="C346" s="1157"/>
      <c r="D346" s="1158"/>
      <c r="E346" s="436">
        <v>2</v>
      </c>
      <c r="F346" s="178" t="s">
        <v>218</v>
      </c>
      <c r="G346" s="602"/>
      <c r="H346" s="441">
        <v>38.4</v>
      </c>
      <c r="I346" s="1159"/>
      <c r="J346" s="415">
        <v>69917.922077922078</v>
      </c>
      <c r="K346" s="437">
        <v>397946.5</v>
      </c>
    </row>
    <row r="347" spans="1:11" ht="12.75" customHeight="1" x14ac:dyDescent="0.2">
      <c r="A347" s="348" t="s">
        <v>703</v>
      </c>
      <c r="B347" s="347"/>
      <c r="C347" s="1157" t="s">
        <v>11065</v>
      </c>
      <c r="D347" s="1158">
        <v>80</v>
      </c>
      <c r="E347" s="436"/>
      <c r="F347" s="178"/>
      <c r="G347" s="602"/>
      <c r="H347" s="441">
        <f>77-77</f>
        <v>0</v>
      </c>
      <c r="I347" s="1159">
        <v>1952</v>
      </c>
      <c r="J347" s="415">
        <f>140200-140200</f>
        <v>0</v>
      </c>
      <c r="K347" s="437"/>
    </row>
    <row r="348" spans="1:11" ht="12.75" customHeight="1" x14ac:dyDescent="0.2">
      <c r="A348" s="349" t="s">
        <v>704</v>
      </c>
      <c r="B348" s="347" t="s">
        <v>295</v>
      </c>
      <c r="C348" s="1157"/>
      <c r="D348" s="1158"/>
      <c r="E348" s="436">
        <v>1</v>
      </c>
      <c r="F348" s="178" t="s">
        <v>219</v>
      </c>
      <c r="G348" s="602"/>
      <c r="H348" s="441">
        <v>38.700000000000003</v>
      </c>
      <c r="I348" s="1159"/>
      <c r="J348" s="415">
        <v>70464.155844155903</v>
      </c>
      <c r="K348" s="437">
        <v>401055.45</v>
      </c>
    </row>
    <row r="349" spans="1:11" x14ac:dyDescent="0.2">
      <c r="A349" s="349" t="s">
        <v>705</v>
      </c>
      <c r="B349" s="347" t="s">
        <v>295</v>
      </c>
      <c r="C349" s="1157"/>
      <c r="D349" s="1158"/>
      <c r="E349" s="436">
        <v>2</v>
      </c>
      <c r="F349" s="178" t="s">
        <v>220</v>
      </c>
      <c r="G349" s="602"/>
      <c r="H349" s="441">
        <v>38.9</v>
      </c>
      <c r="I349" s="1159"/>
      <c r="J349" s="415">
        <v>70828.311688311689</v>
      </c>
      <c r="K349" s="437">
        <v>403128.09</v>
      </c>
    </row>
    <row r="350" spans="1:11" ht="12.75" customHeight="1" x14ac:dyDescent="0.2">
      <c r="A350" s="348" t="s">
        <v>706</v>
      </c>
      <c r="B350" s="347"/>
      <c r="C350" s="1157" t="s">
        <v>11066</v>
      </c>
      <c r="D350" s="1158">
        <v>82</v>
      </c>
      <c r="E350" s="436"/>
      <c r="F350" s="178"/>
      <c r="G350" s="602"/>
      <c r="H350" s="441">
        <f>77-77</f>
        <v>0</v>
      </c>
      <c r="I350" s="1159">
        <v>1952</v>
      </c>
      <c r="J350" s="415">
        <f>140200-140200</f>
        <v>0</v>
      </c>
      <c r="K350" s="437"/>
    </row>
    <row r="351" spans="1:11" x14ac:dyDescent="0.2">
      <c r="A351" s="349" t="s">
        <v>707</v>
      </c>
      <c r="B351" s="347" t="s">
        <v>295</v>
      </c>
      <c r="C351" s="1157"/>
      <c r="D351" s="1158"/>
      <c r="E351" s="436">
        <v>1</v>
      </c>
      <c r="F351" s="178" t="s">
        <v>221</v>
      </c>
      <c r="G351" s="602"/>
      <c r="H351" s="441">
        <v>38.4</v>
      </c>
      <c r="I351" s="1159"/>
      <c r="J351" s="415">
        <v>69917.922077922078</v>
      </c>
      <c r="K351" s="437">
        <v>397946.5</v>
      </c>
    </row>
    <row r="352" spans="1:11" x14ac:dyDescent="0.2">
      <c r="A352" s="349" t="s">
        <v>708</v>
      </c>
      <c r="B352" s="347" t="s">
        <v>295</v>
      </c>
      <c r="C352" s="1157"/>
      <c r="D352" s="1158"/>
      <c r="E352" s="436">
        <v>2</v>
      </c>
      <c r="F352" s="178" t="s">
        <v>222</v>
      </c>
      <c r="G352" s="602"/>
      <c r="H352" s="441">
        <v>38.1</v>
      </c>
      <c r="I352" s="1159"/>
      <c r="J352" s="415">
        <v>69371.688311688311</v>
      </c>
      <c r="K352" s="437">
        <v>394837.54</v>
      </c>
    </row>
    <row r="353" spans="1:11" ht="12.75" customHeight="1" x14ac:dyDescent="0.2">
      <c r="A353" s="348" t="s">
        <v>709</v>
      </c>
      <c r="B353" s="347"/>
      <c r="C353" s="1157" t="s">
        <v>11067</v>
      </c>
      <c r="D353" s="1158">
        <v>88</v>
      </c>
      <c r="E353" s="436"/>
      <c r="F353" s="178"/>
      <c r="G353" s="602"/>
      <c r="H353" s="441">
        <f>79-79</f>
        <v>0</v>
      </c>
      <c r="I353" s="1159">
        <v>1952</v>
      </c>
      <c r="J353" s="415">
        <f>140200-140200</f>
        <v>0</v>
      </c>
      <c r="K353" s="437"/>
    </row>
    <row r="354" spans="1:11" x14ac:dyDescent="0.2">
      <c r="A354" s="349" t="s">
        <v>710</v>
      </c>
      <c r="B354" s="347" t="s">
        <v>295</v>
      </c>
      <c r="C354" s="1157"/>
      <c r="D354" s="1158"/>
      <c r="E354" s="436">
        <v>1</v>
      </c>
      <c r="F354" s="178" t="s">
        <v>9996</v>
      </c>
      <c r="G354" s="602"/>
      <c r="H354" s="441">
        <f>39-39</f>
        <v>0</v>
      </c>
      <c r="I354" s="1159"/>
      <c r="J354" s="415">
        <f>69212.6582278481-69212.6582278481</f>
        <v>0</v>
      </c>
      <c r="K354" s="437"/>
    </row>
    <row r="355" spans="1:11" x14ac:dyDescent="0.2">
      <c r="A355" s="349" t="s">
        <v>711</v>
      </c>
      <c r="B355" s="347" t="s">
        <v>295</v>
      </c>
      <c r="C355" s="1157"/>
      <c r="D355" s="1158"/>
      <c r="E355" s="436">
        <v>2</v>
      </c>
      <c r="F355" s="178" t="s">
        <v>223</v>
      </c>
      <c r="G355" s="602"/>
      <c r="H355" s="441">
        <v>39.799999999999997</v>
      </c>
      <c r="I355" s="1159"/>
      <c r="J355" s="415">
        <v>70632.405063291124</v>
      </c>
      <c r="K355" s="437">
        <v>412454.96</v>
      </c>
    </row>
    <row r="356" spans="1:11" ht="26.25" customHeight="1" x14ac:dyDescent="0.2">
      <c r="A356" s="348" t="s">
        <v>712</v>
      </c>
      <c r="B356" s="347" t="s">
        <v>295</v>
      </c>
      <c r="C356" s="405" t="s">
        <v>11068</v>
      </c>
      <c r="D356" s="537">
        <v>94</v>
      </c>
      <c r="E356" s="436">
        <v>2</v>
      </c>
      <c r="F356" s="178" t="s">
        <v>224</v>
      </c>
      <c r="G356" s="602"/>
      <c r="H356" s="441">
        <v>37.799999999999997</v>
      </c>
      <c r="I356" s="536">
        <v>1952</v>
      </c>
      <c r="J356" s="415">
        <v>140200</v>
      </c>
      <c r="K356" s="437">
        <v>391728.58</v>
      </c>
    </row>
    <row r="357" spans="1:11" ht="25.5" x14ac:dyDescent="0.2">
      <c r="A357" s="348" t="s">
        <v>713</v>
      </c>
      <c r="B357" s="347" t="s">
        <v>295</v>
      </c>
      <c r="C357" s="405" t="s">
        <v>11069</v>
      </c>
      <c r="D357" s="537">
        <v>98</v>
      </c>
      <c r="E357" s="436">
        <v>1</v>
      </c>
      <c r="F357" s="178" t="s">
        <v>238</v>
      </c>
      <c r="G357" s="602"/>
      <c r="H357" s="441">
        <v>38.700000000000003</v>
      </c>
      <c r="I357" s="536">
        <v>1952</v>
      </c>
      <c r="J357" s="415">
        <v>140200</v>
      </c>
      <c r="K357" s="437">
        <v>401055.45</v>
      </c>
    </row>
    <row r="358" spans="1:11" ht="25.5" x14ac:dyDescent="0.2">
      <c r="A358" s="348" t="s">
        <v>714</v>
      </c>
      <c r="B358" s="347" t="s">
        <v>295</v>
      </c>
      <c r="C358" s="405" t="s">
        <v>11070</v>
      </c>
      <c r="D358" s="537">
        <v>102</v>
      </c>
      <c r="E358" s="436">
        <v>2</v>
      </c>
      <c r="F358" s="178"/>
      <c r="G358" s="602"/>
      <c r="H358" s="441">
        <v>39.4</v>
      </c>
      <c r="I358" s="536">
        <v>1952</v>
      </c>
      <c r="J358" s="415">
        <v>140200</v>
      </c>
      <c r="K358" s="437"/>
    </row>
    <row r="359" spans="1:11" ht="25.5" x14ac:dyDescent="0.2">
      <c r="A359" s="348" t="s">
        <v>715</v>
      </c>
      <c r="B359" s="347" t="s">
        <v>295</v>
      </c>
      <c r="C359" s="405" t="s">
        <v>11071</v>
      </c>
      <c r="D359" s="537">
        <v>135</v>
      </c>
      <c r="E359" s="436">
        <v>2</v>
      </c>
      <c r="F359" s="178" t="s">
        <v>239</v>
      </c>
      <c r="G359" s="602"/>
      <c r="H359" s="441">
        <v>40.1</v>
      </c>
      <c r="I359" s="536">
        <v>1954</v>
      </c>
      <c r="J359" s="415">
        <v>107100</v>
      </c>
      <c r="K359" s="437">
        <v>415563.92</v>
      </c>
    </row>
    <row r="360" spans="1:11" ht="25.5" x14ac:dyDescent="0.2">
      <c r="A360" s="348" t="s">
        <v>716</v>
      </c>
      <c r="B360" s="347" t="s">
        <v>295</v>
      </c>
      <c r="C360" s="405" t="s">
        <v>11072</v>
      </c>
      <c r="D360" s="537">
        <v>141</v>
      </c>
      <c r="E360" s="436">
        <v>2</v>
      </c>
      <c r="F360" s="178" t="s">
        <v>9997</v>
      </c>
      <c r="G360" s="608"/>
      <c r="H360" s="441">
        <v>37.1</v>
      </c>
      <c r="I360" s="536">
        <v>1954</v>
      </c>
      <c r="J360" s="415">
        <v>111200</v>
      </c>
      <c r="K360" s="437">
        <v>384474.35</v>
      </c>
    </row>
    <row r="361" spans="1:11" ht="25.5" x14ac:dyDescent="0.2">
      <c r="A361" s="348" t="s">
        <v>717</v>
      </c>
      <c r="B361" s="347" t="s">
        <v>295</v>
      </c>
      <c r="C361" s="405" t="s">
        <v>11073</v>
      </c>
      <c r="D361" s="537">
        <v>143</v>
      </c>
      <c r="E361" s="436">
        <v>3</v>
      </c>
      <c r="F361" s="178" t="s">
        <v>242</v>
      </c>
      <c r="G361" s="602"/>
      <c r="H361" s="441">
        <v>61.4</v>
      </c>
      <c r="I361" s="536">
        <v>1973</v>
      </c>
      <c r="J361" s="415">
        <v>384400</v>
      </c>
      <c r="K361" s="437">
        <v>700909.24</v>
      </c>
    </row>
    <row r="362" spans="1:11" ht="25.5" x14ac:dyDescent="0.2">
      <c r="A362" s="348" t="s">
        <v>718</v>
      </c>
      <c r="B362" s="347" t="s">
        <v>295</v>
      </c>
      <c r="C362" s="405" t="s">
        <v>11074</v>
      </c>
      <c r="D362" s="537">
        <v>145</v>
      </c>
      <c r="E362" s="436">
        <v>2</v>
      </c>
      <c r="F362" s="178"/>
      <c r="G362" s="602"/>
      <c r="H362" s="441">
        <f>73-39</f>
        <v>34</v>
      </c>
      <c r="I362" s="536">
        <v>1954</v>
      </c>
      <c r="J362" s="415">
        <v>110500</v>
      </c>
      <c r="K362" s="437"/>
    </row>
    <row r="363" spans="1:11" ht="12.75" customHeight="1" x14ac:dyDescent="0.2">
      <c r="A363" s="348" t="s">
        <v>719</v>
      </c>
      <c r="B363" s="347"/>
      <c r="C363" s="1157" t="s">
        <v>11075</v>
      </c>
      <c r="D363" s="1158">
        <v>166</v>
      </c>
      <c r="E363" s="436"/>
      <c r="F363" s="178"/>
      <c r="G363" s="602"/>
      <c r="H363" s="441">
        <f>138.5-138.5</f>
        <v>0</v>
      </c>
      <c r="I363" s="1159">
        <v>1966</v>
      </c>
      <c r="J363" s="415">
        <f>485100-485100</f>
        <v>0</v>
      </c>
      <c r="K363" s="437"/>
    </row>
    <row r="364" spans="1:11" x14ac:dyDescent="0.2">
      <c r="A364" s="349" t="s">
        <v>1321</v>
      </c>
      <c r="B364" s="347" t="s">
        <v>295</v>
      </c>
      <c r="C364" s="1157"/>
      <c r="D364" s="1158"/>
      <c r="E364" s="436">
        <v>2</v>
      </c>
      <c r="F364" s="178" t="s">
        <v>225</v>
      </c>
      <c r="G364" s="602" t="s">
        <v>137</v>
      </c>
      <c r="H364" s="441">
        <v>45.8</v>
      </c>
      <c r="I364" s="1159"/>
      <c r="J364" s="415">
        <v>160415.740072202</v>
      </c>
      <c r="K364" s="437">
        <v>53494.7</v>
      </c>
    </row>
    <row r="365" spans="1:11" ht="12.75" customHeight="1" x14ac:dyDescent="0.2">
      <c r="A365" s="349" t="s">
        <v>1322</v>
      </c>
      <c r="B365" s="347" t="s">
        <v>295</v>
      </c>
      <c r="C365" s="1157"/>
      <c r="D365" s="1158"/>
      <c r="E365" s="436">
        <v>4</v>
      </c>
      <c r="F365" s="178" t="s">
        <v>9998</v>
      </c>
      <c r="G365" s="602" t="s">
        <v>137</v>
      </c>
      <c r="H365" s="441">
        <v>26</v>
      </c>
      <c r="I365" s="1159"/>
      <c r="J365" s="415">
        <v>91065.703971119103</v>
      </c>
      <c r="K365" s="437">
        <v>312139.36</v>
      </c>
    </row>
    <row r="366" spans="1:11" ht="12.75" customHeight="1" x14ac:dyDescent="0.2">
      <c r="A366" s="348" t="s">
        <v>720</v>
      </c>
      <c r="B366" s="347"/>
      <c r="C366" s="1149" t="s">
        <v>11076</v>
      </c>
      <c r="D366" s="1158">
        <v>1</v>
      </c>
      <c r="E366" s="436"/>
      <c r="F366" s="178"/>
      <c r="G366" s="602"/>
      <c r="H366" s="441">
        <f>705-705</f>
        <v>0</v>
      </c>
      <c r="I366" s="1159">
        <v>1948</v>
      </c>
      <c r="J366" s="415">
        <f>1048800-1048800</f>
        <v>0</v>
      </c>
      <c r="K366" s="437"/>
    </row>
    <row r="367" spans="1:11" x14ac:dyDescent="0.2">
      <c r="A367" s="349" t="s">
        <v>721</v>
      </c>
      <c r="B367" s="347" t="s">
        <v>295</v>
      </c>
      <c r="C367" s="1157"/>
      <c r="D367" s="1158"/>
      <c r="E367" s="436">
        <v>1</v>
      </c>
      <c r="F367" s="178" t="s">
        <v>2933</v>
      </c>
      <c r="G367" s="602"/>
      <c r="H367" s="441">
        <v>56.2</v>
      </c>
      <c r="I367" s="1159"/>
      <c r="J367" s="415">
        <v>83606.468085106389</v>
      </c>
      <c r="K367" s="437">
        <v>705221.77</v>
      </c>
    </row>
    <row r="368" spans="1:11" x14ac:dyDescent="0.2">
      <c r="A368" s="349" t="s">
        <v>722</v>
      </c>
      <c r="B368" s="347" t="s">
        <v>295</v>
      </c>
      <c r="C368" s="1157"/>
      <c r="D368" s="1158"/>
      <c r="E368" s="436">
        <v>6</v>
      </c>
      <c r="F368" s="178" t="s">
        <v>2934</v>
      </c>
      <c r="G368" s="602"/>
      <c r="H368" s="441">
        <v>57.2</v>
      </c>
      <c r="I368" s="1159"/>
      <c r="J368" s="415">
        <v>85094.127659574471</v>
      </c>
      <c r="K368" s="437">
        <v>717770.2</v>
      </c>
    </row>
    <row r="369" spans="1:11" ht="12.75" customHeight="1" x14ac:dyDescent="0.2">
      <c r="A369" s="348" t="s">
        <v>723</v>
      </c>
      <c r="B369" s="347"/>
      <c r="C369" s="1147" t="s">
        <v>11077</v>
      </c>
      <c r="D369" s="1150">
        <v>4</v>
      </c>
      <c r="E369" s="436"/>
      <c r="F369" s="178"/>
      <c r="G369" s="602"/>
      <c r="H369" s="441">
        <f>692.7-692.7</f>
        <v>0</v>
      </c>
      <c r="I369" s="1145">
        <v>1950</v>
      </c>
      <c r="J369" s="415">
        <f>1127700-1127700</f>
        <v>0</v>
      </c>
      <c r="K369" s="437"/>
    </row>
    <row r="370" spans="1:11" x14ac:dyDescent="0.2">
      <c r="A370" s="349" t="s">
        <v>724</v>
      </c>
      <c r="B370" s="347" t="s">
        <v>295</v>
      </c>
      <c r="C370" s="1148"/>
      <c r="D370" s="1151"/>
      <c r="E370" s="436">
        <v>7</v>
      </c>
      <c r="F370" s="347" t="s">
        <v>9999</v>
      </c>
      <c r="G370" s="602"/>
      <c r="H370" s="441">
        <v>55.5</v>
      </c>
      <c r="I370" s="1153"/>
      <c r="J370" s="415">
        <v>90444.147398843925</v>
      </c>
      <c r="K370" s="437">
        <v>641639.39</v>
      </c>
    </row>
    <row r="371" spans="1:11" x14ac:dyDescent="0.2">
      <c r="A371" s="349" t="s">
        <v>1323</v>
      </c>
      <c r="B371" s="347" t="s">
        <v>295</v>
      </c>
      <c r="C371" s="1148"/>
      <c r="D371" s="1151"/>
      <c r="E371" s="436">
        <v>8</v>
      </c>
      <c r="F371" s="178" t="s">
        <v>2936</v>
      </c>
      <c r="G371" s="602"/>
      <c r="H371" s="441">
        <v>48.5</v>
      </c>
      <c r="I371" s="1153"/>
      <c r="J371" s="415">
        <v>78873.815028901736</v>
      </c>
      <c r="K371" s="437">
        <v>573224.41</v>
      </c>
    </row>
    <row r="372" spans="1:11" ht="12.75" customHeight="1" x14ac:dyDescent="0.2">
      <c r="A372" s="349" t="s">
        <v>1324</v>
      </c>
      <c r="B372" s="347" t="s">
        <v>295</v>
      </c>
      <c r="C372" s="1148"/>
      <c r="D372" s="1151"/>
      <c r="E372" s="436">
        <v>11</v>
      </c>
      <c r="F372" s="178" t="s">
        <v>2935</v>
      </c>
      <c r="G372" s="602"/>
      <c r="H372" s="441">
        <v>48.5</v>
      </c>
      <c r="I372" s="1153"/>
      <c r="J372" s="415">
        <v>79036.777456647396</v>
      </c>
      <c r="K372" s="437">
        <v>573224.41</v>
      </c>
    </row>
    <row r="373" spans="1:11" ht="12.75" customHeight="1" x14ac:dyDescent="0.2">
      <c r="A373" s="349" t="s">
        <v>11078</v>
      </c>
      <c r="B373" s="347" t="s">
        <v>295</v>
      </c>
      <c r="C373" s="1148"/>
      <c r="D373" s="1151"/>
      <c r="E373" s="436">
        <v>2</v>
      </c>
      <c r="F373" s="178" t="s">
        <v>11079</v>
      </c>
      <c r="G373" s="602" t="s">
        <v>137</v>
      </c>
      <c r="H373" s="415">
        <v>49.1</v>
      </c>
      <c r="I373" s="1153"/>
      <c r="J373" s="415">
        <v>1446000</v>
      </c>
      <c r="K373" s="415">
        <v>580315.85</v>
      </c>
    </row>
    <row r="374" spans="1:11" x14ac:dyDescent="0.2">
      <c r="A374" s="349" t="s">
        <v>11080</v>
      </c>
      <c r="B374" s="347" t="s">
        <v>295</v>
      </c>
      <c r="C374" s="1148"/>
      <c r="D374" s="1151"/>
      <c r="E374" s="436">
        <v>5</v>
      </c>
      <c r="F374" s="178" t="s">
        <v>11081</v>
      </c>
      <c r="G374" s="602" t="s">
        <v>512</v>
      </c>
      <c r="H374" s="415">
        <v>48.7</v>
      </c>
      <c r="I374" s="1153"/>
      <c r="J374" s="415">
        <v>1442000</v>
      </c>
      <c r="K374" s="415">
        <v>575588.22</v>
      </c>
    </row>
    <row r="375" spans="1:11" x14ac:dyDescent="0.2">
      <c r="A375" s="349" t="s">
        <v>11082</v>
      </c>
      <c r="B375" s="347" t="s">
        <v>295</v>
      </c>
      <c r="C375" s="1148"/>
      <c r="D375" s="1151"/>
      <c r="E375" s="347">
        <v>3</v>
      </c>
      <c r="F375" s="178" t="s">
        <v>11083</v>
      </c>
      <c r="G375" s="602" t="s">
        <v>137</v>
      </c>
      <c r="H375" s="347">
        <v>55.1</v>
      </c>
      <c r="I375" s="1153"/>
      <c r="J375" s="437">
        <v>1510000</v>
      </c>
      <c r="K375" s="437">
        <v>642183.89</v>
      </c>
    </row>
    <row r="376" spans="1:11" ht="12.75" customHeight="1" x14ac:dyDescent="0.2">
      <c r="A376" s="349" t="s">
        <v>11084</v>
      </c>
      <c r="B376" s="347" t="s">
        <v>295</v>
      </c>
      <c r="C376" s="1148"/>
      <c r="D376" s="1151"/>
      <c r="E376" s="436">
        <v>9</v>
      </c>
      <c r="F376" s="178" t="s">
        <v>11085</v>
      </c>
      <c r="G376" s="602" t="s">
        <v>137</v>
      </c>
      <c r="H376" s="415">
        <v>55.5</v>
      </c>
      <c r="I376" s="1153"/>
      <c r="J376" s="415">
        <v>1618000</v>
      </c>
      <c r="K376" s="415">
        <v>641639.39</v>
      </c>
    </row>
    <row r="377" spans="1:11" x14ac:dyDescent="0.2">
      <c r="A377" s="349" t="s">
        <v>11086</v>
      </c>
      <c r="B377" s="347" t="s">
        <v>295</v>
      </c>
      <c r="C377" s="1148"/>
      <c r="D377" s="1151"/>
      <c r="E377" s="436">
        <v>6</v>
      </c>
      <c r="F377" s="178" t="s">
        <v>11087</v>
      </c>
      <c r="G377" s="602" t="s">
        <v>512</v>
      </c>
      <c r="H377" s="415">
        <v>56.1</v>
      </c>
      <c r="I377" s="1153"/>
      <c r="J377" s="415">
        <v>1502000</v>
      </c>
      <c r="K377" s="415">
        <v>648576.03</v>
      </c>
    </row>
    <row r="378" spans="1:11" x14ac:dyDescent="0.2">
      <c r="A378" s="349" t="s">
        <v>11597</v>
      </c>
      <c r="B378" s="347" t="s">
        <v>295</v>
      </c>
      <c r="C378" s="1148"/>
      <c r="D378" s="1151"/>
      <c r="E378" s="436">
        <v>1</v>
      </c>
      <c r="F378" s="178" t="s">
        <v>11599</v>
      </c>
      <c r="G378" s="602" t="s">
        <v>137</v>
      </c>
      <c r="H378" s="415">
        <v>56.6</v>
      </c>
      <c r="I378" s="1153"/>
      <c r="J378" s="415">
        <v>1628000</v>
      </c>
      <c r="K378" s="415">
        <v>654356.56000000006</v>
      </c>
    </row>
    <row r="379" spans="1:11" x14ac:dyDescent="0.2">
      <c r="A379" s="349" t="s">
        <v>11598</v>
      </c>
      <c r="B379" s="347" t="s">
        <v>295</v>
      </c>
      <c r="C379" s="1148"/>
      <c r="D379" s="1151"/>
      <c r="E379" s="436">
        <v>12</v>
      </c>
      <c r="F379" s="178" t="s">
        <v>11600</v>
      </c>
      <c r="G379" s="602" t="s">
        <v>512</v>
      </c>
      <c r="H379" s="415">
        <v>55.1</v>
      </c>
      <c r="I379" s="1153"/>
      <c r="J379" s="415">
        <v>1633000</v>
      </c>
      <c r="K379" s="415">
        <v>646263.81000000006</v>
      </c>
    </row>
    <row r="380" spans="1:11" x14ac:dyDescent="0.2">
      <c r="A380" s="403" t="s">
        <v>13053</v>
      </c>
      <c r="B380" s="432" t="s">
        <v>295</v>
      </c>
      <c r="C380" s="1149"/>
      <c r="D380" s="1152"/>
      <c r="E380" s="672">
        <v>4</v>
      </c>
      <c r="F380" s="200" t="s">
        <v>13054</v>
      </c>
      <c r="G380" s="432" t="s">
        <v>512</v>
      </c>
      <c r="H380" s="435">
        <v>56</v>
      </c>
      <c r="I380" s="1146"/>
      <c r="J380" s="435">
        <v>3248000</v>
      </c>
      <c r="K380" s="435">
        <v>647419.92000000004</v>
      </c>
    </row>
    <row r="381" spans="1:11" ht="12.75" customHeight="1" x14ac:dyDescent="0.2">
      <c r="A381" s="590" t="s">
        <v>725</v>
      </c>
      <c r="B381" s="591"/>
      <c r="C381" s="1192" t="s">
        <v>11088</v>
      </c>
      <c r="D381" s="1198">
        <v>5</v>
      </c>
      <c r="E381" s="592"/>
      <c r="F381" s="200" t="s">
        <v>15359</v>
      </c>
      <c r="G381" s="612"/>
      <c r="H381" s="593"/>
      <c r="I381" s="1195">
        <v>1948</v>
      </c>
      <c r="J381" s="594"/>
      <c r="K381" s="596"/>
    </row>
    <row r="382" spans="1:11" x14ac:dyDescent="0.2">
      <c r="A382" s="595" t="s">
        <v>1325</v>
      </c>
      <c r="B382" s="591" t="s">
        <v>295</v>
      </c>
      <c r="C382" s="1193"/>
      <c r="D382" s="1199"/>
      <c r="E382" s="592">
        <v>3</v>
      </c>
      <c r="F382" s="200" t="s">
        <v>2937</v>
      </c>
      <c r="G382" s="612"/>
      <c r="H382" s="593">
        <f>55-55</f>
        <v>0</v>
      </c>
      <c r="I382" s="1196"/>
      <c r="J382" s="594">
        <f>86259.8768319302-86259.8768319302</f>
        <v>0</v>
      </c>
      <c r="K382" s="596"/>
    </row>
    <row r="383" spans="1:11" ht="12.75" customHeight="1" x14ac:dyDescent="0.2">
      <c r="A383" s="595" t="s">
        <v>1326</v>
      </c>
      <c r="B383" s="591" t="s">
        <v>295</v>
      </c>
      <c r="C383" s="1193"/>
      <c r="D383" s="1199"/>
      <c r="E383" s="592">
        <v>6</v>
      </c>
      <c r="F383" s="200" t="s">
        <v>2940</v>
      </c>
      <c r="G383" s="612"/>
      <c r="H383" s="593">
        <f>29.2+25.8-(29.2+25.8)</f>
        <v>0</v>
      </c>
      <c r="I383" s="1196"/>
      <c r="J383" s="594">
        <f>86259.8768319302-86259.8768319302</f>
        <v>0</v>
      </c>
      <c r="K383" s="596"/>
    </row>
    <row r="384" spans="1:11" x14ac:dyDescent="0.2">
      <c r="A384" s="595" t="s">
        <v>1327</v>
      </c>
      <c r="B384" s="591" t="s">
        <v>295</v>
      </c>
      <c r="C384" s="1193"/>
      <c r="D384" s="1199"/>
      <c r="E384" s="592">
        <v>7</v>
      </c>
      <c r="F384" s="200" t="s">
        <v>2938</v>
      </c>
      <c r="G384" s="612"/>
      <c r="H384" s="593">
        <f>55.8-55.8</f>
        <v>0</v>
      </c>
      <c r="I384" s="1196"/>
      <c r="J384" s="594">
        <f>87514.5659494855-87514.5659494855</f>
        <v>0</v>
      </c>
      <c r="K384" s="596"/>
    </row>
    <row r="385" spans="1:11" x14ac:dyDescent="0.2">
      <c r="A385" s="595" t="s">
        <v>1328</v>
      </c>
      <c r="B385" s="591" t="s">
        <v>295</v>
      </c>
      <c r="C385" s="1193"/>
      <c r="D385" s="1199"/>
      <c r="E385" s="592">
        <v>8</v>
      </c>
      <c r="F385" s="200" t="s">
        <v>2942</v>
      </c>
      <c r="G385" s="612"/>
      <c r="H385" s="593">
        <f>47.6-47.6</f>
        <v>0</v>
      </c>
      <c r="I385" s="1196"/>
      <c r="J385" s="594">
        <f>506550-506550</f>
        <v>0</v>
      </c>
      <c r="K385" s="596"/>
    </row>
    <row r="386" spans="1:11" x14ac:dyDescent="0.2">
      <c r="A386" s="595" t="s">
        <v>1329</v>
      </c>
      <c r="B386" s="591" t="s">
        <v>295</v>
      </c>
      <c r="C386" s="1193"/>
      <c r="D386" s="1199"/>
      <c r="E386" s="592">
        <v>9</v>
      </c>
      <c r="F386" s="200" t="s">
        <v>2939</v>
      </c>
      <c r="G386" s="612"/>
      <c r="H386" s="593">
        <f>55.6-55.6</f>
        <v>0</v>
      </c>
      <c r="I386" s="1196"/>
      <c r="J386" s="594">
        <f>87200.8936700967-87200.8936700967</f>
        <v>0</v>
      </c>
      <c r="K386" s="596"/>
    </row>
    <row r="387" spans="1:11" x14ac:dyDescent="0.2">
      <c r="A387" s="595" t="s">
        <v>1330</v>
      </c>
      <c r="B387" s="591" t="s">
        <v>295</v>
      </c>
      <c r="C387" s="1193"/>
      <c r="D387" s="1199"/>
      <c r="E387" s="592">
        <v>11</v>
      </c>
      <c r="F387" s="200" t="s">
        <v>2941</v>
      </c>
      <c r="G387" s="612"/>
      <c r="H387" s="593">
        <f>48.8-48.8</f>
        <v>0</v>
      </c>
      <c r="I387" s="1196"/>
      <c r="J387" s="594">
        <f>76536.0361708762-76536.0361708762</f>
        <v>0</v>
      </c>
      <c r="K387" s="596"/>
    </row>
    <row r="388" spans="1:11" x14ac:dyDescent="0.2">
      <c r="A388" s="403" t="s">
        <v>12569</v>
      </c>
      <c r="B388" s="432" t="s">
        <v>295</v>
      </c>
      <c r="C388" s="1193"/>
      <c r="D388" s="1199"/>
      <c r="E388" s="672">
        <v>12</v>
      </c>
      <c r="F388" s="200" t="s">
        <v>12570</v>
      </c>
      <c r="G388" s="636" t="s">
        <v>512</v>
      </c>
      <c r="H388" s="435">
        <f>53.9-53.9</f>
        <v>0</v>
      </c>
      <c r="I388" s="1196"/>
      <c r="J388" s="435">
        <f>1999000-1999000</f>
        <v>0</v>
      </c>
      <c r="K388" s="443"/>
    </row>
    <row r="389" spans="1:11" ht="12.75" customHeight="1" x14ac:dyDescent="0.2">
      <c r="A389" s="403" t="s">
        <v>12635</v>
      </c>
      <c r="B389" s="432" t="s">
        <v>295</v>
      </c>
      <c r="C389" s="1193"/>
      <c r="D389" s="1199"/>
      <c r="E389" s="672">
        <v>1</v>
      </c>
      <c r="F389" s="200" t="s">
        <v>12636</v>
      </c>
      <c r="G389" s="636" t="s">
        <v>137</v>
      </c>
      <c r="H389" s="435">
        <f>53.7-53.7</f>
        <v>0</v>
      </c>
      <c r="I389" s="1196"/>
      <c r="J389" s="435">
        <f>2348000-2348000</f>
        <v>0</v>
      </c>
      <c r="K389" s="443"/>
    </row>
    <row r="390" spans="1:11" x14ac:dyDescent="0.2">
      <c r="A390" s="403" t="s">
        <v>12637</v>
      </c>
      <c r="B390" s="432" t="s">
        <v>295</v>
      </c>
      <c r="C390" s="1193"/>
      <c r="D390" s="1199"/>
      <c r="E390" s="672">
        <v>4</v>
      </c>
      <c r="F390" s="200" t="s">
        <v>12638</v>
      </c>
      <c r="G390" s="636" t="s">
        <v>512</v>
      </c>
      <c r="H390" s="435">
        <f>53-53</f>
        <v>0</v>
      </c>
      <c r="I390" s="1196"/>
      <c r="J390" s="435">
        <f>2565000-2565000</f>
        <v>0</v>
      </c>
      <c r="K390" s="443"/>
    </row>
    <row r="391" spans="1:11" x14ac:dyDescent="0.2">
      <c r="A391" s="403" t="s">
        <v>12669</v>
      </c>
      <c r="B391" s="432" t="s">
        <v>295</v>
      </c>
      <c r="C391" s="1193"/>
      <c r="D391" s="1199"/>
      <c r="E391" s="673" t="s">
        <v>12670</v>
      </c>
      <c r="F391" s="200" t="s">
        <v>12671</v>
      </c>
      <c r="G391" s="432" t="s">
        <v>512</v>
      </c>
      <c r="H391" s="435">
        <f>20.8-20.8</f>
        <v>0</v>
      </c>
      <c r="I391" s="1196"/>
      <c r="J391" s="435">
        <f>1038000-1038000</f>
        <v>0</v>
      </c>
      <c r="K391" s="443"/>
    </row>
    <row r="392" spans="1:11" x14ac:dyDescent="0.2">
      <c r="A392" s="349" t="s">
        <v>13303</v>
      </c>
      <c r="B392" s="347" t="s">
        <v>295</v>
      </c>
      <c r="C392" s="1193"/>
      <c r="D392" s="1199"/>
      <c r="E392" s="425">
        <v>2</v>
      </c>
      <c r="F392" s="178" t="s">
        <v>13304</v>
      </c>
      <c r="G392" s="347" t="s">
        <v>137</v>
      </c>
      <c r="H392" s="415">
        <f>47.4-47.4</f>
        <v>0</v>
      </c>
      <c r="I392" s="1196"/>
      <c r="J392" s="415">
        <f>3709000-3709000</f>
        <v>0</v>
      </c>
      <c r="K392" s="437"/>
    </row>
    <row r="393" spans="1:11" x14ac:dyDescent="0.2">
      <c r="A393" s="834" t="s">
        <v>14012</v>
      </c>
      <c r="B393" s="833" t="s">
        <v>295</v>
      </c>
      <c r="C393" s="1194"/>
      <c r="D393" s="1200"/>
      <c r="E393" s="425">
        <v>10</v>
      </c>
      <c r="F393" s="178" t="s">
        <v>14013</v>
      </c>
      <c r="G393" s="833" t="s">
        <v>512</v>
      </c>
      <c r="H393" s="837">
        <f>54.6-54.6</f>
        <v>0</v>
      </c>
      <c r="I393" s="1197"/>
      <c r="J393" s="837">
        <f>4517000-4517000</f>
        <v>0</v>
      </c>
      <c r="K393" s="437"/>
    </row>
    <row r="394" spans="1:11" ht="12.75" customHeight="1" x14ac:dyDescent="0.2">
      <c r="A394" s="348" t="s">
        <v>1331</v>
      </c>
      <c r="B394" s="347"/>
      <c r="C394" s="1147" t="s">
        <v>11089</v>
      </c>
      <c r="D394" s="1150">
        <v>7</v>
      </c>
      <c r="E394" s="436"/>
      <c r="F394" s="200" t="s">
        <v>15360</v>
      </c>
      <c r="G394" s="602"/>
      <c r="H394" s="441">
        <f>684-684</f>
        <v>0</v>
      </c>
      <c r="I394" s="1145">
        <v>1949</v>
      </c>
      <c r="J394" s="415">
        <f>1005000-1005000</f>
        <v>0</v>
      </c>
      <c r="K394" s="437"/>
    </row>
    <row r="395" spans="1:11" x14ac:dyDescent="0.2">
      <c r="A395" s="349" t="s">
        <v>726</v>
      </c>
      <c r="B395" s="347" t="s">
        <v>295</v>
      </c>
      <c r="C395" s="1148"/>
      <c r="D395" s="1151"/>
      <c r="E395" s="436">
        <v>1</v>
      </c>
      <c r="F395" s="178" t="s">
        <v>251</v>
      </c>
      <c r="G395" s="602"/>
      <c r="H395" s="441">
        <f>55.3-55.3</f>
        <v>0</v>
      </c>
      <c r="I395" s="1153"/>
      <c r="J395" s="415">
        <f>81252.1929824561-81252.1929824561</f>
        <v>0</v>
      </c>
      <c r="K395" s="437"/>
    </row>
    <row r="396" spans="1:11" x14ac:dyDescent="0.2">
      <c r="A396" s="349" t="s">
        <v>727</v>
      </c>
      <c r="B396" s="347" t="s">
        <v>295</v>
      </c>
      <c r="C396" s="1148"/>
      <c r="D396" s="1151"/>
      <c r="E396" s="436">
        <v>2</v>
      </c>
      <c r="F396" s="178" t="s">
        <v>10000</v>
      </c>
      <c r="G396" s="602"/>
      <c r="H396" s="441">
        <f>48.1-48.1</f>
        <v>0</v>
      </c>
      <c r="I396" s="1153"/>
      <c r="J396" s="415">
        <f>70673.2456140351-70673.2456140351</f>
        <v>0</v>
      </c>
      <c r="K396" s="437"/>
    </row>
    <row r="397" spans="1:11" x14ac:dyDescent="0.2">
      <c r="A397" s="349" t="s">
        <v>728</v>
      </c>
      <c r="B397" s="347" t="s">
        <v>295</v>
      </c>
      <c r="C397" s="1148"/>
      <c r="D397" s="1151"/>
      <c r="E397" s="436">
        <v>3</v>
      </c>
      <c r="F397" s="178" t="s">
        <v>11090</v>
      </c>
      <c r="G397" s="614"/>
      <c r="H397" s="441">
        <f>54.9-54.9</f>
        <v>0</v>
      </c>
      <c r="I397" s="1153"/>
      <c r="J397" s="415">
        <f>80664.4736842105-80664.4736842105</f>
        <v>0</v>
      </c>
      <c r="K397" s="437"/>
    </row>
    <row r="398" spans="1:11" x14ac:dyDescent="0.2">
      <c r="A398" s="349" t="s">
        <v>729</v>
      </c>
      <c r="B398" s="347" t="s">
        <v>295</v>
      </c>
      <c r="C398" s="1148"/>
      <c r="D398" s="1151"/>
      <c r="E398" s="436">
        <v>4</v>
      </c>
      <c r="F398" s="178" t="s">
        <v>256</v>
      </c>
      <c r="G398" s="602"/>
      <c r="H398" s="441">
        <f>27.65+27.65-(27.65+27.65)</f>
        <v>0</v>
      </c>
      <c r="I398" s="1153"/>
      <c r="J398" s="415">
        <f>81252.1929824561-81252.1929824561</f>
        <v>0</v>
      </c>
      <c r="K398" s="437"/>
    </row>
    <row r="399" spans="1:11" ht="12.75" customHeight="1" x14ac:dyDescent="0.2">
      <c r="A399" s="349" t="s">
        <v>730</v>
      </c>
      <c r="B399" s="347" t="s">
        <v>295</v>
      </c>
      <c r="C399" s="1148"/>
      <c r="D399" s="1151"/>
      <c r="E399" s="436">
        <v>6</v>
      </c>
      <c r="F399" s="178" t="s">
        <v>11091</v>
      </c>
      <c r="G399" s="602"/>
      <c r="H399" s="441">
        <f>28.6+26.3-(28.6+26.3)</f>
        <v>0</v>
      </c>
      <c r="I399" s="1153"/>
      <c r="J399" s="415">
        <f>80664.4736842105-80664.4736842105</f>
        <v>0</v>
      </c>
      <c r="K399" s="437"/>
    </row>
    <row r="400" spans="1:11" ht="12.75" customHeight="1" x14ac:dyDescent="0.2">
      <c r="A400" s="349" t="s">
        <v>731</v>
      </c>
      <c r="B400" s="347" t="s">
        <v>295</v>
      </c>
      <c r="C400" s="1148"/>
      <c r="D400" s="1151"/>
      <c r="E400" s="436">
        <v>7</v>
      </c>
      <c r="F400" s="178" t="s">
        <v>252</v>
      </c>
      <c r="G400" s="602"/>
      <c r="H400" s="441">
        <f>53.7-53.7</f>
        <v>0</v>
      </c>
      <c r="I400" s="1153"/>
      <c r="J400" s="415">
        <f>78901.3157894737-78901.3157894737</f>
        <v>0</v>
      </c>
      <c r="K400" s="437"/>
    </row>
    <row r="401" spans="1:11" x14ac:dyDescent="0.2">
      <c r="A401" s="349" t="s">
        <v>732</v>
      </c>
      <c r="B401" s="347" t="s">
        <v>295</v>
      </c>
      <c r="C401" s="1148"/>
      <c r="D401" s="1151"/>
      <c r="E401" s="436">
        <v>8</v>
      </c>
      <c r="F401" s="178" t="s">
        <v>253</v>
      </c>
      <c r="G401" s="602"/>
      <c r="H401" s="441">
        <f>48.3-48.3</f>
        <v>0</v>
      </c>
      <c r="I401" s="1153"/>
      <c r="J401" s="415">
        <f>70967.1052631579-70967.1052631579</f>
        <v>0</v>
      </c>
      <c r="K401" s="437"/>
    </row>
    <row r="402" spans="1:11" x14ac:dyDescent="0.2">
      <c r="A402" s="349" t="s">
        <v>1332</v>
      </c>
      <c r="B402" s="347" t="s">
        <v>295</v>
      </c>
      <c r="C402" s="1148"/>
      <c r="D402" s="1151"/>
      <c r="E402" s="436">
        <v>9</v>
      </c>
      <c r="F402" s="178" t="s">
        <v>254</v>
      </c>
      <c r="G402" s="602"/>
      <c r="H402" s="441">
        <f>55.5-55.5</f>
        <v>0</v>
      </c>
      <c r="I402" s="1153"/>
      <c r="J402" s="415">
        <f>81546.0526315789-81546.0526315789</f>
        <v>0</v>
      </c>
      <c r="K402" s="437"/>
    </row>
    <row r="403" spans="1:11" ht="12.75" customHeight="1" x14ac:dyDescent="0.2">
      <c r="A403" s="349" t="s">
        <v>1333</v>
      </c>
      <c r="B403" s="347" t="s">
        <v>295</v>
      </c>
      <c r="C403" s="1148"/>
      <c r="D403" s="1151"/>
      <c r="E403" s="436">
        <v>10</v>
      </c>
      <c r="F403" s="178" t="s">
        <v>257</v>
      </c>
      <c r="G403" s="602"/>
      <c r="H403" s="441">
        <f>53.7-53.7</f>
        <v>0</v>
      </c>
      <c r="I403" s="1153"/>
      <c r="J403" s="415">
        <f>78901.3157894737-78901.3157894737</f>
        <v>0</v>
      </c>
      <c r="K403" s="437"/>
    </row>
    <row r="404" spans="1:11" ht="12.75" customHeight="1" x14ac:dyDescent="0.2">
      <c r="A404" s="403" t="s">
        <v>12645</v>
      </c>
      <c r="B404" s="432" t="s">
        <v>295</v>
      </c>
      <c r="C404" s="1148"/>
      <c r="D404" s="1151"/>
      <c r="E404" s="672">
        <v>12</v>
      </c>
      <c r="F404" s="200" t="s">
        <v>255</v>
      </c>
      <c r="G404" s="432" t="s">
        <v>512</v>
      </c>
      <c r="H404" s="435">
        <f>55.5-55.5</f>
        <v>0</v>
      </c>
      <c r="I404" s="1153"/>
      <c r="J404" s="443">
        <f>2672000-2672000</f>
        <v>0</v>
      </c>
      <c r="K404" s="443"/>
    </row>
    <row r="405" spans="1:11" ht="12.75" customHeight="1" x14ac:dyDescent="0.2">
      <c r="A405" s="403" t="s">
        <v>13057</v>
      </c>
      <c r="B405" s="432" t="s">
        <v>295</v>
      </c>
      <c r="C405" s="1148"/>
      <c r="D405" s="1151"/>
      <c r="E405" s="672">
        <v>9</v>
      </c>
      <c r="F405" s="200" t="s">
        <v>254</v>
      </c>
      <c r="G405" s="432" t="s">
        <v>137</v>
      </c>
      <c r="H405" s="435">
        <f>55.5-55.5</f>
        <v>0</v>
      </c>
      <c r="I405" s="1153"/>
      <c r="J405" s="443">
        <f>3009000-3009000</f>
        <v>0</v>
      </c>
      <c r="K405" s="443"/>
    </row>
    <row r="406" spans="1:11" ht="12.75" customHeight="1" x14ac:dyDescent="0.2">
      <c r="A406" s="403" t="s">
        <v>14014</v>
      </c>
      <c r="B406" s="432" t="s">
        <v>295</v>
      </c>
      <c r="C406" s="1149"/>
      <c r="D406" s="1152"/>
      <c r="E406" s="672">
        <v>11</v>
      </c>
      <c r="F406" s="200" t="s">
        <v>14015</v>
      </c>
      <c r="G406" s="432" t="s">
        <v>512</v>
      </c>
      <c r="H406" s="435">
        <f>48.9-48.9</f>
        <v>0</v>
      </c>
      <c r="I406" s="1146"/>
      <c r="J406" s="443">
        <f>4260000-4260000</f>
        <v>0</v>
      </c>
      <c r="K406" s="443"/>
    </row>
    <row r="407" spans="1:11" x14ac:dyDescent="0.2">
      <c r="A407" s="348" t="s">
        <v>733</v>
      </c>
      <c r="B407" s="347"/>
      <c r="C407" s="1157" t="s">
        <v>11092</v>
      </c>
      <c r="D407" s="1158">
        <v>8</v>
      </c>
      <c r="E407" s="436"/>
      <c r="F407" s="178"/>
      <c r="G407" s="602"/>
      <c r="H407" s="441">
        <f>694-694</f>
        <v>0</v>
      </c>
      <c r="I407" s="1159">
        <v>1942</v>
      </c>
      <c r="J407" s="415">
        <f>1100300-1100300</f>
        <v>0</v>
      </c>
      <c r="K407" s="437"/>
    </row>
    <row r="408" spans="1:11" x14ac:dyDescent="0.2">
      <c r="A408" s="349" t="s">
        <v>734</v>
      </c>
      <c r="B408" s="347" t="s">
        <v>295</v>
      </c>
      <c r="C408" s="1157"/>
      <c r="D408" s="1158"/>
      <c r="E408" s="436">
        <v>5</v>
      </c>
      <c r="F408" s="178" t="s">
        <v>248</v>
      </c>
      <c r="G408" s="602"/>
      <c r="H408" s="441">
        <v>48.4</v>
      </c>
      <c r="I408" s="1159"/>
      <c r="J408" s="415">
        <v>76735.619596541786</v>
      </c>
      <c r="K408" s="437">
        <v>620896.98</v>
      </c>
    </row>
    <row r="409" spans="1:11" ht="12.75" customHeight="1" x14ac:dyDescent="0.2">
      <c r="A409" s="349" t="s">
        <v>735</v>
      </c>
      <c r="B409" s="347" t="s">
        <v>295</v>
      </c>
      <c r="C409" s="1157"/>
      <c r="D409" s="1158"/>
      <c r="E409" s="436">
        <v>8</v>
      </c>
      <c r="F409" s="178" t="s">
        <v>249</v>
      </c>
      <c r="G409" s="602"/>
      <c r="H409" s="441">
        <v>47.9</v>
      </c>
      <c r="I409" s="1159"/>
      <c r="J409" s="415">
        <v>75942.896253602303</v>
      </c>
      <c r="K409" s="437">
        <v>614482.76</v>
      </c>
    </row>
    <row r="410" spans="1:11" x14ac:dyDescent="0.2">
      <c r="A410" s="349" t="s">
        <v>736</v>
      </c>
      <c r="B410" s="347" t="s">
        <v>295</v>
      </c>
      <c r="C410" s="1157"/>
      <c r="D410" s="1158"/>
      <c r="E410" s="436">
        <v>10</v>
      </c>
      <c r="F410" s="178" t="s">
        <v>250</v>
      </c>
      <c r="G410" s="602"/>
      <c r="H410" s="441">
        <v>56.3</v>
      </c>
      <c r="I410" s="1159"/>
      <c r="J410" s="415">
        <v>89260.648414985597</v>
      </c>
      <c r="K410" s="437">
        <v>706476.61</v>
      </c>
    </row>
    <row r="411" spans="1:11" x14ac:dyDescent="0.2">
      <c r="A411" s="348" t="s">
        <v>737</v>
      </c>
      <c r="B411" s="347"/>
      <c r="C411" s="1157" t="s">
        <v>11093</v>
      </c>
      <c r="D411" s="1158">
        <v>9</v>
      </c>
      <c r="E411" s="436"/>
      <c r="F411" s="178"/>
      <c r="G411" s="602"/>
      <c r="H411" s="441">
        <f>875-875</f>
        <v>0</v>
      </c>
      <c r="I411" s="1159">
        <v>1952</v>
      </c>
      <c r="J411" s="415">
        <f>1661200-1661200</f>
        <v>0</v>
      </c>
      <c r="K411" s="437"/>
    </row>
    <row r="412" spans="1:11" ht="12.75" customHeight="1" x14ac:dyDescent="0.2">
      <c r="A412" s="349" t="s">
        <v>738</v>
      </c>
      <c r="B412" s="347" t="s">
        <v>295</v>
      </c>
      <c r="C412" s="1157"/>
      <c r="D412" s="1158"/>
      <c r="E412" s="436">
        <v>9</v>
      </c>
      <c r="F412" s="178" t="s">
        <v>246</v>
      </c>
      <c r="G412" s="602"/>
      <c r="H412" s="441">
        <v>55.3</v>
      </c>
      <c r="I412" s="1159"/>
      <c r="J412" s="415">
        <v>104987.84</v>
      </c>
      <c r="K412" s="437">
        <v>573084.41</v>
      </c>
    </row>
    <row r="413" spans="1:11" x14ac:dyDescent="0.2">
      <c r="A413" s="349" t="s">
        <v>739</v>
      </c>
      <c r="B413" s="347" t="s">
        <v>295</v>
      </c>
      <c r="C413" s="1157"/>
      <c r="D413" s="1158"/>
      <c r="E413" s="436">
        <v>11</v>
      </c>
      <c r="F413" s="178" t="s">
        <v>247</v>
      </c>
      <c r="G413" s="602"/>
      <c r="H413" s="441">
        <v>57.4</v>
      </c>
      <c r="I413" s="1159"/>
      <c r="J413" s="415">
        <v>108974.72</v>
      </c>
      <c r="K413" s="437">
        <v>566866.49</v>
      </c>
    </row>
    <row r="414" spans="1:11" ht="12.75" customHeight="1" x14ac:dyDescent="0.2">
      <c r="A414" s="348" t="s">
        <v>740</v>
      </c>
      <c r="B414" s="347"/>
      <c r="C414" s="1147" t="s">
        <v>11094</v>
      </c>
      <c r="D414" s="1150">
        <v>10</v>
      </c>
      <c r="E414" s="436"/>
      <c r="F414" s="200" t="s">
        <v>15384</v>
      </c>
      <c r="G414" s="602"/>
      <c r="H414" s="441"/>
      <c r="I414" s="1145">
        <v>1942</v>
      </c>
      <c r="J414" s="415"/>
      <c r="K414" s="437"/>
    </row>
    <row r="415" spans="1:11" x14ac:dyDescent="0.2">
      <c r="A415" s="349" t="s">
        <v>741</v>
      </c>
      <c r="B415" s="347" t="s">
        <v>295</v>
      </c>
      <c r="C415" s="1148"/>
      <c r="D415" s="1151"/>
      <c r="E415" s="436">
        <v>2</v>
      </c>
      <c r="F415" s="178"/>
      <c r="G415" s="602"/>
      <c r="H415" s="441">
        <f>47.6-47.6</f>
        <v>0</v>
      </c>
      <c r="I415" s="1153"/>
      <c r="J415" s="415">
        <f>76550.8504398827-76550.8504398827</f>
        <v>0</v>
      </c>
      <c r="K415" s="437"/>
    </row>
    <row r="416" spans="1:11" x14ac:dyDescent="0.2">
      <c r="A416" s="538" t="s">
        <v>742</v>
      </c>
      <c r="B416" s="534" t="s">
        <v>295</v>
      </c>
      <c r="C416" s="1148"/>
      <c r="D416" s="1151"/>
      <c r="E416" s="425">
        <v>3</v>
      </c>
      <c r="F416" s="447"/>
      <c r="G416" s="614"/>
      <c r="H416" s="441">
        <f>29+26.5-(29+26.5)</f>
        <v>0</v>
      </c>
      <c r="I416" s="1153"/>
      <c r="J416" s="415">
        <f>89255.7184750733-89255.7184750733</f>
        <v>0</v>
      </c>
      <c r="K416" s="437"/>
    </row>
    <row r="417" spans="1:11" ht="12.75" customHeight="1" x14ac:dyDescent="0.2">
      <c r="A417" s="349" t="s">
        <v>743</v>
      </c>
      <c r="B417" s="347" t="s">
        <v>295</v>
      </c>
      <c r="C417" s="1148"/>
      <c r="D417" s="1151"/>
      <c r="E417" s="436">
        <v>7</v>
      </c>
      <c r="F417" s="178"/>
      <c r="G417" s="602"/>
      <c r="H417" s="441">
        <f>27.85+27.85-(27.85+27.85)</f>
        <v>0</v>
      </c>
      <c r="I417" s="1153"/>
      <c r="J417" s="415">
        <f>89577.3607038123-89577.3607038123</f>
        <v>0</v>
      </c>
      <c r="K417" s="437"/>
    </row>
    <row r="418" spans="1:11" ht="12.75" customHeight="1" x14ac:dyDescent="0.2">
      <c r="A418" s="349" t="s">
        <v>13305</v>
      </c>
      <c r="B418" s="347" t="s">
        <v>295</v>
      </c>
      <c r="C418" s="1148"/>
      <c r="D418" s="1151"/>
      <c r="E418" s="436">
        <v>10</v>
      </c>
      <c r="F418" s="178" t="s">
        <v>13307</v>
      </c>
      <c r="G418" s="347" t="s">
        <v>512</v>
      </c>
      <c r="H418" s="415">
        <f>25.8-25.8</f>
        <v>0</v>
      </c>
      <c r="I418" s="1153"/>
      <c r="J418" s="415">
        <f>1350000-1350000</f>
        <v>0</v>
      </c>
      <c r="K418" s="437"/>
    </row>
    <row r="419" spans="1:11" ht="12.75" customHeight="1" x14ac:dyDescent="0.2">
      <c r="A419" s="349" t="s">
        <v>13306</v>
      </c>
      <c r="B419" s="347" t="s">
        <v>295</v>
      </c>
      <c r="C419" s="1148"/>
      <c r="D419" s="1151"/>
      <c r="E419" s="436">
        <v>9</v>
      </c>
      <c r="F419" s="178" t="s">
        <v>13308</v>
      </c>
      <c r="G419" s="347" t="s">
        <v>137</v>
      </c>
      <c r="H419" s="415">
        <f>54.2-54.2</f>
        <v>0</v>
      </c>
      <c r="I419" s="1153"/>
      <c r="J419" s="415">
        <f>4218000-4218000</f>
        <v>0</v>
      </c>
      <c r="K419" s="437"/>
    </row>
    <row r="420" spans="1:11" ht="12.75" customHeight="1" x14ac:dyDescent="0.2">
      <c r="A420" s="834" t="s">
        <v>14016</v>
      </c>
      <c r="B420" s="833" t="s">
        <v>295</v>
      </c>
      <c r="C420" s="1148"/>
      <c r="D420" s="1151"/>
      <c r="E420" s="436">
        <v>4</v>
      </c>
      <c r="F420" s="178" t="s">
        <v>14017</v>
      </c>
      <c r="G420" s="833" t="s">
        <v>512</v>
      </c>
      <c r="H420" s="837">
        <f>55.5-55.5</f>
        <v>0</v>
      </c>
      <c r="I420" s="1153"/>
      <c r="J420" s="837">
        <f>3997000-3997000</f>
        <v>0</v>
      </c>
      <c r="K420" s="437"/>
    </row>
    <row r="421" spans="1:11" ht="12.75" customHeight="1" x14ac:dyDescent="0.2">
      <c r="A421" s="834" t="s">
        <v>14018</v>
      </c>
      <c r="B421" s="833" t="s">
        <v>295</v>
      </c>
      <c r="C421" s="1148"/>
      <c r="D421" s="1151"/>
      <c r="E421" s="436">
        <v>11</v>
      </c>
      <c r="F421" s="178" t="s">
        <v>14019</v>
      </c>
      <c r="G421" s="833" t="s">
        <v>512</v>
      </c>
      <c r="H421" s="837">
        <f>47.9-47.9</f>
        <v>0</v>
      </c>
      <c r="I421" s="1153"/>
      <c r="J421" s="837">
        <f>4025000-4025000</f>
        <v>0</v>
      </c>
      <c r="K421" s="437"/>
    </row>
    <row r="422" spans="1:11" ht="12.75" customHeight="1" x14ac:dyDescent="0.2">
      <c r="A422" s="863" t="s">
        <v>14330</v>
      </c>
      <c r="B422" s="833" t="s">
        <v>295</v>
      </c>
      <c r="C422" s="1148"/>
      <c r="D422" s="1151"/>
      <c r="E422" s="436">
        <v>1</v>
      </c>
      <c r="F422" s="869" t="s">
        <v>14334</v>
      </c>
      <c r="G422" s="869" t="s">
        <v>137</v>
      </c>
      <c r="H422" s="870">
        <f>55-55</f>
        <v>0</v>
      </c>
      <c r="I422" s="1153"/>
      <c r="J422" s="870">
        <f>4618769-4618769</f>
        <v>0</v>
      </c>
      <c r="K422" s="871"/>
    </row>
    <row r="423" spans="1:11" ht="12.75" customHeight="1" x14ac:dyDescent="0.2">
      <c r="A423" s="863" t="s">
        <v>14331</v>
      </c>
      <c r="B423" s="833" t="s">
        <v>295</v>
      </c>
      <c r="C423" s="1148"/>
      <c r="D423" s="1151"/>
      <c r="E423" s="436">
        <v>5</v>
      </c>
      <c r="F423" s="869" t="s">
        <v>14335</v>
      </c>
      <c r="G423" s="869" t="s">
        <v>512</v>
      </c>
      <c r="H423" s="870">
        <f>47.1-47.1</f>
        <v>0</v>
      </c>
      <c r="I423" s="1153"/>
      <c r="J423" s="870">
        <f>3980000-3980000</f>
        <v>0</v>
      </c>
      <c r="K423" s="871"/>
    </row>
    <row r="424" spans="1:11" ht="12.75" customHeight="1" x14ac:dyDescent="0.2">
      <c r="A424" s="863" t="s">
        <v>14332</v>
      </c>
      <c r="B424" s="833" t="s">
        <v>295</v>
      </c>
      <c r="C424" s="1148"/>
      <c r="D424" s="1151"/>
      <c r="E424" s="436">
        <v>6</v>
      </c>
      <c r="F424" s="869" t="s">
        <v>14336</v>
      </c>
      <c r="G424" s="869" t="s">
        <v>137</v>
      </c>
      <c r="H424" s="870">
        <f>54.5-54.5</f>
        <v>0</v>
      </c>
      <c r="I424" s="1153"/>
      <c r="J424" s="870">
        <f>5780000-5780000</f>
        <v>0</v>
      </c>
      <c r="K424" s="871"/>
    </row>
    <row r="425" spans="1:11" ht="12.75" customHeight="1" x14ac:dyDescent="0.2">
      <c r="A425" s="863" t="s">
        <v>14333</v>
      </c>
      <c r="B425" s="833" t="s">
        <v>295</v>
      </c>
      <c r="C425" s="1149"/>
      <c r="D425" s="1152"/>
      <c r="E425" s="436">
        <v>12</v>
      </c>
      <c r="F425" s="869" t="s">
        <v>14337</v>
      </c>
      <c r="G425" s="869" t="s">
        <v>512</v>
      </c>
      <c r="H425" s="870">
        <f>55.6-55.6</f>
        <v>0</v>
      </c>
      <c r="I425" s="1146"/>
      <c r="J425" s="870">
        <f>4683000-4683000</f>
        <v>0</v>
      </c>
      <c r="K425" s="871"/>
    </row>
    <row r="426" spans="1:11" ht="12.75" customHeight="1" x14ac:dyDescent="0.2">
      <c r="A426" s="348" t="s">
        <v>744</v>
      </c>
      <c r="B426" s="347"/>
      <c r="C426" s="1147" t="s">
        <v>11095</v>
      </c>
      <c r="D426" s="1150">
        <v>11</v>
      </c>
      <c r="E426" s="436"/>
      <c r="F426" s="200" t="s">
        <v>15359</v>
      </c>
      <c r="G426" s="602"/>
      <c r="H426" s="441">
        <f>688-688</f>
        <v>0</v>
      </c>
      <c r="I426" s="1145">
        <v>1950</v>
      </c>
      <c r="J426" s="415">
        <f>1003200-1003200</f>
        <v>0</v>
      </c>
      <c r="K426" s="437"/>
    </row>
    <row r="427" spans="1:11" x14ac:dyDescent="0.2">
      <c r="A427" s="349" t="s">
        <v>745</v>
      </c>
      <c r="B427" s="347" t="s">
        <v>295</v>
      </c>
      <c r="C427" s="1148"/>
      <c r="D427" s="1151"/>
      <c r="E427" s="436">
        <v>2</v>
      </c>
      <c r="F427" s="178"/>
      <c r="G427" s="602"/>
      <c r="H427" s="441">
        <f>47.9-47.9</f>
        <v>0</v>
      </c>
      <c r="I427" s="1153"/>
      <c r="J427" s="415">
        <f>69844.8837209302-69844.8837209302</f>
        <v>0</v>
      </c>
      <c r="K427" s="437"/>
    </row>
    <row r="428" spans="1:11" x14ac:dyDescent="0.2">
      <c r="A428" s="349" t="s">
        <v>746</v>
      </c>
      <c r="B428" s="347" t="s">
        <v>295</v>
      </c>
      <c r="C428" s="1148"/>
      <c r="D428" s="1151"/>
      <c r="E428" s="436">
        <v>4</v>
      </c>
      <c r="F428" s="178"/>
      <c r="G428" s="602"/>
      <c r="H428" s="441">
        <f>55.5-55.5</f>
        <v>0</v>
      </c>
      <c r="I428" s="1153"/>
      <c r="J428" s="415">
        <f>80926.7441860465-80926.7441860465</f>
        <v>0</v>
      </c>
      <c r="K428" s="437"/>
    </row>
    <row r="429" spans="1:11" ht="12.75" customHeight="1" x14ac:dyDescent="0.2">
      <c r="A429" s="349" t="s">
        <v>747</v>
      </c>
      <c r="B429" s="347" t="s">
        <v>295</v>
      </c>
      <c r="C429" s="1148"/>
      <c r="D429" s="1151"/>
      <c r="E429" s="436">
        <v>5</v>
      </c>
      <c r="F429" s="178"/>
      <c r="G429" s="602"/>
      <c r="H429" s="441">
        <f>47.9-47.9</f>
        <v>0</v>
      </c>
      <c r="I429" s="1153"/>
      <c r="J429" s="415">
        <f>69844.8837209302-69844.8837209302</f>
        <v>0</v>
      </c>
      <c r="K429" s="437"/>
    </row>
    <row r="430" spans="1:11" x14ac:dyDescent="0.2">
      <c r="A430" s="349" t="s">
        <v>748</v>
      </c>
      <c r="B430" s="347" t="s">
        <v>295</v>
      </c>
      <c r="C430" s="1148"/>
      <c r="D430" s="1151"/>
      <c r="E430" s="436">
        <v>7</v>
      </c>
      <c r="F430" s="178"/>
      <c r="G430" s="602"/>
      <c r="H430" s="441">
        <f>55.4-55.4</f>
        <v>0</v>
      </c>
      <c r="I430" s="1153"/>
      <c r="J430" s="415">
        <f>80780.9302325581-80780.9302325581</f>
        <v>0</v>
      </c>
      <c r="K430" s="437"/>
    </row>
    <row r="431" spans="1:11" x14ac:dyDescent="0.2">
      <c r="A431" s="349" t="s">
        <v>1334</v>
      </c>
      <c r="B431" s="347" t="s">
        <v>295</v>
      </c>
      <c r="C431" s="1148"/>
      <c r="D431" s="1151"/>
      <c r="E431" s="436">
        <v>9</v>
      </c>
      <c r="F431" s="178"/>
      <c r="G431" s="602"/>
      <c r="H431" s="441">
        <f>54.8-54.8</f>
        <v>0</v>
      </c>
      <c r="I431" s="1153"/>
      <c r="J431" s="415">
        <f>79906.0465116279-79906.0465116279</f>
        <v>0</v>
      </c>
      <c r="K431" s="437"/>
    </row>
    <row r="432" spans="1:11" ht="12.75" customHeight="1" x14ac:dyDescent="0.2">
      <c r="A432" s="349" t="s">
        <v>1335</v>
      </c>
      <c r="B432" s="347" t="s">
        <v>295</v>
      </c>
      <c r="C432" s="1148"/>
      <c r="D432" s="1151"/>
      <c r="E432" s="436">
        <v>10</v>
      </c>
      <c r="F432" s="178"/>
      <c r="G432" s="602"/>
      <c r="H432" s="441">
        <f>55.4-55.4</f>
        <v>0</v>
      </c>
      <c r="I432" s="1153"/>
      <c r="J432" s="415">
        <f>80780.9302325581-80780.9302325581</f>
        <v>0</v>
      </c>
      <c r="K432" s="437"/>
    </row>
    <row r="433" spans="1:11" ht="12.75" customHeight="1" x14ac:dyDescent="0.2">
      <c r="A433" s="403" t="s">
        <v>12581</v>
      </c>
      <c r="B433" s="432" t="s">
        <v>295</v>
      </c>
      <c r="C433" s="1148"/>
      <c r="D433" s="1151"/>
      <c r="E433" s="672">
        <v>3</v>
      </c>
      <c r="F433" s="674" t="s">
        <v>12584</v>
      </c>
      <c r="G433" s="634" t="s">
        <v>137</v>
      </c>
      <c r="H433" s="435">
        <f>55.6-55.6</f>
        <v>0</v>
      </c>
      <c r="I433" s="1153"/>
      <c r="J433" s="435">
        <f>2653000-2653000</f>
        <v>0</v>
      </c>
      <c r="K433" s="443"/>
    </row>
    <row r="434" spans="1:11" ht="12.75" customHeight="1" x14ac:dyDescent="0.2">
      <c r="A434" s="403" t="s">
        <v>12583</v>
      </c>
      <c r="B434" s="432" t="s">
        <v>295</v>
      </c>
      <c r="C434" s="1148"/>
      <c r="D434" s="1151"/>
      <c r="E434" s="672">
        <v>6</v>
      </c>
      <c r="F434" s="674" t="s">
        <v>12582</v>
      </c>
      <c r="G434" s="634" t="s">
        <v>512</v>
      </c>
      <c r="H434" s="435">
        <f>55.1-55.1</f>
        <v>0</v>
      </c>
      <c r="I434" s="1153"/>
      <c r="J434" s="435">
        <f>2159000-2159000</f>
        <v>0</v>
      </c>
      <c r="K434" s="443"/>
    </row>
    <row r="435" spans="1:11" ht="12.75" customHeight="1" x14ac:dyDescent="0.2">
      <c r="A435" s="403" t="s">
        <v>12643</v>
      </c>
      <c r="B435" s="432" t="s">
        <v>295</v>
      </c>
      <c r="C435" s="1148"/>
      <c r="D435" s="1151"/>
      <c r="E435" s="672">
        <v>8</v>
      </c>
      <c r="F435" s="674" t="s">
        <v>12644</v>
      </c>
      <c r="G435" s="636" t="s">
        <v>137</v>
      </c>
      <c r="H435" s="435">
        <f>49-49</f>
        <v>0</v>
      </c>
      <c r="I435" s="1153"/>
      <c r="J435" s="435">
        <f>2537000-2537000</f>
        <v>0</v>
      </c>
      <c r="K435" s="443"/>
    </row>
    <row r="436" spans="1:11" ht="12.75" customHeight="1" x14ac:dyDescent="0.2">
      <c r="A436" s="403" t="s">
        <v>14020</v>
      </c>
      <c r="B436" s="432" t="s">
        <v>295</v>
      </c>
      <c r="C436" s="1149"/>
      <c r="D436" s="1152"/>
      <c r="E436" s="672">
        <v>12</v>
      </c>
      <c r="F436" s="674" t="s">
        <v>14021</v>
      </c>
      <c r="G436" s="840" t="s">
        <v>512</v>
      </c>
      <c r="H436" s="435">
        <f>55.2-55.2</f>
        <v>0</v>
      </c>
      <c r="I436" s="1146"/>
      <c r="J436" s="435">
        <f>4291000-4291000</f>
        <v>0</v>
      </c>
      <c r="K436" s="443"/>
    </row>
    <row r="437" spans="1:11" x14ac:dyDescent="0.2">
      <c r="A437" s="348" t="s">
        <v>12580</v>
      </c>
      <c r="B437" s="347"/>
      <c r="C437" s="1147" t="s">
        <v>11096</v>
      </c>
      <c r="D437" s="1150">
        <v>12</v>
      </c>
      <c r="E437" s="436"/>
      <c r="F437" s="178"/>
      <c r="G437" s="602"/>
      <c r="H437" s="441">
        <f>705-705</f>
        <v>0</v>
      </c>
      <c r="I437" s="1145">
        <v>1950</v>
      </c>
      <c r="J437" s="415">
        <f>1127700-1127700</f>
        <v>0</v>
      </c>
      <c r="K437" s="437"/>
    </row>
    <row r="438" spans="1:11" ht="12.75" customHeight="1" x14ac:dyDescent="0.2">
      <c r="A438" s="349" t="s">
        <v>749</v>
      </c>
      <c r="B438" s="347" t="s">
        <v>295</v>
      </c>
      <c r="C438" s="1148"/>
      <c r="D438" s="1151"/>
      <c r="E438" s="436">
        <v>4</v>
      </c>
      <c r="F438" s="178" t="s">
        <v>243</v>
      </c>
      <c r="G438" s="602"/>
      <c r="H438" s="441">
        <v>57.4</v>
      </c>
      <c r="I438" s="1153"/>
      <c r="J438" s="415">
        <v>91815.574468085106</v>
      </c>
      <c r="K438" s="437">
        <v>594847.11</v>
      </c>
    </row>
    <row r="439" spans="1:11" x14ac:dyDescent="0.2">
      <c r="A439" s="349" t="s">
        <v>750</v>
      </c>
      <c r="B439" s="347" t="s">
        <v>295</v>
      </c>
      <c r="C439" s="1148"/>
      <c r="D439" s="1151"/>
      <c r="E439" s="436">
        <v>10</v>
      </c>
      <c r="F439" s="178" t="s">
        <v>244</v>
      </c>
      <c r="G439" s="602"/>
      <c r="H439" s="441">
        <v>57.1</v>
      </c>
      <c r="I439" s="1153"/>
      <c r="J439" s="415">
        <v>91335.702127659577</v>
      </c>
      <c r="K439" s="437">
        <v>591738.15</v>
      </c>
    </row>
    <row r="440" spans="1:11" x14ac:dyDescent="0.2">
      <c r="A440" s="349" t="s">
        <v>751</v>
      </c>
      <c r="B440" s="347" t="s">
        <v>295</v>
      </c>
      <c r="C440" s="1148"/>
      <c r="D440" s="1151"/>
      <c r="E440" s="436">
        <v>11</v>
      </c>
      <c r="F440" s="178" t="s">
        <v>245</v>
      </c>
      <c r="G440" s="602"/>
      <c r="H440" s="441">
        <v>48.1</v>
      </c>
      <c r="I440" s="1153"/>
      <c r="J440" s="415">
        <v>76939.531914893625</v>
      </c>
      <c r="K440" s="437">
        <v>498469.44</v>
      </c>
    </row>
    <row r="441" spans="1:11" x14ac:dyDescent="0.2">
      <c r="A441" s="349" t="s">
        <v>752</v>
      </c>
      <c r="B441" s="347" t="s">
        <v>295</v>
      </c>
      <c r="C441" s="1148"/>
      <c r="D441" s="1151"/>
      <c r="E441" s="436">
        <v>12</v>
      </c>
      <c r="F441" s="178" t="s">
        <v>10001</v>
      </c>
      <c r="G441" s="602"/>
      <c r="H441" s="441">
        <v>56.4</v>
      </c>
      <c r="I441" s="1153"/>
      <c r="J441" s="415">
        <v>90216</v>
      </c>
      <c r="K441" s="437">
        <v>584483.92000000004</v>
      </c>
    </row>
    <row r="442" spans="1:11" ht="12.75" customHeight="1" x14ac:dyDescent="0.2">
      <c r="A442" s="349" t="s">
        <v>10271</v>
      </c>
      <c r="B442" s="347" t="s">
        <v>299</v>
      </c>
      <c r="C442" s="1149"/>
      <c r="D442" s="1152"/>
      <c r="E442" s="450" t="s">
        <v>10272</v>
      </c>
      <c r="F442" s="38" t="s">
        <v>10273</v>
      </c>
      <c r="G442" s="602" t="s">
        <v>137</v>
      </c>
      <c r="H442" s="415">
        <v>19.3</v>
      </c>
      <c r="I442" s="1146"/>
      <c r="J442" s="415">
        <f>1127700/705*19.3</f>
        <v>30871.787234042557</v>
      </c>
      <c r="K442" s="437">
        <v>200009.57</v>
      </c>
    </row>
    <row r="443" spans="1:11" ht="12.75" customHeight="1" x14ac:dyDescent="0.2">
      <c r="A443" s="590" t="s">
        <v>753</v>
      </c>
      <c r="B443" s="591"/>
      <c r="C443" s="1192" t="s">
        <v>11097</v>
      </c>
      <c r="D443" s="1198">
        <v>13</v>
      </c>
      <c r="E443" s="592"/>
      <c r="F443" s="200"/>
      <c r="G443" s="612"/>
      <c r="H443" s="593">
        <f>691-691</f>
        <v>0</v>
      </c>
      <c r="I443" s="1195">
        <v>1950</v>
      </c>
      <c r="J443" s="594">
        <f>1015800-1015800</f>
        <v>0</v>
      </c>
      <c r="K443" s="596"/>
    </row>
    <row r="444" spans="1:11" x14ac:dyDescent="0.2">
      <c r="A444" s="595" t="s">
        <v>754</v>
      </c>
      <c r="B444" s="591" t="s">
        <v>295</v>
      </c>
      <c r="C444" s="1193"/>
      <c r="D444" s="1199"/>
      <c r="E444" s="592">
        <v>1</v>
      </c>
      <c r="F444" s="200" t="s">
        <v>2945</v>
      </c>
      <c r="G444" s="612" t="s">
        <v>137</v>
      </c>
      <c r="H444" s="593">
        <v>56.9</v>
      </c>
      <c r="I444" s="1196"/>
      <c r="J444" s="594">
        <v>39544.16787264833</v>
      </c>
      <c r="K444" s="596">
        <v>589665.51</v>
      </c>
    </row>
    <row r="445" spans="1:11" x14ac:dyDescent="0.2">
      <c r="A445" s="595" t="s">
        <v>755</v>
      </c>
      <c r="B445" s="591" t="s">
        <v>295</v>
      </c>
      <c r="C445" s="1193"/>
      <c r="D445" s="1199"/>
      <c r="E445" s="597" t="s">
        <v>387</v>
      </c>
      <c r="F445" s="200"/>
      <c r="G445" s="612" t="s">
        <v>137</v>
      </c>
      <c r="H445" s="593">
        <v>30</v>
      </c>
      <c r="I445" s="1196"/>
      <c r="J445" s="594">
        <v>44101.302460202605</v>
      </c>
      <c r="K445" s="596"/>
    </row>
    <row r="446" spans="1:11" x14ac:dyDescent="0.2">
      <c r="A446" s="595" t="s">
        <v>756</v>
      </c>
      <c r="B446" s="591" t="s">
        <v>295</v>
      </c>
      <c r="C446" s="1193"/>
      <c r="D446" s="1199"/>
      <c r="E446" s="592">
        <v>2</v>
      </c>
      <c r="F446" s="200" t="s">
        <v>2946</v>
      </c>
      <c r="G446" s="612" t="s">
        <v>137</v>
      </c>
      <c r="H446" s="593">
        <v>47.2</v>
      </c>
      <c r="I446" s="1196"/>
      <c r="J446" s="594">
        <v>69386.049204052106</v>
      </c>
      <c r="K446" s="596">
        <v>489142.57</v>
      </c>
    </row>
    <row r="447" spans="1:11" ht="12.75" customHeight="1" x14ac:dyDescent="0.2">
      <c r="A447" s="595" t="s">
        <v>757</v>
      </c>
      <c r="B447" s="591" t="s">
        <v>295</v>
      </c>
      <c r="C447" s="1193"/>
      <c r="D447" s="1199"/>
      <c r="E447" s="592">
        <v>4</v>
      </c>
      <c r="F447" s="200" t="s">
        <v>2947</v>
      </c>
      <c r="G447" s="612" t="s">
        <v>512</v>
      </c>
      <c r="H447" s="593">
        <v>57.6</v>
      </c>
      <c r="I447" s="1196"/>
      <c r="J447" s="594">
        <v>83645.470332850935</v>
      </c>
      <c r="K447" s="596">
        <v>596919.74</v>
      </c>
    </row>
    <row r="448" spans="1:11" x14ac:dyDescent="0.2">
      <c r="A448" s="595" t="s">
        <v>758</v>
      </c>
      <c r="B448" s="591" t="s">
        <v>295</v>
      </c>
      <c r="C448" s="1193"/>
      <c r="D448" s="1199"/>
      <c r="E448" s="592">
        <v>5</v>
      </c>
      <c r="F448" s="200" t="s">
        <v>2948</v>
      </c>
      <c r="G448" s="612" t="s">
        <v>512</v>
      </c>
      <c r="H448" s="593">
        <v>47.2</v>
      </c>
      <c r="I448" s="1196"/>
      <c r="J448" s="594">
        <v>69386.049204052106</v>
      </c>
      <c r="K448" s="596">
        <v>489142.57</v>
      </c>
    </row>
    <row r="449" spans="1:11" x14ac:dyDescent="0.2">
      <c r="A449" s="595" t="s">
        <v>759</v>
      </c>
      <c r="B449" s="591" t="s">
        <v>295</v>
      </c>
      <c r="C449" s="1193"/>
      <c r="D449" s="1199"/>
      <c r="E449" s="592">
        <v>6</v>
      </c>
      <c r="F449" s="200" t="s">
        <v>2949</v>
      </c>
      <c r="G449" s="612" t="s">
        <v>512</v>
      </c>
      <c r="H449" s="593">
        <v>55.2</v>
      </c>
      <c r="I449" s="1196"/>
      <c r="J449" s="594">
        <v>81146.396526772791</v>
      </c>
      <c r="K449" s="596">
        <v>572048.09</v>
      </c>
    </row>
    <row r="450" spans="1:11" ht="12.75" customHeight="1" x14ac:dyDescent="0.2">
      <c r="A450" s="595" t="s">
        <v>1336</v>
      </c>
      <c r="B450" s="591" t="s">
        <v>295</v>
      </c>
      <c r="C450" s="1193"/>
      <c r="D450" s="1199"/>
      <c r="E450" s="592">
        <v>8</v>
      </c>
      <c r="F450" s="200" t="s">
        <v>2944</v>
      </c>
      <c r="G450" s="612" t="s">
        <v>137</v>
      </c>
      <c r="H450" s="593">
        <f>47.4-17.9</f>
        <v>29.5</v>
      </c>
      <c r="I450" s="1196"/>
      <c r="J450" s="594">
        <f>31752.9377713459-11991.09</f>
        <v>19761.8477713459</v>
      </c>
      <c r="K450" s="596">
        <v>491215.21</v>
      </c>
    </row>
    <row r="451" spans="1:11" x14ac:dyDescent="0.2">
      <c r="A451" s="595" t="s">
        <v>1337</v>
      </c>
      <c r="B451" s="591" t="s">
        <v>295</v>
      </c>
      <c r="C451" s="1193"/>
      <c r="D451" s="1199"/>
      <c r="E451" s="592">
        <v>11</v>
      </c>
      <c r="F451" s="200" t="s">
        <v>2950</v>
      </c>
      <c r="G451" s="612" t="s">
        <v>512</v>
      </c>
      <c r="H451" s="593">
        <v>48.7</v>
      </c>
      <c r="I451" s="1196"/>
      <c r="J451" s="594">
        <v>70562.083936324168</v>
      </c>
      <c r="K451" s="596">
        <v>504687.35</v>
      </c>
    </row>
    <row r="452" spans="1:11" ht="12.75" customHeight="1" x14ac:dyDescent="0.2">
      <c r="A452" s="403" t="s">
        <v>12639</v>
      </c>
      <c r="B452" s="432" t="s">
        <v>295</v>
      </c>
      <c r="C452" s="1193"/>
      <c r="D452" s="1199"/>
      <c r="E452" s="672">
        <v>3</v>
      </c>
      <c r="F452" s="200" t="s">
        <v>12640</v>
      </c>
      <c r="G452" s="636" t="s">
        <v>137</v>
      </c>
      <c r="H452" s="435">
        <v>54.9</v>
      </c>
      <c r="I452" s="1196"/>
      <c r="J452" s="435">
        <v>2624000</v>
      </c>
      <c r="K452" s="443">
        <v>568939.13</v>
      </c>
    </row>
    <row r="453" spans="1:11" ht="12.75" customHeight="1" x14ac:dyDescent="0.2">
      <c r="A453" s="403" t="s">
        <v>12641</v>
      </c>
      <c r="B453" s="432" t="s">
        <v>295</v>
      </c>
      <c r="C453" s="1193"/>
      <c r="D453" s="1199"/>
      <c r="E453" s="672">
        <v>9</v>
      </c>
      <c r="F453" s="200" t="s">
        <v>12642</v>
      </c>
      <c r="G453" s="636" t="s">
        <v>137</v>
      </c>
      <c r="H453" s="435">
        <v>55.4</v>
      </c>
      <c r="I453" s="1196"/>
      <c r="J453" s="435">
        <v>2683000</v>
      </c>
      <c r="K453" s="443">
        <v>640483.28</v>
      </c>
    </row>
    <row r="454" spans="1:11" ht="12.75" customHeight="1" x14ac:dyDescent="0.2">
      <c r="A454" s="349" t="s">
        <v>13311</v>
      </c>
      <c r="B454" s="347" t="s">
        <v>295</v>
      </c>
      <c r="C454" s="1193"/>
      <c r="D454" s="1199"/>
      <c r="E454" s="436">
        <v>10</v>
      </c>
      <c r="F454" s="178" t="s">
        <v>13312</v>
      </c>
      <c r="G454" s="347" t="s">
        <v>512</v>
      </c>
      <c r="H454" s="415">
        <v>55</v>
      </c>
      <c r="I454" s="1196"/>
      <c r="J454" s="415">
        <v>4280000</v>
      </c>
      <c r="K454" s="437">
        <v>569975.44999999995</v>
      </c>
    </row>
    <row r="455" spans="1:11" ht="12.75" customHeight="1" x14ac:dyDescent="0.2">
      <c r="A455" s="863" t="s">
        <v>14338</v>
      </c>
      <c r="B455" s="833" t="s">
        <v>295</v>
      </c>
      <c r="C455" s="1194"/>
      <c r="D455" s="1200"/>
      <c r="E455" s="436">
        <v>7</v>
      </c>
      <c r="F455" s="869" t="s">
        <v>14339</v>
      </c>
      <c r="G455" s="869"/>
      <c r="H455" s="870">
        <v>55</v>
      </c>
      <c r="I455" s="1197"/>
      <c r="J455" s="837">
        <v>5535000</v>
      </c>
      <c r="K455" s="437">
        <v>569975.44999999995</v>
      </c>
    </row>
    <row r="456" spans="1:11" ht="12.75" customHeight="1" x14ac:dyDescent="0.2">
      <c r="A456" s="348" t="s">
        <v>760</v>
      </c>
      <c r="B456" s="347"/>
      <c r="C456" s="1147" t="s">
        <v>11098</v>
      </c>
      <c r="D456" s="1150">
        <v>15</v>
      </c>
      <c r="E456" s="436"/>
      <c r="F456" s="200" t="s">
        <v>15361</v>
      </c>
      <c r="G456" s="602"/>
      <c r="H456" s="441">
        <f>688-688</f>
        <v>0</v>
      </c>
      <c r="I456" s="1145">
        <v>1949</v>
      </c>
      <c r="J456" s="415">
        <f>1019600-1019600</f>
        <v>0</v>
      </c>
      <c r="K456" s="437"/>
    </row>
    <row r="457" spans="1:11" ht="12.75" customHeight="1" x14ac:dyDescent="0.2">
      <c r="A457" s="349" t="s">
        <v>761</v>
      </c>
      <c r="B457" s="347" t="s">
        <v>295</v>
      </c>
      <c r="C457" s="1148"/>
      <c r="D457" s="1151"/>
      <c r="E457" s="436">
        <v>1</v>
      </c>
      <c r="F457" s="178" t="s">
        <v>2943</v>
      </c>
      <c r="G457" s="602"/>
      <c r="H457" s="441">
        <f>56-56</f>
        <v>0</v>
      </c>
      <c r="I457" s="1153"/>
      <c r="J457" s="415">
        <f>82990.6976744186-82990.6976744186</f>
        <v>0</v>
      </c>
      <c r="K457" s="437"/>
    </row>
    <row r="458" spans="1:11" x14ac:dyDescent="0.2">
      <c r="A458" s="349" t="s">
        <v>11099</v>
      </c>
      <c r="B458" s="347" t="s">
        <v>295</v>
      </c>
      <c r="C458" s="1148"/>
      <c r="D458" s="1151"/>
      <c r="E458" s="436">
        <v>9</v>
      </c>
      <c r="F458" s="178" t="s">
        <v>11100</v>
      </c>
      <c r="G458" s="602" t="s">
        <v>137</v>
      </c>
      <c r="H458" s="415">
        <f>54.7-54.7</f>
        <v>0</v>
      </c>
      <c r="I458" s="1153"/>
      <c r="J458" s="415">
        <f>1693000-1693000</f>
        <v>0</v>
      </c>
      <c r="K458" s="437"/>
    </row>
    <row r="459" spans="1:11" x14ac:dyDescent="0.2">
      <c r="A459" s="349" t="s">
        <v>11101</v>
      </c>
      <c r="B459" s="347" t="s">
        <v>295</v>
      </c>
      <c r="C459" s="1148"/>
      <c r="D459" s="1151"/>
      <c r="E459" s="436">
        <v>3</v>
      </c>
      <c r="F459" s="178" t="s">
        <v>11102</v>
      </c>
      <c r="G459" s="602" t="s">
        <v>137</v>
      </c>
      <c r="H459" s="415">
        <f>55.2-55.2</f>
        <v>0</v>
      </c>
      <c r="I459" s="1153"/>
      <c r="J459" s="415">
        <f>1593000-1593000</f>
        <v>0</v>
      </c>
      <c r="K459" s="437"/>
    </row>
    <row r="460" spans="1:11" x14ac:dyDescent="0.2">
      <c r="A460" s="349" t="s">
        <v>11601</v>
      </c>
      <c r="B460" s="347" t="s">
        <v>295</v>
      </c>
      <c r="C460" s="1148"/>
      <c r="D460" s="1151"/>
      <c r="E460" s="436">
        <v>6</v>
      </c>
      <c r="F460" s="178" t="s">
        <v>11603</v>
      </c>
      <c r="G460" s="602" t="s">
        <v>512</v>
      </c>
      <c r="H460" s="415">
        <f>54.9-54.9</f>
        <v>0</v>
      </c>
      <c r="I460" s="1153"/>
      <c r="J460" s="415">
        <f>1019600/688*54.9-(1019600/688*54.9)</f>
        <v>0</v>
      </c>
      <c r="K460" s="437"/>
    </row>
    <row r="461" spans="1:11" x14ac:dyDescent="0.2">
      <c r="A461" s="349" t="s">
        <v>11602</v>
      </c>
      <c r="B461" s="347" t="s">
        <v>295</v>
      </c>
      <c r="C461" s="1148"/>
      <c r="D461" s="1151"/>
      <c r="E461" s="436">
        <v>8</v>
      </c>
      <c r="F461" s="178" t="s">
        <v>11604</v>
      </c>
      <c r="G461" s="602" t="s">
        <v>137</v>
      </c>
      <c r="H461" s="415">
        <f>48.8-48.8</f>
        <v>0</v>
      </c>
      <c r="I461" s="1153"/>
      <c r="J461" s="415">
        <f>1435000-1435000</f>
        <v>0</v>
      </c>
      <c r="K461" s="437"/>
    </row>
    <row r="462" spans="1:11" x14ac:dyDescent="0.2">
      <c r="A462" s="349" t="s">
        <v>11770</v>
      </c>
      <c r="B462" s="347" t="s">
        <v>295</v>
      </c>
      <c r="C462" s="1148"/>
      <c r="D462" s="1151"/>
      <c r="E462" s="436">
        <v>7</v>
      </c>
      <c r="F462" s="178" t="s">
        <v>11774</v>
      </c>
      <c r="G462" s="602" t="s">
        <v>137</v>
      </c>
      <c r="H462" s="415">
        <f>54.8-54.8</f>
        <v>0</v>
      </c>
      <c r="I462" s="1153"/>
      <c r="J462" s="415">
        <f>1630000-1630000</f>
        <v>0</v>
      </c>
      <c r="K462" s="437"/>
    </row>
    <row r="463" spans="1:11" x14ac:dyDescent="0.2">
      <c r="A463" s="349" t="s">
        <v>11771</v>
      </c>
      <c r="B463" s="347" t="s">
        <v>295</v>
      </c>
      <c r="C463" s="1148"/>
      <c r="D463" s="1151"/>
      <c r="E463" s="436">
        <v>10</v>
      </c>
      <c r="F463" s="178" t="s">
        <v>11775</v>
      </c>
      <c r="G463" s="602" t="s">
        <v>512</v>
      </c>
      <c r="H463" s="415">
        <f>54.8-54.8</f>
        <v>0</v>
      </c>
      <c r="I463" s="1153"/>
      <c r="J463" s="415">
        <f>1653000-1653000</f>
        <v>0</v>
      </c>
      <c r="K463" s="437"/>
    </row>
    <row r="464" spans="1:11" x14ac:dyDescent="0.2">
      <c r="A464" s="349" t="s">
        <v>11772</v>
      </c>
      <c r="B464" s="347" t="s">
        <v>295</v>
      </c>
      <c r="C464" s="1148"/>
      <c r="D464" s="1151"/>
      <c r="E464" s="436">
        <v>12</v>
      </c>
      <c r="F464" s="178" t="s">
        <v>11776</v>
      </c>
      <c r="G464" s="602" t="s">
        <v>512</v>
      </c>
      <c r="H464" s="415">
        <f>55.4-55.4</f>
        <v>0</v>
      </c>
      <c r="I464" s="1153"/>
      <c r="J464" s="415">
        <f>1952000-1952000</f>
        <v>0</v>
      </c>
      <c r="K464" s="437"/>
    </row>
    <row r="465" spans="1:11" x14ac:dyDescent="0.2">
      <c r="A465" s="349" t="s">
        <v>12501</v>
      </c>
      <c r="B465" s="347" t="s">
        <v>295</v>
      </c>
      <c r="C465" s="1148"/>
      <c r="D465" s="1151"/>
      <c r="E465" s="436">
        <v>5</v>
      </c>
      <c r="F465" s="178" t="s">
        <v>11773</v>
      </c>
      <c r="G465" s="633" t="s">
        <v>512</v>
      </c>
      <c r="H465" s="415">
        <f>48.8-48.8</f>
        <v>0</v>
      </c>
      <c r="I465" s="1153"/>
      <c r="J465" s="415">
        <f>1935000-1935000</f>
        <v>0</v>
      </c>
      <c r="K465" s="437"/>
    </row>
    <row r="466" spans="1:11" x14ac:dyDescent="0.2">
      <c r="A466" s="403" t="s">
        <v>13223</v>
      </c>
      <c r="B466" s="432" t="s">
        <v>295</v>
      </c>
      <c r="C466" s="1148"/>
      <c r="D466" s="1151"/>
      <c r="E466" s="672">
        <v>4</v>
      </c>
      <c r="F466" s="200" t="s">
        <v>13222</v>
      </c>
      <c r="G466" s="432" t="s">
        <v>512</v>
      </c>
      <c r="H466" s="435">
        <f>56.8-56.8</f>
        <v>0</v>
      </c>
      <c r="I466" s="1153"/>
      <c r="J466" s="435">
        <f>1805795-1805795</f>
        <v>0</v>
      </c>
      <c r="K466" s="443"/>
    </row>
    <row r="467" spans="1:11" x14ac:dyDescent="0.2">
      <c r="A467" s="403" t="s">
        <v>14022</v>
      </c>
      <c r="B467" s="432" t="s">
        <v>295</v>
      </c>
      <c r="C467" s="1149"/>
      <c r="D467" s="1152"/>
      <c r="E467" s="672">
        <v>11</v>
      </c>
      <c r="F467" s="200" t="s">
        <v>14023</v>
      </c>
      <c r="G467" s="432" t="s">
        <v>512</v>
      </c>
      <c r="H467" s="435">
        <f>48.3-48.3</f>
        <v>0</v>
      </c>
      <c r="I467" s="1146"/>
      <c r="J467" s="435">
        <f>4021000-4021000</f>
        <v>0</v>
      </c>
      <c r="K467" s="443"/>
    </row>
    <row r="468" spans="1:11" ht="12.75" customHeight="1" x14ac:dyDescent="0.2">
      <c r="A468" s="348" t="s">
        <v>762</v>
      </c>
      <c r="B468" s="347"/>
      <c r="C468" s="1147" t="s">
        <v>11103</v>
      </c>
      <c r="D468" s="1150">
        <v>17</v>
      </c>
      <c r="E468" s="436"/>
      <c r="F468" s="200" t="s">
        <v>15385</v>
      </c>
      <c r="G468" s="602"/>
      <c r="H468" s="441">
        <f>685-685</f>
        <v>0</v>
      </c>
      <c r="I468" s="1145">
        <v>1949</v>
      </c>
      <c r="J468" s="415">
        <f>1020900-1020900</f>
        <v>0</v>
      </c>
      <c r="K468" s="437"/>
    </row>
    <row r="469" spans="1:11" ht="12.75" customHeight="1" x14ac:dyDescent="0.2">
      <c r="A469" s="349" t="s">
        <v>763</v>
      </c>
      <c r="B469" s="347" t="s">
        <v>295</v>
      </c>
      <c r="C469" s="1148"/>
      <c r="D469" s="1151"/>
      <c r="E469" s="436">
        <v>1</v>
      </c>
      <c r="F469" s="178"/>
      <c r="G469" s="602"/>
      <c r="H469" s="441">
        <f>55.9-55.9</f>
        <v>0</v>
      </c>
      <c r="I469" s="1153"/>
      <c r="J469" s="415">
        <f>83311.401459854-83311.401459854</f>
        <v>0</v>
      </c>
      <c r="K469" s="437"/>
    </row>
    <row r="470" spans="1:11" x14ac:dyDescent="0.2">
      <c r="A470" s="349" t="s">
        <v>1338</v>
      </c>
      <c r="B470" s="347" t="s">
        <v>295</v>
      </c>
      <c r="C470" s="1148"/>
      <c r="D470" s="1151"/>
      <c r="E470" s="436">
        <v>3</v>
      </c>
      <c r="F470" s="178"/>
      <c r="G470" s="602"/>
      <c r="H470" s="441">
        <f>52.6-52.6</f>
        <v>0</v>
      </c>
      <c r="I470" s="1153"/>
      <c r="J470" s="415">
        <f>78393.197080292-78393.197080292</f>
        <v>0</v>
      </c>
      <c r="K470" s="437"/>
    </row>
    <row r="471" spans="1:11" x14ac:dyDescent="0.2">
      <c r="A471" s="349" t="s">
        <v>1339</v>
      </c>
      <c r="B471" s="347" t="s">
        <v>295</v>
      </c>
      <c r="C471" s="1148"/>
      <c r="D471" s="1151"/>
      <c r="E471" s="436">
        <v>8</v>
      </c>
      <c r="F471" s="178"/>
      <c r="G471" s="602"/>
      <c r="H471" s="441">
        <f>48.7-48.7</f>
        <v>0</v>
      </c>
      <c r="I471" s="1153"/>
      <c r="J471" s="415">
        <f>72580.7737226278-72580.7737226278</f>
        <v>0</v>
      </c>
      <c r="K471" s="437"/>
    </row>
    <row r="472" spans="1:11" x14ac:dyDescent="0.2">
      <c r="A472" s="403" t="s">
        <v>12672</v>
      </c>
      <c r="B472" s="432" t="s">
        <v>295</v>
      </c>
      <c r="C472" s="1148"/>
      <c r="D472" s="1151"/>
      <c r="E472" s="672">
        <v>7</v>
      </c>
      <c r="F472" s="200" t="s">
        <v>12673</v>
      </c>
      <c r="G472" s="432" t="s">
        <v>137</v>
      </c>
      <c r="H472" s="435">
        <f>55.3-55.3</f>
        <v>0</v>
      </c>
      <c r="I472" s="1153"/>
      <c r="J472" s="435">
        <f>2685000-2685000</f>
        <v>0</v>
      </c>
      <c r="K472" s="443"/>
    </row>
    <row r="473" spans="1:11" x14ac:dyDescent="0.2">
      <c r="A473" s="403" t="s">
        <v>13058</v>
      </c>
      <c r="B473" s="432" t="s">
        <v>295</v>
      </c>
      <c r="C473" s="1148"/>
      <c r="D473" s="1151"/>
      <c r="E473" s="672">
        <v>4</v>
      </c>
      <c r="F473" s="200" t="s">
        <v>13059</v>
      </c>
      <c r="G473" s="432" t="s">
        <v>512</v>
      </c>
      <c r="H473" s="435">
        <f>54-54</f>
        <v>0</v>
      </c>
      <c r="I473" s="1153"/>
      <c r="J473" s="435">
        <f>2950000-2950000</f>
        <v>0</v>
      </c>
      <c r="K473" s="443"/>
    </row>
    <row r="474" spans="1:11" x14ac:dyDescent="0.2">
      <c r="A474" s="403" t="s">
        <v>14024</v>
      </c>
      <c r="B474" s="432" t="s">
        <v>295</v>
      </c>
      <c r="C474" s="1148"/>
      <c r="D474" s="1151"/>
      <c r="E474" s="672">
        <v>2</v>
      </c>
      <c r="F474" s="200" t="s">
        <v>14025</v>
      </c>
      <c r="G474" s="432" t="s">
        <v>137</v>
      </c>
      <c r="H474" s="435">
        <f>48.7-48.7</f>
        <v>0</v>
      </c>
      <c r="I474" s="1153"/>
      <c r="J474" s="435">
        <f>4089000-4089000</f>
        <v>0</v>
      </c>
      <c r="K474" s="443"/>
    </row>
    <row r="475" spans="1:11" x14ac:dyDescent="0.2">
      <c r="A475" s="403" t="s">
        <v>14026</v>
      </c>
      <c r="B475" s="432" t="s">
        <v>295</v>
      </c>
      <c r="C475" s="1148"/>
      <c r="D475" s="1151"/>
      <c r="E475" s="672">
        <v>10</v>
      </c>
      <c r="F475" s="200" t="s">
        <v>14029</v>
      </c>
      <c r="G475" s="432" t="s">
        <v>512</v>
      </c>
      <c r="H475" s="435">
        <f>55-55</f>
        <v>0</v>
      </c>
      <c r="I475" s="1153"/>
      <c r="J475" s="435">
        <f>4550000-4550000</f>
        <v>0</v>
      </c>
      <c r="K475" s="443"/>
    </row>
    <row r="476" spans="1:11" x14ac:dyDescent="0.2">
      <c r="A476" s="403" t="s">
        <v>14027</v>
      </c>
      <c r="B476" s="432" t="s">
        <v>295</v>
      </c>
      <c r="C476" s="1148"/>
      <c r="D476" s="1151"/>
      <c r="E476" s="672">
        <v>11</v>
      </c>
      <c r="F476" s="200" t="s">
        <v>14030</v>
      </c>
      <c r="G476" s="432" t="s">
        <v>512</v>
      </c>
      <c r="H476" s="435">
        <f>47.2-47.2</f>
        <v>0</v>
      </c>
      <c r="I476" s="1153"/>
      <c r="J476" s="435">
        <f>3929000-3929000</f>
        <v>0</v>
      </c>
      <c r="K476" s="443"/>
    </row>
    <row r="477" spans="1:11" x14ac:dyDescent="0.2">
      <c r="A477" s="403" t="s">
        <v>14028</v>
      </c>
      <c r="B477" s="432" t="s">
        <v>295</v>
      </c>
      <c r="C477" s="1148"/>
      <c r="D477" s="1151"/>
      <c r="E477" s="672">
        <v>12</v>
      </c>
      <c r="F477" s="200" t="s">
        <v>14031</v>
      </c>
      <c r="G477" s="432" t="s">
        <v>512</v>
      </c>
      <c r="H477" s="435">
        <f>54.8-54.8</f>
        <v>0</v>
      </c>
      <c r="I477" s="1153"/>
      <c r="J477" s="435">
        <f>4644000-4644000</f>
        <v>0</v>
      </c>
      <c r="K477" s="443"/>
    </row>
    <row r="478" spans="1:11" x14ac:dyDescent="0.2">
      <c r="A478" s="595" t="s">
        <v>14340</v>
      </c>
      <c r="B478" s="432" t="s">
        <v>295</v>
      </c>
      <c r="C478" s="1149"/>
      <c r="D478" s="1152"/>
      <c r="E478" s="672">
        <v>5</v>
      </c>
      <c r="F478" s="869" t="s">
        <v>14341</v>
      </c>
      <c r="G478" s="869" t="s">
        <v>512</v>
      </c>
      <c r="H478" s="870">
        <f>27-27</f>
        <v>0</v>
      </c>
      <c r="I478" s="1146"/>
      <c r="J478" s="435">
        <f>2139966-2139966</f>
        <v>0</v>
      </c>
      <c r="K478" s="443"/>
    </row>
    <row r="479" spans="1:11" ht="12.75" customHeight="1" x14ac:dyDescent="0.2">
      <c r="A479" s="348" t="s">
        <v>764</v>
      </c>
      <c r="B479" s="347"/>
      <c r="C479" s="1147" t="s">
        <v>11104</v>
      </c>
      <c r="D479" s="1150">
        <v>19</v>
      </c>
      <c r="E479" s="436"/>
      <c r="F479" s="178"/>
      <c r="G479" s="602"/>
      <c r="H479" s="441">
        <f>686-686</f>
        <v>0</v>
      </c>
      <c r="I479" s="1145">
        <v>1949</v>
      </c>
      <c r="J479" s="415">
        <f>1017000-1017000</f>
        <v>0</v>
      </c>
      <c r="K479" s="437"/>
    </row>
    <row r="480" spans="1:11" ht="12.75" customHeight="1" x14ac:dyDescent="0.2">
      <c r="A480" s="349" t="s">
        <v>1340</v>
      </c>
      <c r="B480" s="347" t="s">
        <v>295</v>
      </c>
      <c r="C480" s="1148"/>
      <c r="D480" s="1151"/>
      <c r="E480" s="436">
        <v>4</v>
      </c>
      <c r="F480" s="178"/>
      <c r="G480" s="602"/>
      <c r="H480" s="441">
        <v>55.4</v>
      </c>
      <c r="I480" s="1153"/>
      <c r="J480" s="415">
        <v>82130.903790087454</v>
      </c>
      <c r="K480" s="437"/>
    </row>
    <row r="481" spans="1:11" ht="12.75" customHeight="1" x14ac:dyDescent="0.2">
      <c r="A481" s="349" t="s">
        <v>1341</v>
      </c>
      <c r="B481" s="347" t="s">
        <v>295</v>
      </c>
      <c r="C481" s="1148"/>
      <c r="D481" s="1151"/>
      <c r="E481" s="436">
        <v>5</v>
      </c>
      <c r="F481" s="178"/>
      <c r="G481" s="602"/>
      <c r="H481" s="441">
        <v>48.5</v>
      </c>
      <c r="I481" s="1153"/>
      <c r="J481" s="415">
        <v>71901.603498542274</v>
      </c>
      <c r="K481" s="437"/>
    </row>
    <row r="482" spans="1:11" x14ac:dyDescent="0.2">
      <c r="A482" s="349" t="s">
        <v>1342</v>
      </c>
      <c r="B482" s="347" t="s">
        <v>295</v>
      </c>
      <c r="C482" s="1148"/>
      <c r="D482" s="1151"/>
      <c r="E482" s="436">
        <v>7</v>
      </c>
      <c r="F482" s="178"/>
      <c r="G482" s="602"/>
      <c r="H482" s="441">
        <v>55.5</v>
      </c>
      <c r="I482" s="1153"/>
      <c r="J482" s="415">
        <v>82279.15451895044</v>
      </c>
      <c r="K482" s="437"/>
    </row>
    <row r="483" spans="1:11" x14ac:dyDescent="0.2">
      <c r="A483" s="403" t="s">
        <v>12577</v>
      </c>
      <c r="B483" s="432" t="s">
        <v>295</v>
      </c>
      <c r="C483" s="1148"/>
      <c r="D483" s="1151"/>
      <c r="E483" s="405">
        <v>6</v>
      </c>
      <c r="F483" s="347" t="s">
        <v>12578</v>
      </c>
      <c r="G483" s="633" t="s">
        <v>512</v>
      </c>
      <c r="H483" s="415">
        <v>55.1</v>
      </c>
      <c r="I483" s="1153"/>
      <c r="J483" s="435">
        <v>2126000</v>
      </c>
      <c r="K483" s="443">
        <v>571011.77</v>
      </c>
    </row>
    <row r="484" spans="1:11" x14ac:dyDescent="0.2">
      <c r="A484" s="403" t="s">
        <v>13060</v>
      </c>
      <c r="B484" s="432" t="s">
        <v>295</v>
      </c>
      <c r="C484" s="1148"/>
      <c r="D484" s="1151"/>
      <c r="E484" s="672">
        <v>1</v>
      </c>
      <c r="F484" s="432" t="s">
        <v>13062</v>
      </c>
      <c r="G484" s="432" t="s">
        <v>137</v>
      </c>
      <c r="H484" s="435">
        <v>55.4</v>
      </c>
      <c r="I484" s="1153"/>
      <c r="J484" s="435">
        <v>2995000</v>
      </c>
      <c r="K484" s="443">
        <v>574120.73</v>
      </c>
    </row>
    <row r="485" spans="1:11" x14ac:dyDescent="0.2">
      <c r="A485" s="403" t="s">
        <v>13061</v>
      </c>
      <c r="B485" s="432" t="s">
        <v>295</v>
      </c>
      <c r="C485" s="1148"/>
      <c r="D485" s="1151"/>
      <c r="E485" s="672">
        <v>10</v>
      </c>
      <c r="F485" s="432" t="s">
        <v>13063</v>
      </c>
      <c r="G485" s="432" t="s">
        <v>512</v>
      </c>
      <c r="H485" s="435">
        <v>56.9</v>
      </c>
      <c r="I485" s="1153"/>
      <c r="J485" s="435">
        <v>2871000</v>
      </c>
      <c r="K485" s="443">
        <v>589665.51</v>
      </c>
    </row>
    <row r="486" spans="1:11" x14ac:dyDescent="0.2">
      <c r="A486" s="349" t="s">
        <v>13309</v>
      </c>
      <c r="B486" s="347" t="s">
        <v>295</v>
      </c>
      <c r="C486" s="1148"/>
      <c r="D486" s="1151"/>
      <c r="E486" s="436">
        <v>2</v>
      </c>
      <c r="F486" s="347" t="s">
        <v>13310</v>
      </c>
      <c r="G486" s="347" t="s">
        <v>137</v>
      </c>
      <c r="H486" s="415">
        <v>48.5</v>
      </c>
      <c r="I486" s="1153"/>
      <c r="J486" s="415">
        <v>3025000</v>
      </c>
      <c r="K486" s="437">
        <v>502614.72</v>
      </c>
    </row>
    <row r="487" spans="1:11" x14ac:dyDescent="0.2">
      <c r="A487" s="834" t="s">
        <v>14032</v>
      </c>
      <c r="B487" s="833" t="s">
        <v>295</v>
      </c>
      <c r="C487" s="1148"/>
      <c r="D487" s="1151"/>
      <c r="E487" s="436">
        <v>11</v>
      </c>
      <c r="F487" s="833" t="s">
        <v>14033</v>
      </c>
      <c r="G487" s="833" t="s">
        <v>512</v>
      </c>
      <c r="H487" s="837">
        <v>48.5</v>
      </c>
      <c r="I487" s="1153"/>
      <c r="J487" s="837">
        <v>4045000</v>
      </c>
      <c r="K487" s="437">
        <v>500542.08</v>
      </c>
    </row>
    <row r="488" spans="1:11" x14ac:dyDescent="0.2">
      <c r="A488" s="863" t="s">
        <v>14342</v>
      </c>
      <c r="B488" s="833" t="s">
        <v>295</v>
      </c>
      <c r="C488" s="1148"/>
      <c r="D488" s="1151"/>
      <c r="E488" s="436">
        <v>8</v>
      </c>
      <c r="F488" s="869" t="s">
        <v>14344</v>
      </c>
      <c r="G488" s="869" t="s">
        <v>137</v>
      </c>
      <c r="H488" s="870">
        <v>47.9</v>
      </c>
      <c r="I488" s="1153"/>
      <c r="J488" s="870">
        <v>4047000</v>
      </c>
      <c r="K488" s="872">
        <v>496396.79999999999</v>
      </c>
    </row>
    <row r="489" spans="1:11" x14ac:dyDescent="0.2">
      <c r="A489" s="863" t="s">
        <v>14343</v>
      </c>
      <c r="B489" s="833" t="s">
        <v>295</v>
      </c>
      <c r="C489" s="1149"/>
      <c r="D489" s="1152"/>
      <c r="E489" s="436">
        <v>12</v>
      </c>
      <c r="F489" s="869" t="s">
        <v>14345</v>
      </c>
      <c r="G489" s="869" t="s">
        <v>512</v>
      </c>
      <c r="H489" s="870">
        <v>55.3</v>
      </c>
      <c r="I489" s="1146"/>
      <c r="J489" s="870">
        <v>4725762</v>
      </c>
      <c r="K489" s="872">
        <v>573084.41</v>
      </c>
    </row>
    <row r="490" spans="1:11" ht="12.75" customHeight="1" x14ac:dyDescent="0.2">
      <c r="A490" s="348" t="s">
        <v>765</v>
      </c>
      <c r="B490" s="347"/>
      <c r="C490" s="1157" t="s">
        <v>11105</v>
      </c>
      <c r="D490" s="1158">
        <v>1</v>
      </c>
      <c r="E490" s="436"/>
      <c r="F490" s="178" t="s">
        <v>10274</v>
      </c>
      <c r="G490" s="602"/>
      <c r="H490" s="441">
        <f>973-973</f>
        <v>0</v>
      </c>
      <c r="I490" s="1159">
        <v>1955</v>
      </c>
      <c r="J490" s="415">
        <f>1404700-1404700</f>
        <v>0</v>
      </c>
      <c r="K490" s="437"/>
    </row>
    <row r="491" spans="1:11" ht="12.75" customHeight="1" x14ac:dyDescent="0.2">
      <c r="A491" s="349" t="s">
        <v>766</v>
      </c>
      <c r="B491" s="347" t="s">
        <v>295</v>
      </c>
      <c r="C491" s="1157"/>
      <c r="D491" s="1158"/>
      <c r="E491" s="436">
        <v>1</v>
      </c>
      <c r="F491" s="178"/>
      <c r="G491" s="602"/>
      <c r="H491" s="441">
        <v>61.5</v>
      </c>
      <c r="I491" s="1159"/>
      <c r="J491" s="415">
        <v>88786.279547790342</v>
      </c>
      <c r="K491" s="437">
        <v>637336.18999999994</v>
      </c>
    </row>
    <row r="492" spans="1:11" ht="12.75" customHeight="1" x14ac:dyDescent="0.2">
      <c r="A492" s="349" t="s">
        <v>767</v>
      </c>
      <c r="B492" s="347" t="s">
        <v>295</v>
      </c>
      <c r="C492" s="1157"/>
      <c r="D492" s="1158"/>
      <c r="E492" s="436">
        <v>3</v>
      </c>
      <c r="F492" s="178"/>
      <c r="G492" s="602"/>
      <c r="H492" s="441">
        <v>82.4</v>
      </c>
      <c r="I492" s="1159"/>
      <c r="J492" s="415">
        <v>118959.17780061666</v>
      </c>
      <c r="K492" s="437">
        <v>853926.86</v>
      </c>
    </row>
    <row r="493" spans="1:11" ht="12.75" customHeight="1" x14ac:dyDescent="0.2">
      <c r="A493" s="349" t="s">
        <v>768</v>
      </c>
      <c r="B493" s="347" t="s">
        <v>295</v>
      </c>
      <c r="C493" s="1157"/>
      <c r="D493" s="1158"/>
      <c r="E493" s="436">
        <v>11</v>
      </c>
      <c r="F493" s="178"/>
      <c r="G493" s="602"/>
      <c r="H493" s="441">
        <v>80.2</v>
      </c>
      <c r="I493" s="1159"/>
      <c r="J493" s="415">
        <v>115783.08324768757</v>
      </c>
      <c r="K493" s="437">
        <v>831127.84</v>
      </c>
    </row>
    <row r="494" spans="1:11" ht="12.75" customHeight="1" x14ac:dyDescent="0.2">
      <c r="A494" s="348" t="s">
        <v>769</v>
      </c>
      <c r="B494" s="347"/>
      <c r="C494" s="1147" t="s">
        <v>11106</v>
      </c>
      <c r="D494" s="1150">
        <v>5</v>
      </c>
      <c r="E494" s="436"/>
      <c r="F494" s="178"/>
      <c r="G494" s="602"/>
      <c r="H494" s="441">
        <f>684-684</f>
        <v>0</v>
      </c>
      <c r="I494" s="1145">
        <v>1952</v>
      </c>
      <c r="J494" s="415">
        <f>1105200-1105200</f>
        <v>0</v>
      </c>
      <c r="K494" s="437"/>
    </row>
    <row r="495" spans="1:11" ht="12.75" customHeight="1" x14ac:dyDescent="0.2">
      <c r="A495" s="349" t="s">
        <v>1343</v>
      </c>
      <c r="B495" s="347" t="s">
        <v>295</v>
      </c>
      <c r="C495" s="1148"/>
      <c r="D495" s="1151"/>
      <c r="E495" s="436">
        <v>5</v>
      </c>
      <c r="F495" s="178" t="s">
        <v>10002</v>
      </c>
      <c r="G495" s="602"/>
      <c r="H495" s="441">
        <v>48.2</v>
      </c>
      <c r="I495" s="1153"/>
      <c r="J495" s="415">
        <v>77396.315789473694</v>
      </c>
      <c r="K495" s="437">
        <v>518243.03</v>
      </c>
    </row>
    <row r="496" spans="1:11" ht="12.75" customHeight="1" x14ac:dyDescent="0.2">
      <c r="A496" s="349" t="s">
        <v>9247</v>
      </c>
      <c r="B496" s="347" t="s">
        <v>9246</v>
      </c>
      <c r="C496" s="1149"/>
      <c r="D496" s="1152"/>
      <c r="E496" s="453">
        <v>8</v>
      </c>
      <c r="F496" s="178" t="s">
        <v>10003</v>
      </c>
      <c r="G496" s="602" t="s">
        <v>137</v>
      </c>
      <c r="H496" s="415">
        <v>48.2</v>
      </c>
      <c r="I496" s="1146"/>
      <c r="J496" s="415">
        <v>1063227</v>
      </c>
      <c r="K496" s="437">
        <v>518243.03</v>
      </c>
    </row>
    <row r="497" spans="1:11" ht="12.75" customHeight="1" x14ac:dyDescent="0.2">
      <c r="A497" s="348" t="s">
        <v>770</v>
      </c>
      <c r="B497" s="347"/>
      <c r="C497" s="1157" t="s">
        <v>11107</v>
      </c>
      <c r="D497" s="1158">
        <v>6</v>
      </c>
      <c r="E497" s="436"/>
      <c r="F497" s="178"/>
      <c r="G497" s="602"/>
      <c r="H497" s="441">
        <f>694-694</f>
        <v>0</v>
      </c>
      <c r="I497" s="1159">
        <v>1950</v>
      </c>
      <c r="J497" s="415">
        <v>1041.4000000000001</v>
      </c>
      <c r="K497" s="437"/>
    </row>
    <row r="498" spans="1:11" x14ac:dyDescent="0.2">
      <c r="A498" s="349" t="s">
        <v>1344</v>
      </c>
      <c r="B498" s="347" t="s">
        <v>295</v>
      </c>
      <c r="C498" s="1157"/>
      <c r="D498" s="1158"/>
      <c r="E498" s="436">
        <v>7</v>
      </c>
      <c r="F498" s="178"/>
      <c r="G498" s="602"/>
      <c r="H498" s="441">
        <v>56.8</v>
      </c>
      <c r="I498" s="1159"/>
      <c r="J498" s="415"/>
      <c r="K498" s="437"/>
    </row>
    <row r="499" spans="1:11" x14ac:dyDescent="0.2">
      <c r="A499" s="348" t="s">
        <v>771</v>
      </c>
      <c r="B499" s="347"/>
      <c r="C499" s="1157" t="s">
        <v>11108</v>
      </c>
      <c r="D499" s="1158">
        <v>8</v>
      </c>
      <c r="E499" s="436"/>
      <c r="F499" s="178"/>
      <c r="G499" s="602"/>
      <c r="H499" s="441">
        <f>690-690</f>
        <v>0</v>
      </c>
      <c r="I499" s="1159">
        <v>1955</v>
      </c>
      <c r="J499" s="415">
        <f>1015000-1015000</f>
        <v>0</v>
      </c>
      <c r="K499" s="437"/>
    </row>
    <row r="500" spans="1:11" ht="12.75" customHeight="1" x14ac:dyDescent="0.2">
      <c r="A500" s="349" t="s">
        <v>772</v>
      </c>
      <c r="B500" s="347" t="s">
        <v>295</v>
      </c>
      <c r="C500" s="1157"/>
      <c r="D500" s="1158"/>
      <c r="E500" s="436">
        <v>3</v>
      </c>
      <c r="F500" s="178" t="s">
        <v>10004</v>
      </c>
      <c r="G500" s="602"/>
      <c r="H500" s="441">
        <v>55.9</v>
      </c>
      <c r="I500" s="1159"/>
      <c r="J500" s="415">
        <v>82229.710144927536</v>
      </c>
      <c r="K500" s="437">
        <v>701457.24</v>
      </c>
    </row>
    <row r="501" spans="1:11" x14ac:dyDescent="0.2">
      <c r="A501" s="349" t="s">
        <v>1345</v>
      </c>
      <c r="B501" s="347" t="s">
        <v>295</v>
      </c>
      <c r="C501" s="1157"/>
      <c r="D501" s="1158"/>
      <c r="E501" s="436">
        <v>7</v>
      </c>
      <c r="F501" s="178" t="s">
        <v>227</v>
      </c>
      <c r="G501" s="602"/>
      <c r="H501" s="441">
        <v>55.3</v>
      </c>
      <c r="I501" s="1159"/>
      <c r="J501" s="415">
        <v>81347.10144927536</v>
      </c>
      <c r="K501" s="437">
        <v>693928.18</v>
      </c>
    </row>
    <row r="502" spans="1:11" x14ac:dyDescent="0.2">
      <c r="A502" s="349" t="s">
        <v>773</v>
      </c>
      <c r="B502" s="347" t="s">
        <v>295</v>
      </c>
      <c r="C502" s="1157"/>
      <c r="D502" s="1158"/>
      <c r="E502" s="436">
        <v>9</v>
      </c>
      <c r="F502" s="178" t="s">
        <v>228</v>
      </c>
      <c r="G502" s="602"/>
      <c r="H502" s="441">
        <v>57</v>
      </c>
      <c r="I502" s="1159"/>
      <c r="J502" s="415">
        <v>83847.826086956527</v>
      </c>
      <c r="K502" s="437">
        <v>715280.51</v>
      </c>
    </row>
    <row r="503" spans="1:11" ht="12.75" customHeight="1" x14ac:dyDescent="0.2">
      <c r="A503" s="348" t="s">
        <v>774</v>
      </c>
      <c r="B503" s="347"/>
      <c r="C503" s="1147" t="s">
        <v>11109</v>
      </c>
      <c r="D503" s="1150">
        <v>11</v>
      </c>
      <c r="E503" s="436"/>
      <c r="F503" s="178"/>
      <c r="G503" s="602"/>
      <c r="H503" s="441">
        <f>979-979</f>
        <v>0</v>
      </c>
      <c r="I503" s="1145">
        <v>1954</v>
      </c>
      <c r="J503" s="415">
        <f>1103400-1103400</f>
        <v>0</v>
      </c>
      <c r="K503" s="437"/>
    </row>
    <row r="504" spans="1:11" ht="12.75" customHeight="1" x14ac:dyDescent="0.2">
      <c r="A504" s="349" t="s">
        <v>775</v>
      </c>
      <c r="B504" s="347" t="s">
        <v>295</v>
      </c>
      <c r="C504" s="1148"/>
      <c r="D504" s="1151"/>
      <c r="E504" s="436">
        <v>3</v>
      </c>
      <c r="F504" s="178" t="s">
        <v>2952</v>
      </c>
      <c r="G504" s="602"/>
      <c r="H504" s="441">
        <v>83.7</v>
      </c>
      <c r="I504" s="1153"/>
      <c r="J504" s="415">
        <v>94335.628192032687</v>
      </c>
      <c r="K504" s="437">
        <v>1034919.53</v>
      </c>
    </row>
    <row r="505" spans="1:11" ht="12.75" customHeight="1" x14ac:dyDescent="0.2">
      <c r="A505" s="349" t="s">
        <v>776</v>
      </c>
      <c r="B505" s="347" t="s">
        <v>295</v>
      </c>
      <c r="C505" s="1148"/>
      <c r="D505" s="1151"/>
      <c r="E505" s="436">
        <v>5</v>
      </c>
      <c r="F505" s="178" t="s">
        <v>2953</v>
      </c>
      <c r="G505" s="602"/>
      <c r="H505" s="441">
        <v>79.400000000000006</v>
      </c>
      <c r="I505" s="1153"/>
      <c r="J505" s="415">
        <v>89489.233912155265</v>
      </c>
      <c r="K505" s="437">
        <v>981751.62</v>
      </c>
    </row>
    <row r="506" spans="1:11" x14ac:dyDescent="0.2">
      <c r="A506" s="349" t="s">
        <v>777</v>
      </c>
      <c r="B506" s="347" t="s">
        <v>295</v>
      </c>
      <c r="C506" s="1148"/>
      <c r="D506" s="1151"/>
      <c r="E506" s="436">
        <v>9</v>
      </c>
      <c r="F506" s="178" t="s">
        <v>2954</v>
      </c>
      <c r="G506" s="602"/>
      <c r="H506" s="441">
        <v>62.1</v>
      </c>
      <c r="I506" s="1153"/>
      <c r="J506" s="415">
        <v>69990.949948927475</v>
      </c>
      <c r="K506" s="437">
        <v>779257.5</v>
      </c>
    </row>
    <row r="507" spans="1:11" x14ac:dyDescent="0.2">
      <c r="A507" s="349" t="s">
        <v>778</v>
      </c>
      <c r="B507" s="347" t="s">
        <v>295</v>
      </c>
      <c r="C507" s="1148"/>
      <c r="D507" s="1151"/>
      <c r="E507" s="436">
        <v>10</v>
      </c>
      <c r="F507" s="178" t="s">
        <v>10005</v>
      </c>
      <c r="G507" s="602"/>
      <c r="H507" s="441">
        <v>84.6</v>
      </c>
      <c r="I507" s="1153"/>
      <c r="J507" s="415">
        <v>95349.989785495403</v>
      </c>
      <c r="K507" s="437">
        <v>1046047.7</v>
      </c>
    </row>
    <row r="508" spans="1:11" x14ac:dyDescent="0.2">
      <c r="A508" s="403" t="s">
        <v>13047</v>
      </c>
      <c r="B508" s="432" t="s">
        <v>295</v>
      </c>
      <c r="C508" s="1148"/>
      <c r="D508" s="1151"/>
      <c r="E508" s="672">
        <v>1</v>
      </c>
      <c r="F508" s="200" t="s">
        <v>13049</v>
      </c>
      <c r="G508" s="432" t="s">
        <v>137</v>
      </c>
      <c r="H508" s="435">
        <v>61.6</v>
      </c>
      <c r="I508" s="1153"/>
      <c r="J508" s="435">
        <v>3535000</v>
      </c>
      <c r="K508" s="443">
        <v>772983.29</v>
      </c>
    </row>
    <row r="509" spans="1:11" x14ac:dyDescent="0.2">
      <c r="A509" s="403" t="s">
        <v>13048</v>
      </c>
      <c r="B509" s="432" t="s">
        <v>295</v>
      </c>
      <c r="C509" s="1148"/>
      <c r="D509" s="1151"/>
      <c r="E509" s="672">
        <v>12</v>
      </c>
      <c r="F509" s="200" t="s">
        <v>13050</v>
      </c>
      <c r="G509" s="432" t="s">
        <v>512</v>
      </c>
      <c r="H509" s="435">
        <v>60.9</v>
      </c>
      <c r="I509" s="1153"/>
      <c r="J509" s="435">
        <v>3544000</v>
      </c>
      <c r="K509" s="443">
        <v>764199.39</v>
      </c>
    </row>
    <row r="510" spans="1:11" x14ac:dyDescent="0.2">
      <c r="A510" s="349" t="s">
        <v>13313</v>
      </c>
      <c r="B510" s="347" t="s">
        <v>295</v>
      </c>
      <c r="C510" s="1148"/>
      <c r="D510" s="1151"/>
      <c r="E510" s="436">
        <v>11</v>
      </c>
      <c r="F510" s="178" t="s">
        <v>13314</v>
      </c>
      <c r="G510" s="347" t="s">
        <v>512</v>
      </c>
      <c r="H510" s="415">
        <v>79</v>
      </c>
      <c r="I510" s="1153"/>
      <c r="J510" s="415">
        <v>4434000</v>
      </c>
      <c r="K510" s="437">
        <v>976805.77</v>
      </c>
    </row>
    <row r="511" spans="1:11" x14ac:dyDescent="0.2">
      <c r="A511" s="834" t="s">
        <v>14034</v>
      </c>
      <c r="B511" s="833" t="s">
        <v>295</v>
      </c>
      <c r="C511" s="1148"/>
      <c r="D511" s="1151"/>
      <c r="E511" s="436">
        <v>6</v>
      </c>
      <c r="F511" s="178" t="s">
        <v>14036</v>
      </c>
      <c r="G511" s="833" t="s">
        <v>512</v>
      </c>
      <c r="H511" s="837">
        <v>82.1</v>
      </c>
      <c r="I511" s="1153"/>
      <c r="J511" s="837">
        <v>6599000</v>
      </c>
      <c r="K511" s="437">
        <v>1015136.12</v>
      </c>
    </row>
    <row r="512" spans="1:11" x14ac:dyDescent="0.2">
      <c r="A512" s="834" t="s">
        <v>14035</v>
      </c>
      <c r="B512" s="833" t="s">
        <v>295</v>
      </c>
      <c r="C512" s="1148"/>
      <c r="D512" s="1151"/>
      <c r="E512" s="436">
        <v>7</v>
      </c>
      <c r="F512" s="178" t="s">
        <v>14037</v>
      </c>
      <c r="G512" s="833" t="s">
        <v>137</v>
      </c>
      <c r="H512" s="837">
        <v>81.900000000000006</v>
      </c>
      <c r="I512" s="1153"/>
      <c r="J512" s="837">
        <v>6527000</v>
      </c>
      <c r="K512" s="437">
        <v>1012663.2</v>
      </c>
    </row>
    <row r="513" spans="1:11" x14ac:dyDescent="0.2">
      <c r="A513" s="863" t="s">
        <v>14346</v>
      </c>
      <c r="B513" s="833" t="s">
        <v>295</v>
      </c>
      <c r="C513" s="1148"/>
      <c r="D513" s="1151"/>
      <c r="E513" s="436">
        <v>2</v>
      </c>
      <c r="F513" s="869" t="s">
        <v>14348</v>
      </c>
      <c r="G513" s="873" t="s">
        <v>137</v>
      </c>
      <c r="H513" s="870">
        <v>79.3</v>
      </c>
      <c r="I513" s="1153"/>
      <c r="J513" s="870">
        <v>7212088</v>
      </c>
      <c r="K513" s="872">
        <v>980515.16</v>
      </c>
    </row>
    <row r="514" spans="1:11" x14ac:dyDescent="0.2">
      <c r="A514" s="863" t="s">
        <v>14347</v>
      </c>
      <c r="B514" s="833" t="s">
        <v>295</v>
      </c>
      <c r="C514" s="1149"/>
      <c r="D514" s="1152"/>
      <c r="E514" s="436">
        <v>8</v>
      </c>
      <c r="F514" s="869" t="s">
        <v>14349</v>
      </c>
      <c r="G514" s="873" t="s">
        <v>137</v>
      </c>
      <c r="H514" s="870">
        <v>77.099999999999994</v>
      </c>
      <c r="I514" s="1146"/>
      <c r="J514" s="870">
        <v>7000000</v>
      </c>
      <c r="K514" s="872">
        <v>953312.97</v>
      </c>
    </row>
    <row r="515" spans="1:11" x14ac:dyDescent="0.2">
      <c r="A515" s="348" t="s">
        <v>779</v>
      </c>
      <c r="B515" s="347"/>
      <c r="C515" s="1157" t="s">
        <v>11110</v>
      </c>
      <c r="D515" s="1158">
        <v>12</v>
      </c>
      <c r="E515" s="436"/>
      <c r="F515" s="178"/>
      <c r="G515" s="602"/>
      <c r="H515" s="441">
        <f>1083-1083</f>
        <v>0</v>
      </c>
      <c r="I515" s="1159">
        <v>1955</v>
      </c>
      <c r="J515" s="415">
        <f>1497300-1497300</f>
        <v>0</v>
      </c>
      <c r="K515" s="437"/>
    </row>
    <row r="516" spans="1:11" x14ac:dyDescent="0.2">
      <c r="A516" s="349" t="s">
        <v>780</v>
      </c>
      <c r="B516" s="347" t="s">
        <v>295</v>
      </c>
      <c r="C516" s="1157"/>
      <c r="D516" s="1158"/>
      <c r="E516" s="436">
        <v>1</v>
      </c>
      <c r="F516" s="178" t="s">
        <v>2955</v>
      </c>
      <c r="G516" s="602"/>
      <c r="H516" s="441">
        <v>61.9</v>
      </c>
      <c r="I516" s="1159"/>
      <c r="J516" s="415">
        <v>85579.750692520771</v>
      </c>
      <c r="K516" s="437">
        <v>641481.46</v>
      </c>
    </row>
    <row r="517" spans="1:11" x14ac:dyDescent="0.2">
      <c r="A517" s="349" t="s">
        <v>1346</v>
      </c>
      <c r="B517" s="347" t="s">
        <v>295</v>
      </c>
      <c r="C517" s="1157"/>
      <c r="D517" s="1158"/>
      <c r="E517" s="436">
        <v>2</v>
      </c>
      <c r="F517" s="178" t="s">
        <v>2956</v>
      </c>
      <c r="G517" s="602"/>
      <c r="H517" s="441">
        <v>78.400000000000006</v>
      </c>
      <c r="I517" s="1159"/>
      <c r="J517" s="415">
        <v>108391.80055401663</v>
      </c>
      <c r="K517" s="437">
        <v>812474.1</v>
      </c>
    </row>
    <row r="518" spans="1:11" x14ac:dyDescent="0.2">
      <c r="A518" s="349" t="s">
        <v>1347</v>
      </c>
      <c r="B518" s="347" t="s">
        <v>295</v>
      </c>
      <c r="C518" s="1157"/>
      <c r="D518" s="1158"/>
      <c r="E518" s="436">
        <v>5</v>
      </c>
      <c r="F518" s="178" t="s">
        <v>2957</v>
      </c>
      <c r="G518" s="602"/>
      <c r="H518" s="441">
        <v>78.400000000000006</v>
      </c>
      <c r="I518" s="1159"/>
      <c r="J518" s="415">
        <v>69818.698060941824</v>
      </c>
      <c r="K518" s="437">
        <v>812474.1</v>
      </c>
    </row>
    <row r="519" spans="1:11" x14ac:dyDescent="0.2">
      <c r="A519" s="349" t="s">
        <v>1348</v>
      </c>
      <c r="B519" s="347" t="s">
        <v>295</v>
      </c>
      <c r="C519" s="1157"/>
      <c r="D519" s="1158"/>
      <c r="E519" s="436">
        <v>6</v>
      </c>
      <c r="F519" s="178" t="s">
        <v>10006</v>
      </c>
      <c r="G519" s="602"/>
      <c r="H519" s="441">
        <v>82.4</v>
      </c>
      <c r="I519" s="1159"/>
      <c r="J519" s="415">
        <v>86271.024930747924</v>
      </c>
      <c r="K519" s="437">
        <v>853926.86</v>
      </c>
    </row>
    <row r="520" spans="1:11" ht="12.75" customHeight="1" x14ac:dyDescent="0.2">
      <c r="A520" s="349" t="s">
        <v>1349</v>
      </c>
      <c r="B520" s="347" t="s">
        <v>295</v>
      </c>
      <c r="C520" s="1157"/>
      <c r="D520" s="1158"/>
      <c r="E520" s="436">
        <v>7</v>
      </c>
      <c r="F520" s="178" t="s">
        <v>10007</v>
      </c>
      <c r="G520" s="602"/>
      <c r="H520" s="441">
        <v>79.3</v>
      </c>
      <c r="I520" s="1159"/>
      <c r="J520" s="415">
        <v>108530.05540166206</v>
      </c>
      <c r="K520" s="437">
        <v>821800.97</v>
      </c>
    </row>
    <row r="521" spans="1:11" x14ac:dyDescent="0.2">
      <c r="A521" s="349" t="s">
        <v>1350</v>
      </c>
      <c r="B521" s="347" t="s">
        <v>295</v>
      </c>
      <c r="C521" s="1157"/>
      <c r="D521" s="1158"/>
      <c r="E521" s="436">
        <v>9</v>
      </c>
      <c r="F521" s="178" t="s">
        <v>2958</v>
      </c>
      <c r="G521" s="602"/>
      <c r="H521" s="441">
        <v>61.8</v>
      </c>
      <c r="I521" s="1159"/>
      <c r="J521" s="415">
        <v>85441.495844875346</v>
      </c>
      <c r="K521" s="437">
        <v>640445.14</v>
      </c>
    </row>
    <row r="522" spans="1:11" x14ac:dyDescent="0.2">
      <c r="A522" s="349" t="s">
        <v>1351</v>
      </c>
      <c r="B522" s="347" t="s">
        <v>295</v>
      </c>
      <c r="C522" s="1157"/>
      <c r="D522" s="1158"/>
      <c r="E522" s="436">
        <v>11</v>
      </c>
      <c r="F522" s="1251" t="s">
        <v>2959</v>
      </c>
      <c r="G522" s="1253">
        <v>78.3</v>
      </c>
      <c r="H522" s="441">
        <v>27.8</v>
      </c>
      <c r="I522" s="1159"/>
      <c r="J522" s="415">
        <v>38434.847645429363</v>
      </c>
      <c r="K522" s="1252">
        <v>811437.78</v>
      </c>
    </row>
    <row r="523" spans="1:11" ht="12.75" customHeight="1" x14ac:dyDescent="0.2">
      <c r="A523" s="349" t="s">
        <v>1352</v>
      </c>
      <c r="B523" s="347" t="s">
        <v>295</v>
      </c>
      <c r="C523" s="1157"/>
      <c r="D523" s="1158"/>
      <c r="E523" s="425" t="s">
        <v>226</v>
      </c>
      <c r="F523" s="1251"/>
      <c r="G523" s="1253"/>
      <c r="H523" s="441">
        <v>50.5</v>
      </c>
      <c r="I523" s="1159"/>
      <c r="J523" s="415">
        <v>69818.698060941824</v>
      </c>
      <c r="K523" s="1252"/>
    </row>
    <row r="524" spans="1:11" ht="25.5" x14ac:dyDescent="0.2">
      <c r="A524" s="348" t="s">
        <v>781</v>
      </c>
      <c r="B524" s="347" t="s">
        <v>9967</v>
      </c>
      <c r="C524" s="405" t="s">
        <v>11111</v>
      </c>
      <c r="D524" s="537">
        <v>15</v>
      </c>
      <c r="E524" s="436"/>
      <c r="F524" s="178" t="s">
        <v>6345</v>
      </c>
      <c r="G524" s="602"/>
      <c r="H524" s="441">
        <v>38.6</v>
      </c>
      <c r="I524" s="536">
        <v>1954</v>
      </c>
      <c r="J524" s="415">
        <v>73000</v>
      </c>
      <c r="K524" s="437">
        <v>400019.13</v>
      </c>
    </row>
    <row r="525" spans="1:11" ht="25.5" x14ac:dyDescent="0.2">
      <c r="A525" s="348" t="s">
        <v>782</v>
      </c>
      <c r="B525" s="347" t="s">
        <v>9967</v>
      </c>
      <c r="C525" s="405" t="s">
        <v>11112</v>
      </c>
      <c r="D525" s="537">
        <v>19</v>
      </c>
      <c r="E525" s="436"/>
      <c r="F525" s="178" t="s">
        <v>229</v>
      </c>
      <c r="G525" s="602"/>
      <c r="H525" s="441">
        <v>39</v>
      </c>
      <c r="I525" s="536">
        <v>1954</v>
      </c>
      <c r="J525" s="415">
        <v>76800</v>
      </c>
      <c r="K525" s="437">
        <v>310717.28000000003</v>
      </c>
    </row>
    <row r="526" spans="1:11" x14ac:dyDescent="0.2">
      <c r="A526" s="348" t="s">
        <v>783</v>
      </c>
      <c r="B526" s="347"/>
      <c r="C526" s="1157" t="s">
        <v>11113</v>
      </c>
      <c r="D526" s="1158">
        <v>16</v>
      </c>
      <c r="E526" s="436"/>
      <c r="F526" s="178"/>
      <c r="G526" s="602"/>
      <c r="H526" s="441">
        <f>147.3-147.3</f>
        <v>0</v>
      </c>
      <c r="I526" s="1159">
        <v>1992</v>
      </c>
      <c r="J526" s="415">
        <f>441000-441000</f>
        <v>0</v>
      </c>
      <c r="K526" s="437"/>
    </row>
    <row r="527" spans="1:11" x14ac:dyDescent="0.2">
      <c r="A527" s="349" t="s">
        <v>1353</v>
      </c>
      <c r="B527" s="347" t="s">
        <v>295</v>
      </c>
      <c r="C527" s="1157"/>
      <c r="D527" s="1158"/>
      <c r="E527" s="436">
        <v>1</v>
      </c>
      <c r="F527" s="178" t="s">
        <v>230</v>
      </c>
      <c r="G527" s="602"/>
      <c r="H527" s="441">
        <v>73.3</v>
      </c>
      <c r="I527" s="1159"/>
      <c r="J527" s="415">
        <v>219452.13849287166</v>
      </c>
      <c r="K527" s="437">
        <v>852940.73</v>
      </c>
    </row>
    <row r="528" spans="1:11" ht="25.5" x14ac:dyDescent="0.2">
      <c r="A528" s="348" t="s">
        <v>784</v>
      </c>
      <c r="B528" s="347" t="s">
        <v>295</v>
      </c>
      <c r="C528" s="405" t="s">
        <v>11114</v>
      </c>
      <c r="D528" s="537" t="s">
        <v>357</v>
      </c>
      <c r="E528" s="436">
        <v>3</v>
      </c>
      <c r="F528" s="178" t="s">
        <v>398</v>
      </c>
      <c r="G528" s="602"/>
      <c r="H528" s="441">
        <f>400-361.7</f>
        <v>38.300000000000011</v>
      </c>
      <c r="I528" s="536">
        <v>1976</v>
      </c>
      <c r="J528" s="415">
        <f>798800/400*38.3</f>
        <v>76485.099999999991</v>
      </c>
      <c r="K528" s="437">
        <v>505440.89</v>
      </c>
    </row>
    <row r="529" spans="1:11" ht="26.25" customHeight="1" x14ac:dyDescent="0.2">
      <c r="A529" s="348" t="s">
        <v>785</v>
      </c>
      <c r="B529" s="347" t="s">
        <v>295</v>
      </c>
      <c r="C529" s="405" t="s">
        <v>11115</v>
      </c>
      <c r="D529" s="537" t="s">
        <v>358</v>
      </c>
      <c r="E529" s="436">
        <v>2</v>
      </c>
      <c r="F529" s="178" t="s">
        <v>296</v>
      </c>
      <c r="G529" s="602"/>
      <c r="H529" s="441">
        <v>73.7</v>
      </c>
      <c r="I529" s="536">
        <v>1986</v>
      </c>
      <c r="J529" s="415">
        <v>459200</v>
      </c>
      <c r="K529" s="437">
        <v>857595.31</v>
      </c>
    </row>
    <row r="530" spans="1:11" ht="25.5" x14ac:dyDescent="0.2">
      <c r="A530" s="348" t="s">
        <v>786</v>
      </c>
      <c r="B530" s="347" t="s">
        <v>295</v>
      </c>
      <c r="C530" s="405" t="s">
        <v>11116</v>
      </c>
      <c r="D530" s="537">
        <v>4</v>
      </c>
      <c r="E530" s="436">
        <v>2</v>
      </c>
      <c r="F530" s="178"/>
      <c r="G530" s="602"/>
      <c r="H530" s="441">
        <f>127-62.3</f>
        <v>64.7</v>
      </c>
      <c r="I530" s="536">
        <v>1984</v>
      </c>
      <c r="J530" s="415">
        <f>359000/127*64.7</f>
        <v>182892.12598425196</v>
      </c>
      <c r="K530" s="437"/>
    </row>
    <row r="531" spans="1:11" ht="25.5" x14ac:dyDescent="0.2">
      <c r="A531" s="348" t="s">
        <v>787</v>
      </c>
      <c r="B531" s="347" t="s">
        <v>295</v>
      </c>
      <c r="C531" s="405" t="s">
        <v>11117</v>
      </c>
      <c r="D531" s="537">
        <v>1</v>
      </c>
      <c r="E531" s="436">
        <v>1</v>
      </c>
      <c r="F531" s="178" t="s">
        <v>275</v>
      </c>
      <c r="G531" s="602"/>
      <c r="H531" s="441">
        <v>70.8</v>
      </c>
      <c r="I531" s="536">
        <v>1988</v>
      </c>
      <c r="J531" s="415">
        <v>459000</v>
      </c>
      <c r="K531" s="437">
        <v>823850.04</v>
      </c>
    </row>
    <row r="532" spans="1:11" x14ac:dyDescent="0.2">
      <c r="A532" s="348" t="s">
        <v>788</v>
      </c>
      <c r="B532" s="347"/>
      <c r="C532" s="1147" t="s">
        <v>11118</v>
      </c>
      <c r="D532" s="1150">
        <v>3</v>
      </c>
      <c r="E532" s="436"/>
      <c r="F532" s="178" t="s">
        <v>3720</v>
      </c>
      <c r="G532" s="602"/>
      <c r="H532" s="415">
        <f>144.3-144.3</f>
        <v>0</v>
      </c>
      <c r="I532" s="1145">
        <v>1989</v>
      </c>
      <c r="J532" s="415">
        <f>628100-628100</f>
        <v>0</v>
      </c>
      <c r="K532" s="437">
        <v>1919379.03</v>
      </c>
    </row>
    <row r="533" spans="1:11" ht="12.75" customHeight="1" x14ac:dyDescent="0.2">
      <c r="A533" s="349" t="s">
        <v>3719</v>
      </c>
      <c r="B533" s="347" t="s">
        <v>295</v>
      </c>
      <c r="C533" s="1148"/>
      <c r="D533" s="1151"/>
      <c r="E533" s="436">
        <v>1</v>
      </c>
      <c r="F533" s="178" t="s">
        <v>3721</v>
      </c>
      <c r="G533" s="602"/>
      <c r="H533" s="415">
        <v>71.099999999999994</v>
      </c>
      <c r="I533" s="1153"/>
      <c r="J533" s="415">
        <f>628100/144.3*H533</f>
        <v>309479.62577962573</v>
      </c>
      <c r="K533" s="437">
        <v>827340.93</v>
      </c>
    </row>
    <row r="534" spans="1:11" ht="25.5" x14ac:dyDescent="0.2">
      <c r="A534" s="348" t="s">
        <v>789</v>
      </c>
      <c r="B534" s="347" t="s">
        <v>295</v>
      </c>
      <c r="C534" s="405" t="s">
        <v>11119</v>
      </c>
      <c r="D534" s="537">
        <v>45</v>
      </c>
      <c r="E534" s="436">
        <v>3</v>
      </c>
      <c r="F534" s="178" t="s">
        <v>10008</v>
      </c>
      <c r="G534" s="602"/>
      <c r="H534" s="441">
        <v>65.3</v>
      </c>
      <c r="I534" s="536">
        <v>1993</v>
      </c>
      <c r="J534" s="415">
        <v>483100</v>
      </c>
      <c r="K534" s="437">
        <v>676716.31</v>
      </c>
    </row>
    <row r="535" spans="1:11" ht="38.25" x14ac:dyDescent="0.2">
      <c r="A535" s="348" t="s">
        <v>790</v>
      </c>
      <c r="B535" s="347"/>
      <c r="C535" s="405" t="s">
        <v>11120</v>
      </c>
      <c r="D535" s="537">
        <v>11</v>
      </c>
      <c r="E535" s="436">
        <v>1</v>
      </c>
      <c r="F535" s="178"/>
      <c r="G535" s="602"/>
      <c r="H535" s="415">
        <v>57.7</v>
      </c>
      <c r="I535" s="536">
        <v>1997</v>
      </c>
      <c r="J535" s="415">
        <f>309490/(57.2+57.7)*57.7</f>
        <v>155418.38990426456</v>
      </c>
      <c r="K535" s="437"/>
    </row>
    <row r="536" spans="1:11" x14ac:dyDescent="0.2">
      <c r="A536" s="348" t="s">
        <v>791</v>
      </c>
      <c r="B536" s="347"/>
      <c r="C536" s="1157" t="s">
        <v>11121</v>
      </c>
      <c r="D536" s="1158" t="s">
        <v>385</v>
      </c>
      <c r="E536" s="436"/>
      <c r="F536" s="178"/>
      <c r="G536" s="602"/>
      <c r="H536" s="415">
        <f>739.1-739.1</f>
        <v>0</v>
      </c>
      <c r="I536" s="1159">
        <v>1970</v>
      </c>
      <c r="J536" s="415">
        <f>2101100-2101100</f>
        <v>0</v>
      </c>
      <c r="K536" s="437"/>
    </row>
    <row r="537" spans="1:11" x14ac:dyDescent="0.2">
      <c r="A537" s="349" t="s">
        <v>1354</v>
      </c>
      <c r="B537" s="347" t="s">
        <v>295</v>
      </c>
      <c r="C537" s="1157"/>
      <c r="D537" s="1158"/>
      <c r="E537" s="436">
        <v>11</v>
      </c>
      <c r="F537" s="454"/>
      <c r="G537" s="602"/>
      <c r="H537" s="415">
        <v>41.6</v>
      </c>
      <c r="I537" s="1159"/>
      <c r="J537" s="415">
        <v>118259.72128264105</v>
      </c>
      <c r="K537" s="437"/>
    </row>
    <row r="538" spans="1:11" ht="12.75" customHeight="1" x14ac:dyDescent="0.2">
      <c r="A538" s="349" t="s">
        <v>1355</v>
      </c>
      <c r="B538" s="347" t="s">
        <v>295</v>
      </c>
      <c r="C538" s="1157"/>
      <c r="D538" s="1158"/>
      <c r="E538" s="436">
        <v>15</v>
      </c>
      <c r="F538" s="454"/>
      <c r="G538" s="602"/>
      <c r="H538" s="415">
        <v>41.3</v>
      </c>
      <c r="I538" s="1159"/>
      <c r="J538" s="415">
        <v>117406.88675416046</v>
      </c>
      <c r="K538" s="437"/>
    </row>
    <row r="539" spans="1:11" x14ac:dyDescent="0.2">
      <c r="A539" s="349" t="s">
        <v>1356</v>
      </c>
      <c r="B539" s="347" t="s">
        <v>295</v>
      </c>
      <c r="C539" s="1157"/>
      <c r="D539" s="1158"/>
      <c r="E539" s="436">
        <v>16</v>
      </c>
      <c r="F539" s="454"/>
      <c r="G539" s="602"/>
      <c r="H539" s="415">
        <v>41.5</v>
      </c>
      <c r="I539" s="1159"/>
      <c r="J539" s="415">
        <v>117975.44310648086</v>
      </c>
      <c r="K539" s="437"/>
    </row>
    <row r="540" spans="1:11" x14ac:dyDescent="0.2">
      <c r="A540" s="348" t="s">
        <v>792</v>
      </c>
      <c r="B540" s="347"/>
      <c r="C540" s="1148" t="s">
        <v>11122</v>
      </c>
      <c r="D540" s="1150" t="s">
        <v>4711</v>
      </c>
      <c r="E540" s="455"/>
      <c r="F540" s="269"/>
      <c r="G540" s="602"/>
      <c r="H540" s="415">
        <f>108.5-108.5</f>
        <v>0</v>
      </c>
      <c r="I540" s="1145">
        <v>1977</v>
      </c>
      <c r="J540" s="415">
        <f>367900-150889.86</f>
        <v>217010.14</v>
      </c>
      <c r="K540" s="437"/>
    </row>
    <row r="541" spans="1:11" ht="24.75" customHeight="1" x14ac:dyDescent="0.2">
      <c r="A541" s="349" t="s">
        <v>6350</v>
      </c>
      <c r="B541" s="347" t="s">
        <v>295</v>
      </c>
      <c r="C541" s="1148"/>
      <c r="D541" s="1151"/>
      <c r="E541" s="456" t="s">
        <v>357</v>
      </c>
      <c r="F541" s="269"/>
      <c r="G541" s="602"/>
      <c r="H541" s="415">
        <v>29.4</v>
      </c>
      <c r="I541" s="1153"/>
      <c r="J541" s="415">
        <f>367900/108.5*H541</f>
        <v>99689.032258064501</v>
      </c>
      <c r="K541" s="437"/>
    </row>
    <row r="542" spans="1:11" x14ac:dyDescent="0.2">
      <c r="A542" s="348" t="s">
        <v>793</v>
      </c>
      <c r="B542" s="347"/>
      <c r="C542" s="1147" t="s">
        <v>11123</v>
      </c>
      <c r="D542" s="1147" t="s">
        <v>4712</v>
      </c>
      <c r="E542" s="436"/>
      <c r="F542" s="178"/>
      <c r="G542" s="602"/>
      <c r="H542" s="415">
        <f>89.8-89.8</f>
        <v>0</v>
      </c>
      <c r="I542" s="1145">
        <v>1977</v>
      </c>
      <c r="J542" s="415">
        <f>426600-426600</f>
        <v>0</v>
      </c>
      <c r="K542" s="437"/>
    </row>
    <row r="543" spans="1:11" ht="26.25" customHeight="1" x14ac:dyDescent="0.2">
      <c r="A543" s="349" t="s">
        <v>6351</v>
      </c>
      <c r="B543" s="347" t="s">
        <v>295</v>
      </c>
      <c r="C543" s="1148"/>
      <c r="D543" s="1148"/>
      <c r="E543" s="436">
        <v>1</v>
      </c>
      <c r="F543" s="178"/>
      <c r="G543" s="602"/>
      <c r="H543" s="415">
        <v>45</v>
      </c>
      <c r="I543" s="1153"/>
      <c r="J543" s="415">
        <f>426600/89.8*H543</f>
        <v>213775.05567928732</v>
      </c>
      <c r="K543" s="437"/>
    </row>
    <row r="544" spans="1:11" ht="12.75" customHeight="1" x14ac:dyDescent="0.2">
      <c r="A544" s="348" t="s">
        <v>794</v>
      </c>
      <c r="B544" s="347"/>
      <c r="C544" s="1147" t="s">
        <v>11124</v>
      </c>
      <c r="D544" s="1150">
        <v>9</v>
      </c>
      <c r="E544" s="436"/>
      <c r="F544" s="178"/>
      <c r="G544" s="602"/>
      <c r="H544" s="415">
        <f>135.1-135.1</f>
        <v>0</v>
      </c>
      <c r="I544" s="1145">
        <v>1989</v>
      </c>
      <c r="J544" s="415">
        <f>491700-491700</f>
        <v>0</v>
      </c>
      <c r="K544" s="437"/>
    </row>
    <row r="545" spans="1:11" ht="24" customHeight="1" x14ac:dyDescent="0.2">
      <c r="A545" s="349" t="s">
        <v>6352</v>
      </c>
      <c r="B545" s="347" t="s">
        <v>295</v>
      </c>
      <c r="C545" s="1149"/>
      <c r="D545" s="1152"/>
      <c r="E545" s="450" t="s">
        <v>5176</v>
      </c>
      <c r="F545" s="178"/>
      <c r="G545" s="602"/>
      <c r="H545" s="415">
        <v>66.8</v>
      </c>
      <c r="I545" s="1146"/>
      <c r="J545" s="415">
        <f>491700/135.1*H545</f>
        <v>243120.35529237601</v>
      </c>
      <c r="K545" s="437"/>
    </row>
    <row r="546" spans="1:11" x14ac:dyDescent="0.2">
      <c r="A546" s="419" t="s">
        <v>795</v>
      </c>
      <c r="B546" s="347"/>
      <c r="C546" s="1147" t="s">
        <v>5211</v>
      </c>
      <c r="D546" s="1150" t="s">
        <v>386</v>
      </c>
      <c r="E546" s="436"/>
      <c r="F546" s="38"/>
      <c r="G546" s="602"/>
      <c r="H546" s="415">
        <f>141.5-141.5</f>
        <v>0</v>
      </c>
      <c r="I546" s="1145">
        <v>1940</v>
      </c>
      <c r="J546" s="415">
        <f>234800-234800</f>
        <v>0</v>
      </c>
      <c r="K546" s="437"/>
    </row>
    <row r="547" spans="1:11" x14ac:dyDescent="0.2">
      <c r="A547" s="349" t="s">
        <v>9019</v>
      </c>
      <c r="B547" s="347" t="s">
        <v>295</v>
      </c>
      <c r="C547" s="1148"/>
      <c r="D547" s="1151"/>
      <c r="E547" s="436">
        <v>1</v>
      </c>
      <c r="F547" s="38"/>
      <c r="G547" s="602"/>
      <c r="H547" s="415">
        <v>53.1</v>
      </c>
      <c r="I547" s="1153"/>
      <c r="J547" s="415">
        <f>234800/141.5*H547</f>
        <v>88112.2261484099</v>
      </c>
      <c r="K547" s="437"/>
    </row>
    <row r="548" spans="1:11" ht="12.75" customHeight="1" x14ac:dyDescent="0.2">
      <c r="A548" s="349" t="s">
        <v>9020</v>
      </c>
      <c r="B548" s="347" t="s">
        <v>295</v>
      </c>
      <c r="C548" s="1148"/>
      <c r="D548" s="1151"/>
      <c r="E548" s="436">
        <v>2</v>
      </c>
      <c r="F548" s="38"/>
      <c r="G548" s="602"/>
      <c r="H548" s="415">
        <v>30</v>
      </c>
      <c r="I548" s="1153"/>
      <c r="J548" s="415">
        <f>234800/141.5*H548</f>
        <v>49780.918727915196</v>
      </c>
      <c r="K548" s="437"/>
    </row>
    <row r="549" spans="1:11" x14ac:dyDescent="0.2">
      <c r="A549" s="349" t="s">
        <v>9021</v>
      </c>
      <c r="B549" s="347" t="s">
        <v>295</v>
      </c>
      <c r="C549" s="1149"/>
      <c r="D549" s="1152"/>
      <c r="E549" s="436">
        <v>3</v>
      </c>
      <c r="F549" s="38"/>
      <c r="G549" s="602"/>
      <c r="H549" s="415">
        <v>58.4</v>
      </c>
      <c r="I549" s="1146"/>
      <c r="J549" s="415">
        <f>234800/141.5*H549</f>
        <v>96906.855123674904</v>
      </c>
      <c r="K549" s="437"/>
    </row>
    <row r="550" spans="1:11" x14ac:dyDescent="0.2">
      <c r="A550" s="419" t="s">
        <v>796</v>
      </c>
      <c r="B550" s="347"/>
      <c r="C550" s="1147" t="s">
        <v>5211</v>
      </c>
      <c r="D550" s="1150" t="s">
        <v>386</v>
      </c>
      <c r="E550" s="436"/>
      <c r="F550" s="38"/>
      <c r="G550" s="602"/>
      <c r="H550" s="415">
        <f>182.5-182.5</f>
        <v>0</v>
      </c>
      <c r="I550" s="1145">
        <v>1940</v>
      </c>
      <c r="J550" s="415">
        <f>335900-335900</f>
        <v>0</v>
      </c>
      <c r="K550" s="437"/>
    </row>
    <row r="551" spans="1:11" x14ac:dyDescent="0.2">
      <c r="A551" s="349" t="s">
        <v>9022</v>
      </c>
      <c r="B551" s="347" t="s">
        <v>295</v>
      </c>
      <c r="C551" s="1148"/>
      <c r="D551" s="1151"/>
      <c r="E551" s="436">
        <v>1</v>
      </c>
      <c r="F551" s="38"/>
      <c r="G551" s="602"/>
      <c r="H551" s="415">
        <v>44.6</v>
      </c>
      <c r="I551" s="1153"/>
      <c r="J551" s="415">
        <f>335900/182.5*H551</f>
        <v>82088.438356164392</v>
      </c>
      <c r="K551" s="437"/>
    </row>
    <row r="552" spans="1:11" x14ac:dyDescent="0.2">
      <c r="A552" s="349" t="s">
        <v>9023</v>
      </c>
      <c r="B552" s="347" t="s">
        <v>295</v>
      </c>
      <c r="C552" s="1148"/>
      <c r="D552" s="1151"/>
      <c r="E552" s="436">
        <v>2</v>
      </c>
      <c r="F552" s="38"/>
      <c r="G552" s="602"/>
      <c r="H552" s="415">
        <v>35.1</v>
      </c>
      <c r="I552" s="1153"/>
      <c r="J552" s="415">
        <f>335900/182.5*H552</f>
        <v>64603.232876712333</v>
      </c>
      <c r="K552" s="437"/>
    </row>
    <row r="553" spans="1:11" x14ac:dyDescent="0.2">
      <c r="A553" s="349" t="s">
        <v>9024</v>
      </c>
      <c r="B553" s="347" t="s">
        <v>295</v>
      </c>
      <c r="C553" s="1148"/>
      <c r="D553" s="1151"/>
      <c r="E553" s="436">
        <v>3</v>
      </c>
      <c r="F553" s="38"/>
      <c r="G553" s="602"/>
      <c r="H553" s="415">
        <v>30.7</v>
      </c>
      <c r="I553" s="1153"/>
      <c r="J553" s="415">
        <f>335900/182.5*H553</f>
        <v>56504.821917808214</v>
      </c>
      <c r="K553" s="437"/>
    </row>
    <row r="554" spans="1:11" ht="36" customHeight="1" x14ac:dyDescent="0.2">
      <c r="A554" s="349" t="s">
        <v>9025</v>
      </c>
      <c r="B554" s="347" t="s">
        <v>295</v>
      </c>
      <c r="C554" s="1148"/>
      <c r="D554" s="1151"/>
      <c r="E554" s="436">
        <v>4</v>
      </c>
      <c r="F554" s="38"/>
      <c r="G554" s="602"/>
      <c r="H554" s="415">
        <v>30.3</v>
      </c>
      <c r="I554" s="1153"/>
      <c r="J554" s="415">
        <f>335900/182.5*H554</f>
        <v>55768.602739726026</v>
      </c>
      <c r="K554" s="437"/>
    </row>
    <row r="555" spans="1:11" x14ac:dyDescent="0.2">
      <c r="A555" s="349" t="s">
        <v>9026</v>
      </c>
      <c r="B555" s="347" t="s">
        <v>295</v>
      </c>
      <c r="C555" s="1149"/>
      <c r="D555" s="1152"/>
      <c r="E555" s="436">
        <v>5</v>
      </c>
      <c r="F555" s="38"/>
      <c r="G555" s="602"/>
      <c r="H555" s="415">
        <v>41.8</v>
      </c>
      <c r="I555" s="1146"/>
      <c r="J555" s="415">
        <f>335900/182.5*H555</f>
        <v>76934.904109589028</v>
      </c>
      <c r="K555" s="437"/>
    </row>
    <row r="556" spans="1:11" ht="36" x14ac:dyDescent="0.2">
      <c r="A556" s="419" t="s">
        <v>797</v>
      </c>
      <c r="B556" s="347"/>
      <c r="C556" s="1147" t="s">
        <v>5212</v>
      </c>
      <c r="D556" s="1150" t="s">
        <v>386</v>
      </c>
      <c r="E556" s="436"/>
      <c r="F556" s="38"/>
      <c r="G556" s="605" t="s">
        <v>9018</v>
      </c>
      <c r="H556" s="415">
        <f>123.8-14.9-29.8-33.1-33.8</f>
        <v>12.199999999999996</v>
      </c>
      <c r="I556" s="1145">
        <v>1932</v>
      </c>
      <c r="J556" s="415">
        <f>305900-305900</f>
        <v>0</v>
      </c>
      <c r="K556" s="437"/>
    </row>
    <row r="557" spans="1:11" x14ac:dyDescent="0.2">
      <c r="A557" s="349" t="s">
        <v>9014</v>
      </c>
      <c r="B557" s="347" t="s">
        <v>295</v>
      </c>
      <c r="C557" s="1148"/>
      <c r="D557" s="1151"/>
      <c r="E557" s="436">
        <v>1</v>
      </c>
      <c r="F557" s="38"/>
      <c r="G557" s="602"/>
      <c r="H557" s="415">
        <v>14.9</v>
      </c>
      <c r="I557" s="1153"/>
      <c r="J557" s="415">
        <f>305900/123.8*H557</f>
        <v>36816.720516962843</v>
      </c>
      <c r="K557" s="437"/>
    </row>
    <row r="558" spans="1:11" x14ac:dyDescent="0.2">
      <c r="A558" s="349" t="s">
        <v>9015</v>
      </c>
      <c r="B558" s="347" t="s">
        <v>295</v>
      </c>
      <c r="C558" s="1148"/>
      <c r="D558" s="1151"/>
      <c r="E558" s="436">
        <v>2</v>
      </c>
      <c r="F558" s="38"/>
      <c r="G558" s="602"/>
      <c r="H558" s="415">
        <v>29.8</v>
      </c>
      <c r="I558" s="1153"/>
      <c r="J558" s="415">
        <f>305900/123.8*H558</f>
        <v>73633.441033925686</v>
      </c>
      <c r="K558" s="437"/>
    </row>
    <row r="559" spans="1:11" ht="12.75" customHeight="1" x14ac:dyDescent="0.2">
      <c r="A559" s="349" t="s">
        <v>9016</v>
      </c>
      <c r="B559" s="347" t="s">
        <v>295</v>
      </c>
      <c r="C559" s="1148"/>
      <c r="D559" s="1151"/>
      <c r="E559" s="436">
        <v>3</v>
      </c>
      <c r="F559" s="38"/>
      <c r="G559" s="602"/>
      <c r="H559" s="415">
        <v>33.1</v>
      </c>
      <c r="I559" s="1153"/>
      <c r="J559" s="415">
        <f>305900/123.8*H559</f>
        <v>81787.47980613893</v>
      </c>
      <c r="K559" s="437"/>
    </row>
    <row r="560" spans="1:11" x14ac:dyDescent="0.2">
      <c r="A560" s="349" t="s">
        <v>9017</v>
      </c>
      <c r="B560" s="347" t="s">
        <v>295</v>
      </c>
      <c r="C560" s="1149"/>
      <c r="D560" s="1152"/>
      <c r="E560" s="436">
        <v>4</v>
      </c>
      <c r="F560" s="38"/>
      <c r="G560" s="602"/>
      <c r="H560" s="415">
        <v>33.799999999999997</v>
      </c>
      <c r="I560" s="1146"/>
      <c r="J560" s="415">
        <f>305900/123.8*H560</f>
        <v>83517.124394184153</v>
      </c>
      <c r="K560" s="437"/>
    </row>
    <row r="561" spans="1:11" x14ac:dyDescent="0.2">
      <c r="A561" s="348" t="s">
        <v>798</v>
      </c>
      <c r="B561" s="347"/>
      <c r="C561" s="1147" t="s">
        <v>5210</v>
      </c>
      <c r="D561" s="1150" t="s">
        <v>386</v>
      </c>
      <c r="E561" s="436"/>
      <c r="F561" s="178"/>
      <c r="G561" s="602"/>
      <c r="H561" s="415">
        <f>113-113</f>
        <v>0</v>
      </c>
      <c r="I561" s="1145">
        <v>1984</v>
      </c>
      <c r="J561" s="415">
        <f>661200-661200</f>
        <v>0</v>
      </c>
      <c r="K561" s="437"/>
    </row>
    <row r="562" spans="1:11" ht="12.75" customHeight="1" x14ac:dyDescent="0.2">
      <c r="A562" s="349" t="s">
        <v>2964</v>
      </c>
      <c r="B562" s="347" t="s">
        <v>295</v>
      </c>
      <c r="C562" s="1148"/>
      <c r="D562" s="1151"/>
      <c r="E562" s="436">
        <v>1</v>
      </c>
      <c r="F562" s="178" t="s">
        <v>2966</v>
      </c>
      <c r="G562" s="602"/>
      <c r="H562" s="415">
        <v>56.5</v>
      </c>
      <c r="I562" s="1153"/>
      <c r="J562" s="415">
        <f>661200/113*H562</f>
        <v>330600</v>
      </c>
      <c r="K562" s="437">
        <v>657450.94999999995</v>
      </c>
    </row>
    <row r="563" spans="1:11" x14ac:dyDescent="0.2">
      <c r="A563" s="349" t="s">
        <v>2965</v>
      </c>
      <c r="B563" s="347" t="s">
        <v>295</v>
      </c>
      <c r="C563" s="1149"/>
      <c r="D563" s="1152"/>
      <c r="E563" s="436">
        <v>2</v>
      </c>
      <c r="F563" s="178" t="s">
        <v>2967</v>
      </c>
      <c r="G563" s="602"/>
      <c r="H563" s="415">
        <v>56.5</v>
      </c>
      <c r="I563" s="1146"/>
      <c r="J563" s="415">
        <f>661200/113*H563</f>
        <v>330600</v>
      </c>
      <c r="K563" s="437">
        <v>657450.94999999995</v>
      </c>
    </row>
    <row r="564" spans="1:11" x14ac:dyDescent="0.2">
      <c r="A564" s="348" t="s">
        <v>799</v>
      </c>
      <c r="B564" s="347"/>
      <c r="C564" s="1147" t="s">
        <v>11125</v>
      </c>
      <c r="D564" s="1150">
        <v>30</v>
      </c>
      <c r="E564" s="436"/>
      <c r="F564" s="178"/>
      <c r="G564" s="602"/>
      <c r="H564" s="415">
        <f>381.3-381.3</f>
        <v>0</v>
      </c>
      <c r="I564" s="1145">
        <v>1981</v>
      </c>
      <c r="J564" s="415">
        <f>1595100-1595100</f>
        <v>0</v>
      </c>
      <c r="K564" s="437"/>
    </row>
    <row r="565" spans="1:11" ht="12.75" customHeight="1" x14ac:dyDescent="0.2">
      <c r="A565" s="349" t="s">
        <v>2960</v>
      </c>
      <c r="B565" s="347" t="s">
        <v>295</v>
      </c>
      <c r="C565" s="1148"/>
      <c r="D565" s="1151"/>
      <c r="E565" s="436">
        <v>3</v>
      </c>
      <c r="F565" s="178" t="s">
        <v>2968</v>
      </c>
      <c r="G565" s="602"/>
      <c r="H565" s="415">
        <v>52.6</v>
      </c>
      <c r="I565" s="1153"/>
      <c r="J565" s="415">
        <f>1595100/381.3*H565</f>
        <v>220042.6435877262</v>
      </c>
      <c r="K565" s="437">
        <v>660047.42000000004</v>
      </c>
    </row>
    <row r="566" spans="1:11" x14ac:dyDescent="0.2">
      <c r="A566" s="349" t="s">
        <v>2961</v>
      </c>
      <c r="B566" s="347" t="s">
        <v>295</v>
      </c>
      <c r="C566" s="1148"/>
      <c r="D566" s="1151"/>
      <c r="E566" s="436">
        <v>4</v>
      </c>
      <c r="F566" s="178" t="s">
        <v>2971</v>
      </c>
      <c r="G566" s="602"/>
      <c r="H566" s="415">
        <v>43.6</v>
      </c>
      <c r="I566" s="1153"/>
      <c r="J566" s="415">
        <f>1595100/381.3*H566</f>
        <v>182392.7616050354</v>
      </c>
      <c r="K566" s="437">
        <v>559320.42000000004</v>
      </c>
    </row>
    <row r="567" spans="1:11" x14ac:dyDescent="0.2">
      <c r="A567" s="349" t="s">
        <v>2962</v>
      </c>
      <c r="B567" s="347" t="s">
        <v>295</v>
      </c>
      <c r="C567" s="1148"/>
      <c r="D567" s="1151"/>
      <c r="E567" s="436">
        <v>6</v>
      </c>
      <c r="F567" s="178" t="s">
        <v>2969</v>
      </c>
      <c r="G567" s="602"/>
      <c r="H567" s="415">
        <v>51</v>
      </c>
      <c r="I567" s="1153"/>
      <c r="J567" s="415">
        <f>1595100/381.3*H567</f>
        <v>213349.33123524781</v>
      </c>
      <c r="K567" s="437">
        <v>639969.93000000005</v>
      </c>
    </row>
    <row r="568" spans="1:11" ht="25.5" customHeight="1" x14ac:dyDescent="0.2">
      <c r="A568" s="349" t="s">
        <v>2963</v>
      </c>
      <c r="B568" s="347" t="s">
        <v>295</v>
      </c>
      <c r="C568" s="1149"/>
      <c r="D568" s="1152"/>
      <c r="E568" s="436">
        <v>8</v>
      </c>
      <c r="F568" s="178" t="s">
        <v>2970</v>
      </c>
      <c r="G568" s="602"/>
      <c r="H568" s="415">
        <v>42.1</v>
      </c>
      <c r="I568" s="1146"/>
      <c r="J568" s="415">
        <f>1595100/381.3*H568</f>
        <v>176117.78127458695</v>
      </c>
      <c r="K568" s="437">
        <v>540077.74</v>
      </c>
    </row>
    <row r="569" spans="1:11" ht="38.25" x14ac:dyDescent="0.2">
      <c r="A569" s="348" t="s">
        <v>800</v>
      </c>
      <c r="B569" s="347" t="s">
        <v>307</v>
      </c>
      <c r="C569" s="405" t="s">
        <v>5263</v>
      </c>
      <c r="D569" s="405" t="s">
        <v>386</v>
      </c>
      <c r="E569" s="436"/>
      <c r="F569" s="178"/>
      <c r="G569" s="606"/>
      <c r="H569" s="415">
        <v>83.5</v>
      </c>
      <c r="I569" s="536">
        <v>1992</v>
      </c>
      <c r="J569" s="415">
        <v>157100</v>
      </c>
      <c r="K569" s="437"/>
    </row>
    <row r="570" spans="1:11" ht="25.5" x14ac:dyDescent="0.2">
      <c r="A570" s="348" t="s">
        <v>801</v>
      </c>
      <c r="B570" s="347"/>
      <c r="C570" s="1147" t="s">
        <v>11126</v>
      </c>
      <c r="D570" s="1150">
        <v>1</v>
      </c>
      <c r="E570" s="436"/>
      <c r="F570" s="178"/>
      <c r="G570" s="606" t="s">
        <v>5131</v>
      </c>
      <c r="H570" s="415">
        <f>742-30.9-711.1</f>
        <v>0</v>
      </c>
      <c r="I570" s="1145">
        <v>1970</v>
      </c>
      <c r="J570" s="415">
        <f>2187432-91093.97-2096338.03</f>
        <v>0</v>
      </c>
      <c r="K570" s="437"/>
    </row>
    <row r="571" spans="1:11" ht="24" customHeight="1" x14ac:dyDescent="0.2">
      <c r="A571" s="349" t="s">
        <v>4057</v>
      </c>
      <c r="B571" s="347" t="s">
        <v>295</v>
      </c>
      <c r="C571" s="1148"/>
      <c r="D571" s="1151"/>
      <c r="E571" s="436">
        <v>2</v>
      </c>
      <c r="F571" s="178"/>
      <c r="G571" s="606" t="s">
        <v>137</v>
      </c>
      <c r="H571" s="415">
        <v>43.8</v>
      </c>
      <c r="I571" s="1153"/>
      <c r="J571" s="415">
        <f>2187432/742*H571</f>
        <v>129123.34447439353</v>
      </c>
      <c r="K571" s="437"/>
    </row>
    <row r="572" spans="1:11" ht="12.75" customHeight="1" x14ac:dyDescent="0.2">
      <c r="A572" s="349" t="s">
        <v>4058</v>
      </c>
      <c r="B572" s="347" t="s">
        <v>295</v>
      </c>
      <c r="C572" s="1148"/>
      <c r="D572" s="1151"/>
      <c r="E572" s="436">
        <v>4</v>
      </c>
      <c r="F572" s="178" t="s">
        <v>4060</v>
      </c>
      <c r="G572" s="606" t="s">
        <v>137</v>
      </c>
      <c r="H572" s="415">
        <v>42.5</v>
      </c>
      <c r="I572" s="1153"/>
      <c r="J572" s="415">
        <f>2187432/742*H572</f>
        <v>125290.91644204852</v>
      </c>
      <c r="K572" s="437">
        <v>545209.13</v>
      </c>
    </row>
    <row r="573" spans="1:11" x14ac:dyDescent="0.2">
      <c r="A573" s="349" t="s">
        <v>4059</v>
      </c>
      <c r="B573" s="347" t="s">
        <v>295</v>
      </c>
      <c r="C573" s="1149"/>
      <c r="D573" s="1152"/>
      <c r="E573" s="436">
        <v>10</v>
      </c>
      <c r="F573" s="178"/>
      <c r="G573" s="606" t="s">
        <v>137</v>
      </c>
      <c r="H573" s="415">
        <v>51.7</v>
      </c>
      <c r="I573" s="1146"/>
      <c r="J573" s="415">
        <f>2187432/742*H573</f>
        <v>152412.71482479785</v>
      </c>
      <c r="K573" s="437"/>
    </row>
    <row r="574" spans="1:11" x14ac:dyDescent="0.2">
      <c r="A574" s="419" t="s">
        <v>802</v>
      </c>
      <c r="B574" s="420"/>
      <c r="C574" s="1240" t="s">
        <v>11883</v>
      </c>
      <c r="D574" s="1243">
        <v>2</v>
      </c>
      <c r="E574" s="457"/>
      <c r="F574" s="38"/>
      <c r="G574" s="616"/>
      <c r="H574" s="448">
        <f>499.9-499.9</f>
        <v>0</v>
      </c>
      <c r="I574" s="1225">
        <v>1984</v>
      </c>
      <c r="J574" s="448">
        <f>858376-858376</f>
        <v>0</v>
      </c>
      <c r="K574" s="458"/>
    </row>
    <row r="575" spans="1:11" ht="12.75" customHeight="1" x14ac:dyDescent="0.2">
      <c r="A575" s="452" t="s">
        <v>9065</v>
      </c>
      <c r="B575" s="420" t="s">
        <v>295</v>
      </c>
      <c r="C575" s="1241"/>
      <c r="D575" s="1244"/>
      <c r="E575" s="457">
        <v>1</v>
      </c>
      <c r="F575" s="38"/>
      <c r="G575" s="616" t="s">
        <v>137</v>
      </c>
      <c r="H575" s="448">
        <v>71.5</v>
      </c>
      <c r="I575" s="1246"/>
      <c r="J575" s="448">
        <f>858376/499.9*H575</f>
        <v>122772.3224644929</v>
      </c>
      <c r="K575" s="458"/>
    </row>
    <row r="576" spans="1:11" x14ac:dyDescent="0.2">
      <c r="A576" s="452" t="s">
        <v>9066</v>
      </c>
      <c r="B576" s="420" t="s">
        <v>295</v>
      </c>
      <c r="C576" s="1241"/>
      <c r="D576" s="1244"/>
      <c r="E576" s="457">
        <v>2</v>
      </c>
      <c r="F576" s="38"/>
      <c r="G576" s="616" t="s">
        <v>137</v>
      </c>
      <c r="H576" s="448">
        <v>52.3</v>
      </c>
      <c r="I576" s="1246"/>
      <c r="J576" s="448">
        <f t="shared" ref="J576:J582" si="4">858376/499.9*H576</f>
        <v>89804.090418083608</v>
      </c>
      <c r="K576" s="458"/>
    </row>
    <row r="577" spans="1:11" x14ac:dyDescent="0.2">
      <c r="A577" s="452" t="s">
        <v>9067</v>
      </c>
      <c r="B577" s="420" t="s">
        <v>295</v>
      </c>
      <c r="C577" s="1241"/>
      <c r="D577" s="1244"/>
      <c r="E577" s="457">
        <v>3</v>
      </c>
      <c r="F577" s="38"/>
      <c r="G577" s="616" t="s">
        <v>512</v>
      </c>
      <c r="H577" s="448">
        <v>72.400000000000006</v>
      </c>
      <c r="I577" s="1246"/>
      <c r="J577" s="448">
        <f t="shared" si="4"/>
        <v>124317.70834166835</v>
      </c>
      <c r="K577" s="458"/>
    </row>
    <row r="578" spans="1:11" x14ac:dyDescent="0.2">
      <c r="A578" s="452" t="s">
        <v>9068</v>
      </c>
      <c r="B578" s="420" t="s">
        <v>295</v>
      </c>
      <c r="C578" s="1241"/>
      <c r="D578" s="1244"/>
      <c r="E578" s="457">
        <v>4</v>
      </c>
      <c r="F578" s="38"/>
      <c r="G578" s="616" t="s">
        <v>512</v>
      </c>
      <c r="H578" s="448">
        <v>52.6</v>
      </c>
      <c r="I578" s="1246"/>
      <c r="J578" s="448">
        <f t="shared" si="4"/>
        <v>90319.219043808756</v>
      </c>
      <c r="K578" s="458"/>
    </row>
    <row r="579" spans="1:11" x14ac:dyDescent="0.2">
      <c r="A579" s="452" t="s">
        <v>9069</v>
      </c>
      <c r="B579" s="420" t="s">
        <v>295</v>
      </c>
      <c r="C579" s="1241"/>
      <c r="D579" s="1244"/>
      <c r="E579" s="457">
        <v>5</v>
      </c>
      <c r="F579" s="38"/>
      <c r="G579" s="616" t="s">
        <v>137</v>
      </c>
      <c r="H579" s="448">
        <v>53.3</v>
      </c>
      <c r="I579" s="1246"/>
      <c r="J579" s="448">
        <f t="shared" si="4"/>
        <v>91521.185837167432</v>
      </c>
      <c r="K579" s="458"/>
    </row>
    <row r="580" spans="1:11" x14ac:dyDescent="0.2">
      <c r="A580" s="452" t="s">
        <v>9070</v>
      </c>
      <c r="B580" s="420" t="s">
        <v>295</v>
      </c>
      <c r="C580" s="1241"/>
      <c r="D580" s="1244"/>
      <c r="E580" s="457">
        <v>6</v>
      </c>
      <c r="F580" s="38"/>
      <c r="G580" s="616" t="s">
        <v>137</v>
      </c>
      <c r="H580" s="448">
        <v>72</v>
      </c>
      <c r="I580" s="1246"/>
      <c r="J580" s="448">
        <f t="shared" si="4"/>
        <v>123630.8701740348</v>
      </c>
      <c r="K580" s="458"/>
    </row>
    <row r="581" spans="1:11" ht="12.75" customHeight="1" x14ac:dyDescent="0.2">
      <c r="A581" s="452" t="s">
        <v>9071</v>
      </c>
      <c r="B581" s="420" t="s">
        <v>295</v>
      </c>
      <c r="C581" s="1241"/>
      <c r="D581" s="1244"/>
      <c r="E581" s="457">
        <v>7</v>
      </c>
      <c r="F581" s="38"/>
      <c r="G581" s="616" t="s">
        <v>512</v>
      </c>
      <c r="H581" s="448">
        <v>54</v>
      </c>
      <c r="I581" s="1246"/>
      <c r="J581" s="448">
        <f t="shared" si="4"/>
        <v>92723.152630526107</v>
      </c>
      <c r="K581" s="458"/>
    </row>
    <row r="582" spans="1:11" x14ac:dyDescent="0.2">
      <c r="A582" s="452" t="s">
        <v>9072</v>
      </c>
      <c r="B582" s="420" t="s">
        <v>295</v>
      </c>
      <c r="C582" s="1242"/>
      <c r="D582" s="1245"/>
      <c r="E582" s="457">
        <v>8</v>
      </c>
      <c r="F582" s="38"/>
      <c r="G582" s="616" t="s">
        <v>512</v>
      </c>
      <c r="H582" s="448">
        <v>71.8</v>
      </c>
      <c r="I582" s="1247"/>
      <c r="J582" s="448">
        <f t="shared" si="4"/>
        <v>123287.45109021803</v>
      </c>
      <c r="K582" s="458"/>
    </row>
    <row r="583" spans="1:11" x14ac:dyDescent="0.2">
      <c r="A583" s="419" t="s">
        <v>803</v>
      </c>
      <c r="B583" s="420"/>
      <c r="C583" s="1240" t="s">
        <v>11884</v>
      </c>
      <c r="D583" s="1243">
        <v>3</v>
      </c>
      <c r="E583" s="457"/>
      <c r="F583" s="38"/>
      <c r="G583" s="616"/>
      <c r="H583" s="448">
        <f>498.2-498.2</f>
        <v>0</v>
      </c>
      <c r="I583" s="1225">
        <v>1984</v>
      </c>
      <c r="J583" s="448">
        <f>858376-858376</f>
        <v>0</v>
      </c>
      <c r="K583" s="458"/>
    </row>
    <row r="584" spans="1:11" ht="12.75" customHeight="1" x14ac:dyDescent="0.2">
      <c r="A584" s="452" t="s">
        <v>9073</v>
      </c>
      <c r="B584" s="420" t="s">
        <v>295</v>
      </c>
      <c r="C584" s="1241"/>
      <c r="D584" s="1244"/>
      <c r="E584" s="457">
        <v>1</v>
      </c>
      <c r="F584" s="38"/>
      <c r="G584" s="616" t="s">
        <v>137</v>
      </c>
      <c r="H584" s="448">
        <v>72.900000000000006</v>
      </c>
      <c r="I584" s="1246"/>
      <c r="J584" s="448">
        <f>858376/498.2*H584</f>
        <v>125603.39301485349</v>
      </c>
      <c r="K584" s="458"/>
    </row>
    <row r="585" spans="1:11" x14ac:dyDescent="0.2">
      <c r="A585" s="452" t="s">
        <v>9074</v>
      </c>
      <c r="B585" s="420" t="s">
        <v>295</v>
      </c>
      <c r="C585" s="1241"/>
      <c r="D585" s="1244"/>
      <c r="E585" s="457">
        <v>2</v>
      </c>
      <c r="F585" s="38"/>
      <c r="G585" s="616" t="s">
        <v>137</v>
      </c>
      <c r="H585" s="448">
        <v>50.8</v>
      </c>
      <c r="I585" s="1246"/>
      <c r="J585" s="448">
        <f t="shared" ref="J585:J591" si="5">858376/498.2*H585</f>
        <v>87526.095543958247</v>
      </c>
      <c r="K585" s="458"/>
    </row>
    <row r="586" spans="1:11" x14ac:dyDescent="0.2">
      <c r="A586" s="452" t="s">
        <v>9075</v>
      </c>
      <c r="B586" s="420" t="s">
        <v>295</v>
      </c>
      <c r="C586" s="1241"/>
      <c r="D586" s="1244"/>
      <c r="E586" s="457">
        <v>3</v>
      </c>
      <c r="F586" s="38"/>
      <c r="G586" s="616" t="s">
        <v>512</v>
      </c>
      <c r="H586" s="448">
        <v>73.2</v>
      </c>
      <c r="I586" s="1246"/>
      <c r="J586" s="448">
        <f t="shared" si="5"/>
        <v>126120.2794058611</v>
      </c>
      <c r="K586" s="458"/>
    </row>
    <row r="587" spans="1:11" x14ac:dyDescent="0.2">
      <c r="A587" s="452" t="s">
        <v>9076</v>
      </c>
      <c r="B587" s="420" t="s">
        <v>295</v>
      </c>
      <c r="C587" s="1241"/>
      <c r="D587" s="1244"/>
      <c r="E587" s="457">
        <v>4</v>
      </c>
      <c r="F587" s="38"/>
      <c r="G587" s="616" t="s">
        <v>512</v>
      </c>
      <c r="H587" s="448">
        <v>52.4</v>
      </c>
      <c r="I587" s="1246"/>
      <c r="J587" s="448">
        <f t="shared" si="5"/>
        <v>90282.822962665596</v>
      </c>
      <c r="K587" s="458"/>
    </row>
    <row r="588" spans="1:11" x14ac:dyDescent="0.2">
      <c r="A588" s="452" t="s">
        <v>9077</v>
      </c>
      <c r="B588" s="420" t="s">
        <v>295</v>
      </c>
      <c r="C588" s="1241"/>
      <c r="D588" s="1244"/>
      <c r="E588" s="457">
        <v>5</v>
      </c>
      <c r="F588" s="38"/>
      <c r="G588" s="616" t="s">
        <v>137</v>
      </c>
      <c r="H588" s="448">
        <v>52.3</v>
      </c>
      <c r="I588" s="1246"/>
      <c r="J588" s="448">
        <f t="shared" si="5"/>
        <v>90110.52749899638</v>
      </c>
      <c r="K588" s="458"/>
    </row>
    <row r="589" spans="1:11" x14ac:dyDescent="0.2">
      <c r="A589" s="452" t="s">
        <v>9078</v>
      </c>
      <c r="B589" s="420" t="s">
        <v>295</v>
      </c>
      <c r="C589" s="1241"/>
      <c r="D589" s="1244"/>
      <c r="E589" s="457">
        <v>6</v>
      </c>
      <c r="F589" s="38"/>
      <c r="G589" s="616" t="s">
        <v>137</v>
      </c>
      <c r="H589" s="448">
        <v>72.599999999999994</v>
      </c>
      <c r="I589" s="1246"/>
      <c r="J589" s="448">
        <f t="shared" si="5"/>
        <v>125086.50662384584</v>
      </c>
      <c r="K589" s="458"/>
    </row>
    <row r="590" spans="1:11" ht="15" customHeight="1" x14ac:dyDescent="0.2">
      <c r="A590" s="452" t="s">
        <v>9079</v>
      </c>
      <c r="B590" s="420" t="s">
        <v>295</v>
      </c>
      <c r="C590" s="1241"/>
      <c r="D590" s="1244"/>
      <c r="E590" s="457">
        <v>7</v>
      </c>
      <c r="F590" s="38"/>
      <c r="G590" s="616" t="s">
        <v>512</v>
      </c>
      <c r="H590" s="448">
        <v>52.3</v>
      </c>
      <c r="I590" s="1246"/>
      <c r="J590" s="448">
        <f t="shared" si="5"/>
        <v>90110.52749899638</v>
      </c>
      <c r="K590" s="458"/>
    </row>
    <row r="591" spans="1:11" x14ac:dyDescent="0.2">
      <c r="A591" s="452" t="s">
        <v>9080</v>
      </c>
      <c r="B591" s="420" t="s">
        <v>295</v>
      </c>
      <c r="C591" s="1242"/>
      <c r="D591" s="1245"/>
      <c r="E591" s="457">
        <v>8</v>
      </c>
      <c r="F591" s="38"/>
      <c r="G591" s="616" t="s">
        <v>512</v>
      </c>
      <c r="H591" s="448">
        <v>71.7</v>
      </c>
      <c r="I591" s="1247"/>
      <c r="J591" s="448">
        <f t="shared" si="5"/>
        <v>123535.84745082297</v>
      </c>
      <c r="K591" s="458"/>
    </row>
    <row r="592" spans="1:11" ht="25.5" x14ac:dyDescent="0.2">
      <c r="A592" s="419" t="s">
        <v>804</v>
      </c>
      <c r="B592" s="420"/>
      <c r="C592" s="1240" t="s">
        <v>5262</v>
      </c>
      <c r="D592" s="1248" t="s">
        <v>386</v>
      </c>
      <c r="E592" s="457"/>
      <c r="F592" s="38"/>
      <c r="G592" s="616" t="s">
        <v>9088</v>
      </c>
      <c r="H592" s="448">
        <f>179.9-179.9</f>
        <v>0</v>
      </c>
      <c r="I592" s="1225">
        <v>1940</v>
      </c>
      <c r="J592" s="448">
        <f>967272-967272</f>
        <v>0</v>
      </c>
      <c r="K592" s="458"/>
    </row>
    <row r="593" spans="1:11" ht="12.75" customHeight="1" x14ac:dyDescent="0.2">
      <c r="A593" s="452" t="s">
        <v>9083</v>
      </c>
      <c r="B593" s="420" t="s">
        <v>295</v>
      </c>
      <c r="C593" s="1241"/>
      <c r="D593" s="1249"/>
      <c r="E593" s="457">
        <v>1</v>
      </c>
      <c r="F593" s="38"/>
      <c r="G593" s="616" t="s">
        <v>137</v>
      </c>
      <c r="H593" s="448">
        <v>50.2</v>
      </c>
      <c r="I593" s="1246"/>
      <c r="J593" s="448">
        <f>967272/179.9*H593</f>
        <v>269911.36409116175</v>
      </c>
      <c r="K593" s="458"/>
    </row>
    <row r="594" spans="1:11" x14ac:dyDescent="0.2">
      <c r="A594" s="452" t="s">
        <v>9084</v>
      </c>
      <c r="B594" s="420" t="s">
        <v>295</v>
      </c>
      <c r="C594" s="1241"/>
      <c r="D594" s="1249"/>
      <c r="E594" s="457">
        <v>2</v>
      </c>
      <c r="F594" s="38"/>
      <c r="G594" s="616" t="s">
        <v>137</v>
      </c>
      <c r="H594" s="448">
        <v>35.1</v>
      </c>
      <c r="I594" s="1246"/>
      <c r="J594" s="448">
        <f>967272/179.9*H594</f>
        <v>188722.88604780432</v>
      </c>
      <c r="K594" s="458"/>
    </row>
    <row r="595" spans="1:11" x14ac:dyDescent="0.2">
      <c r="A595" s="452" t="s">
        <v>9085</v>
      </c>
      <c r="B595" s="420" t="s">
        <v>295</v>
      </c>
      <c r="C595" s="1241"/>
      <c r="D595" s="1249"/>
      <c r="E595" s="457">
        <v>3</v>
      </c>
      <c r="F595" s="38"/>
      <c r="G595" s="616" t="s">
        <v>137</v>
      </c>
      <c r="H595" s="448">
        <v>30.1</v>
      </c>
      <c r="I595" s="1246"/>
      <c r="J595" s="448">
        <f>967272/179.9*H595</f>
        <v>161839.2840466926</v>
      </c>
      <c r="K595" s="458"/>
    </row>
    <row r="596" spans="1:11" ht="25.5" customHeight="1" x14ac:dyDescent="0.2">
      <c r="A596" s="452" t="s">
        <v>9086</v>
      </c>
      <c r="B596" s="420" t="s">
        <v>295</v>
      </c>
      <c r="C596" s="1241"/>
      <c r="D596" s="1249"/>
      <c r="E596" s="457">
        <v>4</v>
      </c>
      <c r="F596" s="38"/>
      <c r="G596" s="616" t="s">
        <v>137</v>
      </c>
      <c r="H596" s="448">
        <v>29.5</v>
      </c>
      <c r="I596" s="1246"/>
      <c r="J596" s="448">
        <f>967272/179.9*H596</f>
        <v>158613.25180655919</v>
      </c>
      <c r="K596" s="458"/>
    </row>
    <row r="597" spans="1:11" x14ac:dyDescent="0.2">
      <c r="A597" s="452" t="s">
        <v>9087</v>
      </c>
      <c r="B597" s="420" t="s">
        <v>295</v>
      </c>
      <c r="C597" s="1242"/>
      <c r="D597" s="1250"/>
      <c r="E597" s="457">
        <v>5</v>
      </c>
      <c r="F597" s="38"/>
      <c r="G597" s="616" t="s">
        <v>137</v>
      </c>
      <c r="H597" s="448">
        <v>35</v>
      </c>
      <c r="I597" s="1247"/>
      <c r="J597" s="448">
        <f>967272/179.9*H597</f>
        <v>188185.21400778208</v>
      </c>
      <c r="K597" s="458"/>
    </row>
    <row r="598" spans="1:11" ht="25.5" x14ac:dyDescent="0.2">
      <c r="A598" s="419" t="s">
        <v>805</v>
      </c>
      <c r="B598" s="420"/>
      <c r="C598" s="1240" t="s">
        <v>5262</v>
      </c>
      <c r="D598" s="1243" t="s">
        <v>386</v>
      </c>
      <c r="E598" s="457"/>
      <c r="F598" s="38"/>
      <c r="G598" s="616" t="s">
        <v>9093</v>
      </c>
      <c r="H598" s="448">
        <f>173.3-173.3</f>
        <v>0</v>
      </c>
      <c r="I598" s="1225">
        <v>1970</v>
      </c>
      <c r="J598" s="448">
        <f>505120-505120</f>
        <v>0</v>
      </c>
      <c r="K598" s="458"/>
    </row>
    <row r="599" spans="1:11" ht="12.75" customHeight="1" x14ac:dyDescent="0.2">
      <c r="A599" s="452" t="s">
        <v>9089</v>
      </c>
      <c r="B599" s="420" t="s">
        <v>295</v>
      </c>
      <c r="C599" s="1241"/>
      <c r="D599" s="1244"/>
      <c r="E599" s="457">
        <v>1</v>
      </c>
      <c r="F599" s="38"/>
      <c r="G599" s="616" t="s">
        <v>137</v>
      </c>
      <c r="H599" s="448">
        <v>43</v>
      </c>
      <c r="I599" s="1246"/>
      <c r="J599" s="448">
        <f>505120/173.3*H599</f>
        <v>125332.71783035198</v>
      </c>
      <c r="K599" s="458"/>
    </row>
    <row r="600" spans="1:11" x14ac:dyDescent="0.2">
      <c r="A600" s="452" t="s">
        <v>9090</v>
      </c>
      <c r="B600" s="420" t="s">
        <v>295</v>
      </c>
      <c r="C600" s="1241"/>
      <c r="D600" s="1244"/>
      <c r="E600" s="457">
        <v>2</v>
      </c>
      <c r="F600" s="38"/>
      <c r="G600" s="616" t="s">
        <v>137</v>
      </c>
      <c r="H600" s="448">
        <v>43.6</v>
      </c>
      <c r="I600" s="1246"/>
      <c r="J600" s="448">
        <f>505120/173.3*H600</f>
        <v>127081.54645124062</v>
      </c>
      <c r="K600" s="458"/>
    </row>
    <row r="601" spans="1:11" ht="25.5" customHeight="1" x14ac:dyDescent="0.2">
      <c r="A601" s="452" t="s">
        <v>9091</v>
      </c>
      <c r="B601" s="420" t="s">
        <v>295</v>
      </c>
      <c r="C601" s="1241"/>
      <c r="D601" s="1244"/>
      <c r="E601" s="457">
        <v>3</v>
      </c>
      <c r="F601" s="38"/>
      <c r="G601" s="616" t="s">
        <v>137</v>
      </c>
      <c r="H601" s="448">
        <v>43.6</v>
      </c>
      <c r="I601" s="1246"/>
      <c r="J601" s="448">
        <f>505120/173.3*H601</f>
        <v>127081.54645124062</v>
      </c>
      <c r="K601" s="458"/>
    </row>
    <row r="602" spans="1:11" x14ac:dyDescent="0.2">
      <c r="A602" s="452" t="s">
        <v>9092</v>
      </c>
      <c r="B602" s="420" t="s">
        <v>295</v>
      </c>
      <c r="C602" s="1242"/>
      <c r="D602" s="1245"/>
      <c r="E602" s="457">
        <v>4</v>
      </c>
      <c r="F602" s="38"/>
      <c r="G602" s="616" t="s">
        <v>137</v>
      </c>
      <c r="H602" s="448">
        <v>43.1</v>
      </c>
      <c r="I602" s="1247"/>
      <c r="J602" s="448">
        <f>505120/173.3*H602</f>
        <v>125624.18926716676</v>
      </c>
      <c r="K602" s="458"/>
    </row>
    <row r="603" spans="1:11" ht="25.5" x14ac:dyDescent="0.2">
      <c r="A603" s="348" t="s">
        <v>806</v>
      </c>
      <c r="B603" s="347"/>
      <c r="C603" s="1147" t="s">
        <v>11127</v>
      </c>
      <c r="D603" s="1150">
        <v>5</v>
      </c>
      <c r="E603" s="436"/>
      <c r="F603" s="178" t="s">
        <v>5960</v>
      </c>
      <c r="G603" s="606" t="s">
        <v>2691</v>
      </c>
      <c r="H603" s="415">
        <f>374.2-374.2</f>
        <v>0</v>
      </c>
      <c r="I603" s="1145">
        <v>1984</v>
      </c>
      <c r="J603" s="415">
        <f>1116500-1116500</f>
        <v>0</v>
      </c>
      <c r="K603" s="437"/>
    </row>
    <row r="604" spans="1:11" ht="24" customHeight="1" x14ac:dyDescent="0.2">
      <c r="A604" s="349" t="s">
        <v>4061</v>
      </c>
      <c r="B604" s="347" t="s">
        <v>295</v>
      </c>
      <c r="C604" s="1148"/>
      <c r="D604" s="1151"/>
      <c r="E604" s="436">
        <v>3</v>
      </c>
      <c r="F604" s="178"/>
      <c r="G604" s="606"/>
      <c r="H604" s="415">
        <v>47.5</v>
      </c>
      <c r="I604" s="1153"/>
      <c r="J604" s="415"/>
      <c r="K604" s="437"/>
    </row>
    <row r="605" spans="1:11" x14ac:dyDescent="0.2">
      <c r="A605" s="349" t="s">
        <v>4062</v>
      </c>
      <c r="B605" s="347" t="s">
        <v>295</v>
      </c>
      <c r="C605" s="1148"/>
      <c r="D605" s="1151"/>
      <c r="E605" s="436">
        <v>4</v>
      </c>
      <c r="F605" s="178"/>
      <c r="G605" s="606"/>
      <c r="H605" s="415">
        <v>44.5</v>
      </c>
      <c r="I605" s="1153"/>
      <c r="J605" s="415"/>
      <c r="K605" s="437"/>
    </row>
    <row r="606" spans="1:11" x14ac:dyDescent="0.2">
      <c r="A606" s="419" t="s">
        <v>807</v>
      </c>
      <c r="B606" s="420"/>
      <c r="C606" s="1240" t="s">
        <v>11885</v>
      </c>
      <c r="D606" s="1243">
        <v>6</v>
      </c>
      <c r="E606" s="457"/>
      <c r="F606" s="38"/>
      <c r="G606" s="611"/>
      <c r="H606" s="448">
        <f>141.2-141.2</f>
        <v>0</v>
      </c>
      <c r="I606" s="1225">
        <v>1989</v>
      </c>
      <c r="J606" s="448">
        <f>670760-670760</f>
        <v>0</v>
      </c>
      <c r="K606" s="458"/>
    </row>
    <row r="607" spans="1:11" ht="12.75" customHeight="1" x14ac:dyDescent="0.2">
      <c r="A607" s="452" t="s">
        <v>9081</v>
      </c>
      <c r="B607" s="420" t="s">
        <v>295</v>
      </c>
      <c r="C607" s="1241"/>
      <c r="D607" s="1244"/>
      <c r="E607" s="457">
        <v>1</v>
      </c>
      <c r="F607" s="38"/>
      <c r="G607" s="611" t="s">
        <v>137</v>
      </c>
      <c r="H607" s="448">
        <v>70.599999999999994</v>
      </c>
      <c r="I607" s="1246"/>
      <c r="J607" s="448">
        <f>670760/141.2*H607</f>
        <v>335380</v>
      </c>
      <c r="K607" s="458"/>
    </row>
    <row r="608" spans="1:11" x14ac:dyDescent="0.2">
      <c r="A608" s="452" t="s">
        <v>9082</v>
      </c>
      <c r="B608" s="420"/>
      <c r="C608" s="1242"/>
      <c r="D608" s="1245"/>
      <c r="E608" s="457">
        <v>2</v>
      </c>
      <c r="F608" s="38"/>
      <c r="G608" s="611" t="s">
        <v>137</v>
      </c>
      <c r="H608" s="448">
        <v>70.599999999999994</v>
      </c>
      <c r="I608" s="1247"/>
      <c r="J608" s="448">
        <f>670760/141.2*H608</f>
        <v>335380</v>
      </c>
      <c r="K608" s="458"/>
    </row>
    <row r="609" spans="1:11" x14ac:dyDescent="0.2">
      <c r="A609" s="348" t="s">
        <v>808</v>
      </c>
      <c r="B609" s="347"/>
      <c r="C609" s="1147" t="s">
        <v>11128</v>
      </c>
      <c r="D609" s="1150">
        <v>6</v>
      </c>
      <c r="E609" s="436"/>
      <c r="F609" s="178"/>
      <c r="G609" s="606"/>
      <c r="H609" s="415">
        <f>3386.6-3386.6</f>
        <v>0</v>
      </c>
      <c r="I609" s="1145">
        <v>1973</v>
      </c>
      <c r="J609" s="415">
        <f>6805200-6805200</f>
        <v>0</v>
      </c>
      <c r="K609" s="437"/>
    </row>
    <row r="610" spans="1:11" ht="12.75" customHeight="1" x14ac:dyDescent="0.2">
      <c r="A610" s="349" t="s">
        <v>1357</v>
      </c>
      <c r="B610" s="347" t="s">
        <v>295</v>
      </c>
      <c r="C610" s="1148"/>
      <c r="D610" s="1151"/>
      <c r="E610" s="436">
        <v>3</v>
      </c>
      <c r="F610" s="178"/>
      <c r="G610" s="602"/>
      <c r="H610" s="415">
        <v>28.4</v>
      </c>
      <c r="I610" s="1153"/>
      <c r="J610" s="415">
        <v>57068.351739207465</v>
      </c>
      <c r="K610" s="437"/>
    </row>
    <row r="611" spans="1:11" x14ac:dyDescent="0.2">
      <c r="A611" s="349" t="s">
        <v>1358</v>
      </c>
      <c r="B611" s="347" t="s">
        <v>295</v>
      </c>
      <c r="C611" s="1148"/>
      <c r="D611" s="1151"/>
      <c r="E611" s="436">
        <v>10</v>
      </c>
      <c r="F611" s="178"/>
      <c r="G611" s="602"/>
      <c r="H611" s="415">
        <v>60.3</v>
      </c>
      <c r="I611" s="1153"/>
      <c r="J611" s="415">
        <v>121169.77499557077</v>
      </c>
      <c r="K611" s="437"/>
    </row>
    <row r="612" spans="1:11" ht="36.75" x14ac:dyDescent="0.2">
      <c r="A612" s="834" t="s">
        <v>3311</v>
      </c>
      <c r="B612" s="833" t="s">
        <v>11129</v>
      </c>
      <c r="C612" s="1148"/>
      <c r="D612" s="1151"/>
      <c r="E612" s="436">
        <v>32</v>
      </c>
      <c r="F612" s="178" t="s">
        <v>3312</v>
      </c>
      <c r="G612" s="862" t="s">
        <v>128</v>
      </c>
      <c r="H612" s="837">
        <f>30.6</f>
        <v>30.6</v>
      </c>
      <c r="I612" s="1153"/>
      <c r="J612" s="837">
        <v>905760</v>
      </c>
      <c r="K612" s="437">
        <v>606493.82999999996</v>
      </c>
    </row>
    <row r="613" spans="1:11" x14ac:dyDescent="0.2">
      <c r="A613" s="863" t="s">
        <v>14407</v>
      </c>
      <c r="B613" s="865" t="s">
        <v>308</v>
      </c>
      <c r="C613" s="1149"/>
      <c r="D613" s="1152"/>
      <c r="E613" s="436">
        <v>32</v>
      </c>
      <c r="F613" s="178" t="s">
        <v>14408</v>
      </c>
      <c r="G613" s="602" t="s">
        <v>128</v>
      </c>
      <c r="H613" s="415">
        <v>45.6</v>
      </c>
      <c r="I613" s="1146"/>
      <c r="J613" s="415">
        <v>91630.87</v>
      </c>
      <c r="K613" s="437">
        <v>877132.43</v>
      </c>
    </row>
    <row r="614" spans="1:11" ht="12.75" customHeight="1" x14ac:dyDescent="0.2">
      <c r="A614" s="348" t="s">
        <v>809</v>
      </c>
      <c r="B614" s="347"/>
      <c r="C614" s="1147" t="s">
        <v>11130</v>
      </c>
      <c r="D614" s="1150">
        <v>8</v>
      </c>
      <c r="E614" s="436"/>
      <c r="F614" s="178"/>
      <c r="G614" s="602"/>
      <c r="H614" s="415">
        <f>4487.9-4487.9</f>
        <v>0</v>
      </c>
      <c r="I614" s="1145">
        <v>1973</v>
      </c>
      <c r="J614" s="415">
        <f>9636600-9636600</f>
        <v>0</v>
      </c>
      <c r="K614" s="437"/>
    </row>
    <row r="615" spans="1:11" ht="25.5" customHeight="1" x14ac:dyDescent="0.2">
      <c r="A615" s="349" t="s">
        <v>810</v>
      </c>
      <c r="B615" s="347" t="s">
        <v>295</v>
      </c>
      <c r="C615" s="1148"/>
      <c r="D615" s="1151"/>
      <c r="E615" s="436">
        <v>100</v>
      </c>
      <c r="F615" s="178"/>
      <c r="G615" s="602"/>
      <c r="H615" s="415">
        <v>40.700000000000003</v>
      </c>
      <c r="I615" s="1153"/>
      <c r="J615" s="415">
        <v>87392.682546402561</v>
      </c>
      <c r="K615" s="437"/>
    </row>
    <row r="616" spans="1:11" ht="25.5" customHeight="1" x14ac:dyDescent="0.2">
      <c r="A616" s="188" t="s">
        <v>14411</v>
      </c>
      <c r="B616" s="350" t="s">
        <v>295</v>
      </c>
      <c r="C616" s="1149"/>
      <c r="D616" s="1152"/>
      <c r="E616" s="436">
        <v>83</v>
      </c>
      <c r="F616" s="431" t="s">
        <v>14412</v>
      </c>
      <c r="G616" s="350" t="s">
        <v>137</v>
      </c>
      <c r="H616" s="896">
        <v>40.200000000000003</v>
      </c>
      <c r="I616" s="1146"/>
      <c r="J616" s="837">
        <v>86319.06</v>
      </c>
      <c r="K616" s="437">
        <v>744477</v>
      </c>
    </row>
    <row r="617" spans="1:11" ht="12.75" customHeight="1" x14ac:dyDescent="0.2">
      <c r="A617" s="348" t="s">
        <v>811</v>
      </c>
      <c r="B617" s="347"/>
      <c r="C617" s="1147" t="s">
        <v>11131</v>
      </c>
      <c r="D617" s="1150">
        <v>10</v>
      </c>
      <c r="E617" s="436"/>
      <c r="F617" s="178"/>
      <c r="G617" s="602"/>
      <c r="H617" s="415">
        <f>3318.9-3318.9</f>
        <v>0</v>
      </c>
      <c r="I617" s="1145">
        <v>1975</v>
      </c>
      <c r="J617" s="415">
        <f>7058200-7058200</f>
        <v>0</v>
      </c>
      <c r="K617" s="437"/>
    </row>
    <row r="618" spans="1:11" ht="24" customHeight="1" x14ac:dyDescent="0.2">
      <c r="A618" s="349" t="s">
        <v>813</v>
      </c>
      <c r="B618" s="347" t="s">
        <v>295</v>
      </c>
      <c r="C618" s="1149"/>
      <c r="D618" s="1152"/>
      <c r="E618" s="436">
        <v>22</v>
      </c>
      <c r="F618" s="178" t="s">
        <v>10275</v>
      </c>
      <c r="G618" s="602" t="s">
        <v>137</v>
      </c>
      <c r="H618" s="415">
        <v>42.4</v>
      </c>
      <c r="I618" s="1146"/>
      <c r="J618" s="415">
        <v>90170.743318569395</v>
      </c>
      <c r="K618" s="437">
        <v>805621.62</v>
      </c>
    </row>
    <row r="619" spans="1:11" ht="12.75" customHeight="1" x14ac:dyDescent="0.2">
      <c r="A619" s="348" t="s">
        <v>812</v>
      </c>
      <c r="B619" s="347"/>
      <c r="C619" s="1147" t="s">
        <v>11132</v>
      </c>
      <c r="D619" s="1150">
        <v>12</v>
      </c>
      <c r="E619" s="436"/>
      <c r="F619" s="178"/>
      <c r="G619" s="602"/>
      <c r="H619" s="415">
        <f>4485.4-4485.4</f>
        <v>0</v>
      </c>
      <c r="I619" s="1145">
        <v>1977</v>
      </c>
      <c r="J619" s="415">
        <f>9071700-9071700</f>
        <v>0</v>
      </c>
      <c r="K619" s="437"/>
    </row>
    <row r="620" spans="1:11" ht="12.75" customHeight="1" x14ac:dyDescent="0.2">
      <c r="A620" s="349" t="s">
        <v>814</v>
      </c>
      <c r="B620" s="347" t="s">
        <v>295</v>
      </c>
      <c r="C620" s="1148"/>
      <c r="D620" s="1151"/>
      <c r="E620" s="436">
        <v>17</v>
      </c>
      <c r="F620" s="178"/>
      <c r="G620" s="602"/>
      <c r="H620" s="415">
        <v>40.799999999999997</v>
      </c>
      <c r="I620" s="1153"/>
      <c r="J620" s="415">
        <v>82517.80443215766</v>
      </c>
      <c r="K620" s="437"/>
    </row>
    <row r="621" spans="1:11" ht="12.75" customHeight="1" x14ac:dyDescent="0.2">
      <c r="A621" s="349" t="s">
        <v>815</v>
      </c>
      <c r="B621" s="347" t="s">
        <v>295</v>
      </c>
      <c r="C621" s="1148"/>
      <c r="D621" s="1151"/>
      <c r="E621" s="436">
        <v>29</v>
      </c>
      <c r="F621" s="178"/>
      <c r="G621" s="602"/>
      <c r="H621" s="415">
        <f>62.2-62.2</f>
        <v>0</v>
      </c>
      <c r="I621" s="1153"/>
      <c r="J621" s="415">
        <f>125799.201854907-125799.201854907</f>
        <v>0</v>
      </c>
      <c r="K621" s="437"/>
    </row>
    <row r="622" spans="1:11" ht="12.75" customHeight="1" x14ac:dyDescent="0.2">
      <c r="A622" s="348" t="s">
        <v>816</v>
      </c>
      <c r="B622" s="347"/>
      <c r="C622" s="1147" t="s">
        <v>11133</v>
      </c>
      <c r="D622" s="1150">
        <v>16</v>
      </c>
      <c r="E622" s="436"/>
      <c r="F622" s="178"/>
      <c r="G622" s="602"/>
      <c r="H622" s="415">
        <f>3309.1-3309.1</f>
        <v>0</v>
      </c>
      <c r="I622" s="1145">
        <v>1979</v>
      </c>
      <c r="J622" s="415">
        <f>6712500-6712500</f>
        <v>0</v>
      </c>
      <c r="K622" s="437"/>
    </row>
    <row r="623" spans="1:11" ht="12.75" customHeight="1" x14ac:dyDescent="0.2">
      <c r="A623" s="349" t="s">
        <v>817</v>
      </c>
      <c r="B623" s="347" t="s">
        <v>295</v>
      </c>
      <c r="C623" s="1148"/>
      <c r="D623" s="1151"/>
      <c r="E623" s="436">
        <v>4</v>
      </c>
      <c r="F623" s="178" t="s">
        <v>399</v>
      </c>
      <c r="G623" s="602"/>
      <c r="H623" s="415">
        <v>55.6</v>
      </c>
      <c r="I623" s="1153"/>
      <c r="J623" s="415">
        <v>112784.44289988215</v>
      </c>
      <c r="K623" s="437">
        <v>1025277.37</v>
      </c>
    </row>
    <row r="624" spans="1:11" x14ac:dyDescent="0.2">
      <c r="A624" s="349" t="s">
        <v>818</v>
      </c>
      <c r="B624" s="347" t="s">
        <v>295</v>
      </c>
      <c r="C624" s="1148"/>
      <c r="D624" s="1151"/>
      <c r="E624" s="436">
        <v>65</v>
      </c>
      <c r="F624" s="178" t="s">
        <v>400</v>
      </c>
      <c r="G624" s="602"/>
      <c r="H624" s="415">
        <v>60.5</v>
      </c>
      <c r="I624" s="1153"/>
      <c r="J624" s="415">
        <v>122724.07905472787</v>
      </c>
      <c r="K624" s="437">
        <v>1158954.48</v>
      </c>
    </row>
    <row r="625" spans="1:11" x14ac:dyDescent="0.2">
      <c r="A625" s="348" t="s">
        <v>819</v>
      </c>
      <c r="B625" s="347"/>
      <c r="C625" s="1147" t="s">
        <v>11134</v>
      </c>
      <c r="D625" s="1150">
        <v>18</v>
      </c>
      <c r="E625" s="436"/>
      <c r="F625" s="178"/>
      <c r="G625" s="1040"/>
      <c r="H625" s="837">
        <f>3276.1-3276.1</f>
        <v>0</v>
      </c>
      <c r="I625" s="1145">
        <v>1979</v>
      </c>
      <c r="J625" s="837">
        <f>7184500-7184500</f>
        <v>0</v>
      </c>
      <c r="K625" s="437"/>
    </row>
    <row r="626" spans="1:11" x14ac:dyDescent="0.2">
      <c r="A626" s="349" t="s">
        <v>1359</v>
      </c>
      <c r="B626" s="347" t="s">
        <v>295</v>
      </c>
      <c r="C626" s="1148"/>
      <c r="D626" s="1151"/>
      <c r="E626" s="436">
        <v>44</v>
      </c>
      <c r="F626" s="200" t="s">
        <v>13214</v>
      </c>
      <c r="G626" s="1040"/>
      <c r="H626" s="837">
        <v>44.4</v>
      </c>
      <c r="I626" s="1153"/>
      <c r="J626" s="837">
        <v>97369.372119288179</v>
      </c>
      <c r="K626" s="443">
        <v>839568.04</v>
      </c>
    </row>
    <row r="627" spans="1:11" ht="12.75" customHeight="1" x14ac:dyDescent="0.2">
      <c r="A627" s="349" t="s">
        <v>1360</v>
      </c>
      <c r="B627" s="347" t="s">
        <v>295</v>
      </c>
      <c r="C627" s="1148"/>
      <c r="D627" s="1151"/>
      <c r="E627" s="436">
        <v>5</v>
      </c>
      <c r="F627" s="178" t="s">
        <v>401</v>
      </c>
      <c r="G627" s="1040"/>
      <c r="H627" s="837">
        <v>49.8</v>
      </c>
      <c r="I627" s="1153"/>
      <c r="J627" s="837">
        <v>109211.59305271511</v>
      </c>
      <c r="K627" s="437">
        <v>953982.37</v>
      </c>
    </row>
    <row r="628" spans="1:11" ht="12.75" customHeight="1" x14ac:dyDescent="0.2">
      <c r="A628" s="349" t="s">
        <v>1361</v>
      </c>
      <c r="B628" s="347" t="s">
        <v>295</v>
      </c>
      <c r="C628" s="1148"/>
      <c r="D628" s="1151"/>
      <c r="E628" s="436">
        <v>52</v>
      </c>
      <c r="F628" s="178"/>
      <c r="G628" s="1040"/>
      <c r="H628" s="837">
        <v>29.3</v>
      </c>
      <c r="I628" s="1153"/>
      <c r="J628" s="837">
        <v>64255.013583223954</v>
      </c>
      <c r="K628" s="437"/>
    </row>
    <row r="629" spans="1:11" x14ac:dyDescent="0.2">
      <c r="A629" s="348" t="s">
        <v>820</v>
      </c>
      <c r="B629" s="347"/>
      <c r="C629" s="1147" t="s">
        <v>11135</v>
      </c>
      <c r="D629" s="1150">
        <v>20</v>
      </c>
      <c r="E629" s="436"/>
      <c r="F629" s="178"/>
      <c r="G629" s="602"/>
      <c r="H629" s="415">
        <f>3237.2-3237.2</f>
        <v>0</v>
      </c>
      <c r="I629" s="1145">
        <v>1980</v>
      </c>
      <c r="J629" s="415">
        <f>6475900-6475900</f>
        <v>0</v>
      </c>
      <c r="K629" s="437"/>
    </row>
    <row r="630" spans="1:11" ht="12.75" customHeight="1" x14ac:dyDescent="0.2">
      <c r="A630" s="349" t="s">
        <v>821</v>
      </c>
      <c r="B630" s="347" t="s">
        <v>295</v>
      </c>
      <c r="C630" s="1148"/>
      <c r="D630" s="1151"/>
      <c r="E630" s="436">
        <v>22</v>
      </c>
      <c r="F630" s="178"/>
      <c r="G630" s="602"/>
      <c r="H630" s="415">
        <v>39.799999999999997</v>
      </c>
      <c r="I630" s="1153"/>
      <c r="J630" s="415">
        <v>79618.441863338681</v>
      </c>
      <c r="K630" s="437"/>
    </row>
    <row r="631" spans="1:11" ht="12.75" customHeight="1" x14ac:dyDescent="0.2">
      <c r="A631" s="349" t="s">
        <v>822</v>
      </c>
      <c r="B631" s="347" t="s">
        <v>295</v>
      </c>
      <c r="C631" s="1149"/>
      <c r="D631" s="1152"/>
      <c r="E631" s="436">
        <v>50</v>
      </c>
      <c r="F631" s="178" t="s">
        <v>4063</v>
      </c>
      <c r="G631" s="602"/>
      <c r="H631" s="415">
        <v>44</v>
      </c>
      <c r="I631" s="1146"/>
      <c r="J631" s="415">
        <v>88020.387989620664</v>
      </c>
      <c r="K631" s="437">
        <v>782762.2</v>
      </c>
    </row>
    <row r="632" spans="1:11" x14ac:dyDescent="0.2">
      <c r="A632" s="348" t="s">
        <v>823</v>
      </c>
      <c r="B632" s="347"/>
      <c r="C632" s="1147" t="s">
        <v>11136</v>
      </c>
      <c r="D632" s="1150">
        <v>22</v>
      </c>
      <c r="E632" s="436"/>
      <c r="F632" s="178"/>
      <c r="G632" s="602"/>
      <c r="H632" s="415">
        <f>3204.6-3204.6</f>
        <v>0</v>
      </c>
      <c r="I632" s="1145">
        <v>1980</v>
      </c>
      <c r="J632" s="415">
        <f>7137800-7137800</f>
        <v>0</v>
      </c>
      <c r="K632" s="437"/>
    </row>
    <row r="633" spans="1:11" x14ac:dyDescent="0.2">
      <c r="A633" s="349" t="s">
        <v>824</v>
      </c>
      <c r="B633" s="347" t="s">
        <v>295</v>
      </c>
      <c r="C633" s="1148"/>
      <c r="D633" s="1151"/>
      <c r="E633" s="436">
        <v>21</v>
      </c>
      <c r="F633" s="178"/>
      <c r="G633" s="602"/>
      <c r="H633" s="415">
        <v>43.5</v>
      </c>
      <c r="I633" s="1153"/>
      <c r="J633" s="415">
        <v>96890.189103164201</v>
      </c>
      <c r="K633" s="437"/>
    </row>
    <row r="634" spans="1:11" ht="12.75" customHeight="1" x14ac:dyDescent="0.2">
      <c r="A634" s="349" t="s">
        <v>825</v>
      </c>
      <c r="B634" s="347" t="s">
        <v>295</v>
      </c>
      <c r="C634" s="1148"/>
      <c r="D634" s="1151"/>
      <c r="E634" s="436">
        <v>27</v>
      </c>
      <c r="F634" s="178"/>
      <c r="G634" s="602"/>
      <c r="H634" s="415">
        <v>44</v>
      </c>
      <c r="I634" s="1153"/>
      <c r="J634" s="415">
        <v>98003.86943768333</v>
      </c>
      <c r="K634" s="437"/>
    </row>
    <row r="635" spans="1:11" ht="15" customHeight="1" x14ac:dyDescent="0.2">
      <c r="A635" s="349" t="s">
        <v>826</v>
      </c>
      <c r="B635" s="347" t="s">
        <v>295</v>
      </c>
      <c r="C635" s="1148"/>
      <c r="D635" s="1151"/>
      <c r="E635" s="436">
        <v>4</v>
      </c>
      <c r="F635" s="178"/>
      <c r="G635" s="602"/>
      <c r="H635" s="415">
        <v>54.9</v>
      </c>
      <c r="I635" s="1153"/>
      <c r="J635" s="415">
        <v>122282.10073020034</v>
      </c>
      <c r="K635" s="437"/>
    </row>
    <row r="636" spans="1:11" ht="12.75" customHeight="1" x14ac:dyDescent="0.2">
      <c r="A636" s="348" t="s">
        <v>827</v>
      </c>
      <c r="B636" s="347"/>
      <c r="C636" s="1147" t="s">
        <v>11137</v>
      </c>
      <c r="D636" s="1150">
        <v>24</v>
      </c>
      <c r="E636" s="436"/>
      <c r="F636" s="178"/>
      <c r="G636" s="602"/>
      <c r="H636" s="415">
        <f>4506-4506</f>
        <v>0</v>
      </c>
      <c r="I636" s="1145">
        <v>1979</v>
      </c>
      <c r="J636" s="415">
        <f>3173200-3173200</f>
        <v>0</v>
      </c>
      <c r="K636" s="437"/>
    </row>
    <row r="637" spans="1:11" x14ac:dyDescent="0.2">
      <c r="A637" s="349" t="s">
        <v>828</v>
      </c>
      <c r="B637" s="347" t="s">
        <v>295</v>
      </c>
      <c r="C637" s="1148"/>
      <c r="D637" s="1151"/>
      <c r="E637" s="436">
        <v>42</v>
      </c>
      <c r="F637" s="178" t="s">
        <v>403</v>
      </c>
      <c r="G637" s="602"/>
      <c r="H637" s="415">
        <v>61.6</v>
      </c>
      <c r="I637" s="1153"/>
      <c r="J637" s="415">
        <v>43379.742565468267</v>
      </c>
      <c r="K637" s="437">
        <v>1180026.3799999999</v>
      </c>
    </row>
    <row r="638" spans="1:11" x14ac:dyDescent="0.2">
      <c r="A638" s="349" t="s">
        <v>1362</v>
      </c>
      <c r="B638" s="347" t="s">
        <v>295</v>
      </c>
      <c r="C638" s="1148"/>
      <c r="D638" s="1151"/>
      <c r="E638" s="436">
        <v>68</v>
      </c>
      <c r="F638" s="178"/>
      <c r="G638" s="602"/>
      <c r="H638" s="415">
        <v>21.85</v>
      </c>
      <c r="I638" s="1153"/>
      <c r="J638" s="415">
        <v>15387.132711939637</v>
      </c>
      <c r="K638" s="437"/>
    </row>
    <row r="639" spans="1:11" x14ac:dyDescent="0.2">
      <c r="A639" s="349" t="s">
        <v>1363</v>
      </c>
      <c r="B639" s="347" t="s">
        <v>295</v>
      </c>
      <c r="C639" s="1148"/>
      <c r="D639" s="1151"/>
      <c r="E639" s="425" t="s">
        <v>402</v>
      </c>
      <c r="F639" s="178"/>
      <c r="G639" s="602"/>
      <c r="H639" s="415">
        <v>21.85</v>
      </c>
      <c r="I639" s="1153"/>
      <c r="J639" s="415">
        <v>15387.132711939637</v>
      </c>
      <c r="K639" s="437"/>
    </row>
    <row r="640" spans="1:11" ht="12.75" customHeight="1" x14ac:dyDescent="0.2">
      <c r="A640" s="349" t="s">
        <v>1364</v>
      </c>
      <c r="B640" s="347" t="s">
        <v>295</v>
      </c>
      <c r="C640" s="1148"/>
      <c r="D640" s="1151"/>
      <c r="E640" s="436">
        <v>91</v>
      </c>
      <c r="F640" s="178"/>
      <c r="G640" s="602"/>
      <c r="H640" s="415">
        <v>38.799999999999997</v>
      </c>
      <c r="I640" s="1153"/>
      <c r="J640" s="415">
        <v>27323.604083444294</v>
      </c>
      <c r="K640" s="437"/>
    </row>
    <row r="641" spans="1:11" x14ac:dyDescent="0.2">
      <c r="A641" s="349" t="s">
        <v>10732</v>
      </c>
      <c r="B641" s="347" t="s">
        <v>295</v>
      </c>
      <c r="C641" s="1149"/>
      <c r="D641" s="1152"/>
      <c r="E641" s="436">
        <v>22</v>
      </c>
      <c r="F641" s="178" t="s">
        <v>10733</v>
      </c>
      <c r="G641" s="602" t="s">
        <v>137</v>
      </c>
      <c r="H641" s="415">
        <v>29</v>
      </c>
      <c r="I641" s="1146"/>
      <c r="J641" s="415">
        <v>1013289</v>
      </c>
      <c r="K641" s="437">
        <v>554016.81000000006</v>
      </c>
    </row>
    <row r="642" spans="1:11" x14ac:dyDescent="0.2">
      <c r="A642" s="348" t="s">
        <v>829</v>
      </c>
      <c r="B642" s="347"/>
      <c r="C642" s="1157" t="s">
        <v>11138</v>
      </c>
      <c r="D642" s="1158">
        <v>26</v>
      </c>
      <c r="E642" s="436"/>
      <c r="F642" s="178"/>
      <c r="G642" s="602"/>
      <c r="H642" s="415">
        <f>3321-3321</f>
        <v>0</v>
      </c>
      <c r="I642" s="1159">
        <v>1986</v>
      </c>
      <c r="J642" s="415">
        <f>10615900-10615900</f>
        <v>0</v>
      </c>
      <c r="K642" s="437"/>
    </row>
    <row r="643" spans="1:11" x14ac:dyDescent="0.2">
      <c r="A643" s="349" t="s">
        <v>1365</v>
      </c>
      <c r="B643" s="347" t="s">
        <v>295</v>
      </c>
      <c r="C643" s="1157"/>
      <c r="D643" s="1158"/>
      <c r="E643" s="436">
        <v>1</v>
      </c>
      <c r="F643" s="178"/>
      <c r="G643" s="602"/>
      <c r="H643" s="415">
        <v>82.1</v>
      </c>
      <c r="I643" s="1159"/>
      <c r="J643" s="415">
        <v>262440.64739536279</v>
      </c>
      <c r="K643" s="437"/>
    </row>
    <row r="644" spans="1:11" ht="12.75" customHeight="1" x14ac:dyDescent="0.2">
      <c r="A644" s="349" t="s">
        <v>1366</v>
      </c>
      <c r="B644" s="347" t="s">
        <v>295</v>
      </c>
      <c r="C644" s="1157"/>
      <c r="D644" s="1158"/>
      <c r="E644" s="436">
        <v>39</v>
      </c>
      <c r="F644" s="178" t="s">
        <v>4064</v>
      </c>
      <c r="G644" s="602"/>
      <c r="H644" s="415">
        <v>27.2</v>
      </c>
      <c r="I644" s="1159"/>
      <c r="J644" s="415">
        <v>84709.831376091519</v>
      </c>
      <c r="K644" s="437">
        <v>563944.67000000004</v>
      </c>
    </row>
    <row r="645" spans="1:11" ht="12.75" customHeight="1" x14ac:dyDescent="0.2">
      <c r="A645" s="349" t="s">
        <v>1367</v>
      </c>
      <c r="B645" s="347" t="s">
        <v>295</v>
      </c>
      <c r="C645" s="1157"/>
      <c r="D645" s="1158"/>
      <c r="E645" s="425" t="s">
        <v>10009</v>
      </c>
      <c r="F645" s="178"/>
      <c r="G645" s="602"/>
      <c r="H645" s="415">
        <v>16.600000000000001</v>
      </c>
      <c r="I645" s="1159"/>
      <c r="J645" s="415">
        <v>53063.517012947901</v>
      </c>
      <c r="K645" s="437"/>
    </row>
    <row r="646" spans="1:11" ht="12.75" customHeight="1" x14ac:dyDescent="0.2">
      <c r="A646" s="348" t="s">
        <v>1368</v>
      </c>
      <c r="B646" s="347"/>
      <c r="C646" s="1157" t="s">
        <v>11139</v>
      </c>
      <c r="D646" s="1158">
        <v>1</v>
      </c>
      <c r="E646" s="436"/>
      <c r="F646" s="178"/>
      <c r="G646" s="602"/>
      <c r="H646" s="415">
        <f>830.1-830.1</f>
        <v>0</v>
      </c>
      <c r="I646" s="1159">
        <v>1966</v>
      </c>
      <c r="J646" s="415">
        <f>2160000-2160000</f>
        <v>0</v>
      </c>
      <c r="K646" s="437"/>
    </row>
    <row r="647" spans="1:11" ht="27" customHeight="1" x14ac:dyDescent="0.2">
      <c r="A647" s="349" t="s">
        <v>1369</v>
      </c>
      <c r="B647" s="347" t="s">
        <v>295</v>
      </c>
      <c r="C647" s="1157"/>
      <c r="D647" s="1158"/>
      <c r="E647" s="436">
        <v>3</v>
      </c>
      <c r="F647" s="178"/>
      <c r="G647" s="602"/>
      <c r="H647" s="415">
        <v>79.599999999999994</v>
      </c>
      <c r="I647" s="1159"/>
      <c r="J647" s="415">
        <v>207126.852186484</v>
      </c>
      <c r="K647" s="437"/>
    </row>
    <row r="648" spans="1:11" ht="12.75" customHeight="1" x14ac:dyDescent="0.2">
      <c r="A648" s="348" t="s">
        <v>1370</v>
      </c>
      <c r="B648" s="347"/>
      <c r="C648" s="1147" t="s">
        <v>11140</v>
      </c>
      <c r="D648" s="1150">
        <v>2</v>
      </c>
      <c r="E648" s="436"/>
      <c r="F648" s="178"/>
      <c r="G648" s="602"/>
      <c r="H648" s="415">
        <f>750.4-750.4</f>
        <v>0</v>
      </c>
      <c r="I648" s="1145">
        <v>1966</v>
      </c>
      <c r="J648" s="415">
        <f>2248600-2248600</f>
        <v>0</v>
      </c>
      <c r="K648" s="437"/>
    </row>
    <row r="649" spans="1:11" x14ac:dyDescent="0.2">
      <c r="A649" s="349" t="s">
        <v>1371</v>
      </c>
      <c r="B649" s="347" t="s">
        <v>295</v>
      </c>
      <c r="C649" s="1148"/>
      <c r="D649" s="1151"/>
      <c r="E649" s="436">
        <v>5</v>
      </c>
      <c r="F649" s="178"/>
      <c r="G649" s="602"/>
      <c r="H649" s="415">
        <v>45.8</v>
      </c>
      <c r="I649" s="1153"/>
      <c r="J649" s="415">
        <f>J648/750.4*H649</f>
        <v>0</v>
      </c>
      <c r="K649" s="437"/>
    </row>
    <row r="650" spans="1:11" x14ac:dyDescent="0.2">
      <c r="A650" s="349" t="s">
        <v>1372</v>
      </c>
      <c r="B650" s="347" t="s">
        <v>295</v>
      </c>
      <c r="C650" s="1148"/>
      <c r="D650" s="1151"/>
      <c r="E650" s="436">
        <v>7</v>
      </c>
      <c r="F650" s="178" t="s">
        <v>5788</v>
      </c>
      <c r="G650" s="599"/>
      <c r="H650" s="415">
        <v>8.14</v>
      </c>
      <c r="I650" s="1153"/>
      <c r="J650" s="415">
        <f>2248600/750.4*H650</f>
        <v>24391.796375266527</v>
      </c>
      <c r="K650" s="1235">
        <v>792448.29</v>
      </c>
    </row>
    <row r="651" spans="1:11" ht="12.75" customHeight="1" x14ac:dyDescent="0.2">
      <c r="A651" s="349" t="s">
        <v>1373</v>
      </c>
      <c r="B651" s="347" t="s">
        <v>295</v>
      </c>
      <c r="C651" s="1148"/>
      <c r="D651" s="1151"/>
      <c r="E651" s="425" t="s">
        <v>404</v>
      </c>
      <c r="F651" s="178"/>
      <c r="G651" s="600"/>
      <c r="H651" s="415">
        <v>16.28</v>
      </c>
      <c r="I651" s="1153"/>
      <c r="J651" s="415">
        <f>2248600/750.4*H651</f>
        <v>48783.592750533055</v>
      </c>
      <c r="K651" s="1236"/>
    </row>
    <row r="652" spans="1:11" ht="12.75" customHeight="1" x14ac:dyDescent="0.2">
      <c r="A652" s="349" t="s">
        <v>1374</v>
      </c>
      <c r="B652" s="347" t="s">
        <v>295</v>
      </c>
      <c r="C652" s="1148"/>
      <c r="D652" s="1151"/>
      <c r="E652" s="425" t="s">
        <v>405</v>
      </c>
      <c r="F652" s="178"/>
      <c r="G652" s="600"/>
      <c r="H652" s="415">
        <v>24.42</v>
      </c>
      <c r="I652" s="1153"/>
      <c r="J652" s="415">
        <f>2248600/750.4*H652</f>
        <v>73175.389125799586</v>
      </c>
      <c r="K652" s="1236"/>
    </row>
    <row r="653" spans="1:11" x14ac:dyDescent="0.2">
      <c r="A653" s="349" t="s">
        <v>1375</v>
      </c>
      <c r="B653" s="347" t="s">
        <v>295</v>
      </c>
      <c r="C653" s="1149"/>
      <c r="D653" s="1152"/>
      <c r="E653" s="425" t="s">
        <v>406</v>
      </c>
      <c r="F653" s="178"/>
      <c r="G653" s="601"/>
      <c r="H653" s="415">
        <v>16.28</v>
      </c>
      <c r="I653" s="1146"/>
      <c r="J653" s="415">
        <f>2248600/750.4*H653</f>
        <v>48783.592750533055</v>
      </c>
      <c r="K653" s="1237"/>
    </row>
    <row r="654" spans="1:11" x14ac:dyDescent="0.2">
      <c r="A654" s="348" t="s">
        <v>1376</v>
      </c>
      <c r="B654" s="347"/>
      <c r="C654" s="1157" t="s">
        <v>11141</v>
      </c>
      <c r="D654" s="1158">
        <v>3</v>
      </c>
      <c r="E654" s="425"/>
      <c r="F654" s="178"/>
      <c r="G654" s="602"/>
      <c r="H654" s="415">
        <f>2240.1-2240.1</f>
        <v>0</v>
      </c>
      <c r="I654" s="1159">
        <v>1962</v>
      </c>
      <c r="J654" s="415">
        <f>11321700-11321700</f>
        <v>0</v>
      </c>
      <c r="K654" s="437"/>
    </row>
    <row r="655" spans="1:11" x14ac:dyDescent="0.2">
      <c r="A655" s="349" t="s">
        <v>1377</v>
      </c>
      <c r="B655" s="347" t="s">
        <v>295</v>
      </c>
      <c r="C655" s="1238"/>
      <c r="D655" s="1239"/>
      <c r="E655" s="425">
        <v>10</v>
      </c>
      <c r="F655" s="178"/>
      <c r="G655" s="602"/>
      <c r="H655" s="415">
        <v>49.9</v>
      </c>
      <c r="I655" s="1239"/>
      <c r="J655" s="415">
        <v>252199.82590062942</v>
      </c>
      <c r="K655" s="437"/>
    </row>
    <row r="656" spans="1:11" ht="12.75" customHeight="1" x14ac:dyDescent="0.2">
      <c r="A656" s="349" t="s">
        <v>1378</v>
      </c>
      <c r="B656" s="347" t="s">
        <v>295</v>
      </c>
      <c r="C656" s="1238"/>
      <c r="D656" s="1239"/>
      <c r="E656" s="425">
        <v>11</v>
      </c>
      <c r="F656" s="178"/>
      <c r="G656" s="602"/>
      <c r="H656" s="415">
        <v>42.8</v>
      </c>
      <c r="I656" s="1239"/>
      <c r="J656" s="415">
        <v>216315.68233561001</v>
      </c>
      <c r="K656" s="437"/>
    </row>
    <row r="657" spans="1:11" x14ac:dyDescent="0.2">
      <c r="A657" s="349" t="s">
        <v>1379</v>
      </c>
      <c r="B657" s="347" t="s">
        <v>295</v>
      </c>
      <c r="C657" s="1238"/>
      <c r="D657" s="1239"/>
      <c r="E657" s="425">
        <v>14</v>
      </c>
      <c r="F657" s="178"/>
      <c r="G657" s="602"/>
      <c r="H657" s="415">
        <v>49.9</v>
      </c>
      <c r="I657" s="1239"/>
      <c r="J657" s="415">
        <v>252199.82590062942</v>
      </c>
      <c r="K657" s="437"/>
    </row>
    <row r="658" spans="1:11" ht="12.75" customHeight="1" x14ac:dyDescent="0.2">
      <c r="A658" s="349" t="s">
        <v>1380</v>
      </c>
      <c r="B658" s="347" t="s">
        <v>295</v>
      </c>
      <c r="C658" s="1238"/>
      <c r="D658" s="1239"/>
      <c r="E658" s="425" t="s">
        <v>407</v>
      </c>
      <c r="F658" s="178"/>
      <c r="G658" s="602"/>
      <c r="H658" s="415">
        <v>16.63</v>
      </c>
      <c r="I658" s="1239"/>
      <c r="J658" s="415">
        <v>84049.761617784912</v>
      </c>
      <c r="K658" s="437"/>
    </row>
    <row r="659" spans="1:11" x14ac:dyDescent="0.2">
      <c r="A659" s="349" t="s">
        <v>1381</v>
      </c>
      <c r="B659" s="347" t="s">
        <v>295</v>
      </c>
      <c r="C659" s="1238"/>
      <c r="D659" s="1239"/>
      <c r="E659" s="425" t="s">
        <v>408</v>
      </c>
      <c r="F659" s="178"/>
      <c r="G659" s="602"/>
      <c r="H659" s="415">
        <v>24.16</v>
      </c>
      <c r="I659" s="1239"/>
      <c r="J659" s="415">
        <f>11321700/2240.1*H659</f>
        <v>122107.17021561538</v>
      </c>
      <c r="K659" s="437"/>
    </row>
    <row r="660" spans="1:11" x14ac:dyDescent="0.2">
      <c r="A660" s="349" t="s">
        <v>1382</v>
      </c>
      <c r="B660" s="347" t="s">
        <v>295</v>
      </c>
      <c r="C660" s="1238"/>
      <c r="D660" s="1239"/>
      <c r="E660" s="436">
        <v>24</v>
      </c>
      <c r="F660" s="178"/>
      <c r="G660" s="602"/>
      <c r="H660" s="415">
        <v>45.85</v>
      </c>
      <c r="I660" s="1239"/>
      <c r="J660" s="415">
        <v>231730.70175438598</v>
      </c>
      <c r="K660" s="437"/>
    </row>
    <row r="661" spans="1:11" x14ac:dyDescent="0.2">
      <c r="A661" s="349" t="s">
        <v>1383</v>
      </c>
      <c r="B661" s="347" t="s">
        <v>295</v>
      </c>
      <c r="C661" s="1238"/>
      <c r="D661" s="1239"/>
      <c r="E661" s="436">
        <v>25</v>
      </c>
      <c r="F661" s="178"/>
      <c r="G661" s="602"/>
      <c r="H661" s="415">
        <v>46.48</v>
      </c>
      <c r="I661" s="1239"/>
      <c r="J661" s="415">
        <f>11321700/2240.1*H661</f>
        <v>234914.78773269049</v>
      </c>
      <c r="K661" s="437"/>
    </row>
    <row r="662" spans="1:11" x14ac:dyDescent="0.2">
      <c r="A662" s="349" t="s">
        <v>1384</v>
      </c>
      <c r="B662" s="347" t="s">
        <v>295</v>
      </c>
      <c r="C662" s="1238"/>
      <c r="D662" s="1239"/>
      <c r="E662" s="436">
        <v>26</v>
      </c>
      <c r="F662" s="178"/>
      <c r="G662" s="602"/>
      <c r="H662" s="415">
        <v>63.29</v>
      </c>
      <c r="I662" s="1239"/>
      <c r="J662" s="415">
        <f t="shared" ref="J662:J668" si="6">11321700/2240.1*H662</f>
        <v>319874.28820141958</v>
      </c>
      <c r="K662" s="437"/>
    </row>
    <row r="663" spans="1:11" x14ac:dyDescent="0.2">
      <c r="A663" s="349" t="s">
        <v>1385</v>
      </c>
      <c r="B663" s="347" t="s">
        <v>295</v>
      </c>
      <c r="C663" s="1238"/>
      <c r="D663" s="1239"/>
      <c r="E663" s="436">
        <v>27</v>
      </c>
      <c r="F663" s="178"/>
      <c r="G663" s="602"/>
      <c r="H663" s="415">
        <v>54.76</v>
      </c>
      <c r="I663" s="1239"/>
      <c r="J663" s="415">
        <f t="shared" si="6"/>
        <v>276762.77487612161</v>
      </c>
      <c r="K663" s="437"/>
    </row>
    <row r="664" spans="1:11" ht="12.75" customHeight="1" x14ac:dyDescent="0.2">
      <c r="A664" s="349" t="s">
        <v>1386</v>
      </c>
      <c r="B664" s="347" t="s">
        <v>295</v>
      </c>
      <c r="C664" s="1238"/>
      <c r="D664" s="1239"/>
      <c r="E664" s="436">
        <v>3</v>
      </c>
      <c r="F664" s="178" t="s">
        <v>409</v>
      </c>
      <c r="G664" s="602"/>
      <c r="H664" s="415">
        <v>55.69</v>
      </c>
      <c r="I664" s="1239"/>
      <c r="J664" s="415">
        <f t="shared" si="6"/>
        <v>281463.0922726664</v>
      </c>
      <c r="K664" s="437">
        <v>1027121.39</v>
      </c>
    </row>
    <row r="665" spans="1:11" x14ac:dyDescent="0.2">
      <c r="A665" s="349" t="s">
        <v>1387</v>
      </c>
      <c r="B665" s="347" t="s">
        <v>295</v>
      </c>
      <c r="C665" s="1238"/>
      <c r="D665" s="1239"/>
      <c r="E665" s="436">
        <v>33</v>
      </c>
      <c r="F665" s="178"/>
      <c r="G665" s="602"/>
      <c r="H665" s="415">
        <v>44.8</v>
      </c>
      <c r="I665" s="1239"/>
      <c r="J665" s="415">
        <f t="shared" si="6"/>
        <v>226423.89179054505</v>
      </c>
      <c r="K665" s="437"/>
    </row>
    <row r="666" spans="1:11" x14ac:dyDescent="0.2">
      <c r="A666" s="349" t="s">
        <v>1388</v>
      </c>
      <c r="B666" s="347" t="s">
        <v>295</v>
      </c>
      <c r="C666" s="1238"/>
      <c r="D666" s="1239"/>
      <c r="E666" s="436">
        <v>34</v>
      </c>
      <c r="F666" s="178"/>
      <c r="G666" s="602"/>
      <c r="H666" s="415">
        <v>64.599999999999994</v>
      </c>
      <c r="I666" s="1239"/>
      <c r="J666" s="415">
        <f t="shared" si="6"/>
        <v>326495.16539440199</v>
      </c>
      <c r="K666" s="437"/>
    </row>
    <row r="667" spans="1:11" x14ac:dyDescent="0.2">
      <c r="A667" s="349" t="s">
        <v>1389</v>
      </c>
      <c r="B667" s="347" t="s">
        <v>295</v>
      </c>
      <c r="C667" s="1238"/>
      <c r="D667" s="1239"/>
      <c r="E667" s="436">
        <v>35</v>
      </c>
      <c r="F667" s="178"/>
      <c r="G667" s="602"/>
      <c r="H667" s="415">
        <v>47.9</v>
      </c>
      <c r="I667" s="1239"/>
      <c r="J667" s="415">
        <f t="shared" si="6"/>
        <v>242091.61644569438</v>
      </c>
      <c r="K667" s="437"/>
    </row>
    <row r="668" spans="1:11" ht="12.75" customHeight="1" x14ac:dyDescent="0.2">
      <c r="A668" s="349" t="s">
        <v>1390</v>
      </c>
      <c r="B668" s="347" t="s">
        <v>295</v>
      </c>
      <c r="C668" s="1238"/>
      <c r="D668" s="1239"/>
      <c r="E668" s="436">
        <v>36</v>
      </c>
      <c r="F668" s="178"/>
      <c r="G668" s="602"/>
      <c r="H668" s="415">
        <v>46.4</v>
      </c>
      <c r="I668" s="1239"/>
      <c r="J668" s="415">
        <f t="shared" si="6"/>
        <v>234510.4593544931</v>
      </c>
      <c r="K668" s="437"/>
    </row>
    <row r="669" spans="1:11" ht="12.75" customHeight="1" x14ac:dyDescent="0.2">
      <c r="A669" s="348" t="s">
        <v>830</v>
      </c>
      <c r="B669" s="347"/>
      <c r="C669" s="1147" t="s">
        <v>11142</v>
      </c>
      <c r="D669" s="1150">
        <v>5</v>
      </c>
      <c r="E669" s="897"/>
      <c r="F669" s="901"/>
      <c r="G669" s="470"/>
      <c r="H669" s="902">
        <f>2550.2-2550.2</f>
        <v>0</v>
      </c>
      <c r="I669" s="1154">
        <v>1963</v>
      </c>
      <c r="J669" s="902">
        <f>5320700-5320700</f>
        <v>0</v>
      </c>
      <c r="K669" s="481"/>
    </row>
    <row r="670" spans="1:11" x14ac:dyDescent="0.2">
      <c r="A670" s="349" t="s">
        <v>1391</v>
      </c>
      <c r="B670" s="347" t="s">
        <v>295</v>
      </c>
      <c r="C670" s="1148"/>
      <c r="D670" s="1151"/>
      <c r="E670" s="903" t="s">
        <v>410</v>
      </c>
      <c r="F670" s="901"/>
      <c r="G670" s="470"/>
      <c r="H670" s="902">
        <v>22.3</v>
      </c>
      <c r="I670" s="1155"/>
      <c r="J670" s="902">
        <v>46526.394008313073</v>
      </c>
      <c r="K670" s="481"/>
    </row>
    <row r="671" spans="1:11" ht="21" customHeight="1" x14ac:dyDescent="0.2">
      <c r="A671" s="349" t="s">
        <v>1392</v>
      </c>
      <c r="B671" s="347" t="s">
        <v>295</v>
      </c>
      <c r="C671" s="1148"/>
      <c r="D671" s="1151"/>
      <c r="E671" s="897">
        <v>45</v>
      </c>
      <c r="F671" s="901"/>
      <c r="G671" s="470"/>
      <c r="H671" s="902">
        <v>30.9</v>
      </c>
      <c r="I671" s="1155"/>
      <c r="J671" s="902">
        <v>64469.308289545916</v>
      </c>
      <c r="K671" s="481"/>
    </row>
    <row r="672" spans="1:11" ht="12.75" customHeight="1" x14ac:dyDescent="0.2">
      <c r="A672" s="349" t="s">
        <v>1393</v>
      </c>
      <c r="B672" s="347" t="s">
        <v>295</v>
      </c>
      <c r="C672" s="1148"/>
      <c r="D672" s="1151"/>
      <c r="E672" s="897">
        <v>51</v>
      </c>
      <c r="F672" s="901"/>
      <c r="G672" s="470"/>
      <c r="H672" s="902">
        <v>42.6</v>
      </c>
      <c r="I672" s="1155"/>
      <c r="J672" s="902">
        <v>88880.017253548751</v>
      </c>
      <c r="K672" s="481"/>
    </row>
    <row r="673" spans="1:11" ht="14.25" customHeight="1" x14ac:dyDescent="0.2">
      <c r="A673" s="349" t="s">
        <v>3336</v>
      </c>
      <c r="B673" s="347" t="s">
        <v>295</v>
      </c>
      <c r="C673" s="1148"/>
      <c r="D673" s="1151"/>
      <c r="E673" s="897">
        <v>43</v>
      </c>
      <c r="F673" s="901" t="s">
        <v>3337</v>
      </c>
      <c r="G673" s="470" t="s">
        <v>128</v>
      </c>
      <c r="H673" s="902">
        <v>44</v>
      </c>
      <c r="I673" s="1155"/>
      <c r="J673" s="902">
        <v>1300000</v>
      </c>
      <c r="K673" s="481">
        <v>513488.36</v>
      </c>
    </row>
    <row r="674" spans="1:11" ht="14.25" customHeight="1" x14ac:dyDescent="0.2">
      <c r="A674" s="188" t="s">
        <v>14415</v>
      </c>
      <c r="B674" s="350" t="s">
        <v>295</v>
      </c>
      <c r="C674" s="1149"/>
      <c r="D674" s="1152"/>
      <c r="E674" s="897">
        <v>38</v>
      </c>
      <c r="F674" s="901" t="s">
        <v>14416</v>
      </c>
      <c r="G674" s="901" t="s">
        <v>512</v>
      </c>
      <c r="H674" s="902">
        <v>40.200000000000003</v>
      </c>
      <c r="I674" s="1156"/>
      <c r="J674" s="902">
        <v>83872.69</v>
      </c>
      <c r="K674" s="481">
        <v>467974.62</v>
      </c>
    </row>
    <row r="675" spans="1:11" ht="14.25" customHeight="1" x14ac:dyDescent="0.2">
      <c r="A675" s="348" t="s">
        <v>831</v>
      </c>
      <c r="B675" s="347"/>
      <c r="C675" s="1157" t="s">
        <v>14984</v>
      </c>
      <c r="D675" s="1158">
        <v>6</v>
      </c>
      <c r="E675" s="436"/>
      <c r="F675" s="178"/>
      <c r="G675" s="602"/>
      <c r="H675" s="415">
        <f>2021.1-2021.1</f>
        <v>0</v>
      </c>
      <c r="I675" s="1159">
        <v>1964</v>
      </c>
      <c r="J675" s="415">
        <f>3469300-3469300</f>
        <v>0</v>
      </c>
      <c r="K675" s="437"/>
    </row>
    <row r="676" spans="1:11" ht="14.25" customHeight="1" x14ac:dyDescent="0.2">
      <c r="A676" s="349" t="s">
        <v>832</v>
      </c>
      <c r="B676" s="347" t="s">
        <v>299</v>
      </c>
      <c r="C676" s="1157"/>
      <c r="D676" s="1158"/>
      <c r="E676" s="178">
        <v>12</v>
      </c>
      <c r="F676" s="347"/>
      <c r="G676" s="602"/>
      <c r="H676" s="415">
        <v>1</v>
      </c>
      <c r="I676" s="1159"/>
      <c r="J676" s="415">
        <v>1716.5404977487508</v>
      </c>
      <c r="K676" s="437"/>
    </row>
    <row r="677" spans="1:11" ht="14.25" customHeight="1" x14ac:dyDescent="0.2">
      <c r="A677" s="349" t="s">
        <v>833</v>
      </c>
      <c r="B677" s="347" t="s">
        <v>299</v>
      </c>
      <c r="C677" s="1157"/>
      <c r="D677" s="1158"/>
      <c r="E677" s="329" t="s">
        <v>411</v>
      </c>
      <c r="F677" s="347"/>
      <c r="G677" s="602"/>
      <c r="H677" s="415">
        <v>18</v>
      </c>
      <c r="I677" s="1159"/>
      <c r="J677" s="415">
        <v>30897.728959477514</v>
      </c>
      <c r="K677" s="437"/>
    </row>
    <row r="678" spans="1:11" ht="14.25" customHeight="1" x14ac:dyDescent="0.2">
      <c r="A678" s="349" t="s">
        <v>834</v>
      </c>
      <c r="B678" s="347" t="s">
        <v>299</v>
      </c>
      <c r="C678" s="1157"/>
      <c r="D678" s="1158"/>
      <c r="E678" s="329">
        <v>14</v>
      </c>
      <c r="F678" s="347"/>
      <c r="G678" s="602"/>
      <c r="H678" s="415">
        <v>18</v>
      </c>
      <c r="I678" s="1159"/>
      <c r="J678" s="415">
        <v>30897.728959477514</v>
      </c>
      <c r="K678" s="437"/>
    </row>
    <row r="679" spans="1:11" ht="14.25" customHeight="1" x14ac:dyDescent="0.2">
      <c r="A679" s="349" t="s">
        <v>835</v>
      </c>
      <c r="B679" s="347" t="s">
        <v>299</v>
      </c>
      <c r="C679" s="1157"/>
      <c r="D679" s="1158"/>
      <c r="E679" s="329">
        <v>15</v>
      </c>
      <c r="F679" s="347"/>
      <c r="G679" s="602"/>
      <c r="H679" s="415">
        <v>13.5</v>
      </c>
      <c r="I679" s="1159"/>
      <c r="J679" s="415">
        <v>23173.296719608137</v>
      </c>
      <c r="K679" s="437"/>
    </row>
    <row r="680" spans="1:11" ht="14.25" customHeight="1" x14ac:dyDescent="0.2">
      <c r="A680" s="349" t="s">
        <v>836</v>
      </c>
      <c r="B680" s="347" t="s">
        <v>299</v>
      </c>
      <c r="C680" s="1157"/>
      <c r="D680" s="1158"/>
      <c r="E680" s="329" t="s">
        <v>412</v>
      </c>
      <c r="F680" s="347"/>
      <c r="G680" s="602"/>
      <c r="H680" s="415">
        <v>1</v>
      </c>
      <c r="I680" s="1159"/>
      <c r="J680" s="415">
        <v>1716.5404977487508</v>
      </c>
      <c r="K680" s="437"/>
    </row>
    <row r="681" spans="1:11" ht="14.25" customHeight="1" x14ac:dyDescent="0.2">
      <c r="A681" s="349" t="s">
        <v>837</v>
      </c>
      <c r="B681" s="347" t="s">
        <v>299</v>
      </c>
      <c r="C681" s="1157"/>
      <c r="D681" s="1158"/>
      <c r="E681" s="329">
        <v>19</v>
      </c>
      <c r="F681" s="347"/>
      <c r="G681" s="602"/>
      <c r="H681" s="415">
        <v>18</v>
      </c>
      <c r="I681" s="1159"/>
      <c r="J681" s="415">
        <v>30897.728959477514</v>
      </c>
      <c r="K681" s="437"/>
    </row>
    <row r="682" spans="1:11" ht="14.25" customHeight="1" x14ac:dyDescent="0.2">
      <c r="A682" s="349" t="s">
        <v>838</v>
      </c>
      <c r="B682" s="347" t="s">
        <v>299</v>
      </c>
      <c r="C682" s="1157"/>
      <c r="D682" s="1158"/>
      <c r="E682" s="329" t="s">
        <v>7529</v>
      </c>
      <c r="F682" s="347"/>
      <c r="G682" s="602"/>
      <c r="H682" s="415">
        <v>18</v>
      </c>
      <c r="I682" s="1159"/>
      <c r="J682" s="415">
        <v>30897.728959477514</v>
      </c>
      <c r="K682" s="437"/>
    </row>
    <row r="683" spans="1:11" ht="14.25" customHeight="1" x14ac:dyDescent="0.2">
      <c r="A683" s="349" t="s">
        <v>839</v>
      </c>
      <c r="B683" s="347" t="s">
        <v>299</v>
      </c>
      <c r="C683" s="1157"/>
      <c r="D683" s="1158"/>
      <c r="E683" s="329">
        <v>28</v>
      </c>
      <c r="F683" s="350"/>
      <c r="G683" s="609"/>
      <c r="H683" s="415">
        <v>18</v>
      </c>
      <c r="I683" s="1159"/>
      <c r="J683" s="415">
        <v>30897.728959477514</v>
      </c>
      <c r="K683" s="437"/>
    </row>
    <row r="684" spans="1:11" ht="14.25" customHeight="1" x14ac:dyDescent="0.2">
      <c r="A684" s="349" t="s">
        <v>840</v>
      </c>
      <c r="B684" s="347" t="s">
        <v>299</v>
      </c>
      <c r="C684" s="1157"/>
      <c r="D684" s="1158"/>
      <c r="E684" s="329">
        <v>29</v>
      </c>
      <c r="F684" s="347"/>
      <c r="G684" s="602"/>
      <c r="H684" s="415">
        <v>18</v>
      </c>
      <c r="I684" s="1159"/>
      <c r="J684" s="415">
        <v>30897.728959477514</v>
      </c>
      <c r="K684" s="437"/>
    </row>
    <row r="685" spans="1:11" ht="14.25" customHeight="1" x14ac:dyDescent="0.2">
      <c r="A685" s="349" t="s">
        <v>841</v>
      </c>
      <c r="B685" s="347" t="s">
        <v>299</v>
      </c>
      <c r="C685" s="1157"/>
      <c r="D685" s="1158"/>
      <c r="E685" s="329">
        <v>30</v>
      </c>
      <c r="F685" s="347"/>
      <c r="G685" s="602"/>
      <c r="H685" s="415">
        <v>18</v>
      </c>
      <c r="I685" s="1159"/>
      <c r="J685" s="415">
        <v>30897.728959477514</v>
      </c>
      <c r="K685" s="437"/>
    </row>
    <row r="686" spans="1:11" ht="14.25" customHeight="1" x14ac:dyDescent="0.2">
      <c r="A686" s="349" t="s">
        <v>842</v>
      </c>
      <c r="B686" s="347" t="s">
        <v>299</v>
      </c>
      <c r="C686" s="1157"/>
      <c r="D686" s="1158"/>
      <c r="E686" s="329">
        <v>32</v>
      </c>
      <c r="F686" s="347"/>
      <c r="G686" s="602"/>
      <c r="H686" s="415">
        <v>18</v>
      </c>
      <c r="I686" s="1159"/>
      <c r="J686" s="415">
        <v>30897.728959477514</v>
      </c>
      <c r="K686" s="437"/>
    </row>
    <row r="687" spans="1:11" ht="14.25" customHeight="1" x14ac:dyDescent="0.2">
      <c r="A687" s="349" t="s">
        <v>1394</v>
      </c>
      <c r="B687" s="347" t="s">
        <v>299</v>
      </c>
      <c r="C687" s="1157"/>
      <c r="D687" s="1158"/>
      <c r="E687" s="329" t="s">
        <v>414</v>
      </c>
      <c r="F687" s="347"/>
      <c r="G687" s="602"/>
      <c r="H687" s="415">
        <v>1</v>
      </c>
      <c r="I687" s="1159"/>
      <c r="J687" s="415">
        <v>1716.5404977487508</v>
      </c>
      <c r="K687" s="437"/>
    </row>
    <row r="688" spans="1:11" ht="14.25" customHeight="1" x14ac:dyDescent="0.2">
      <c r="A688" s="349" t="s">
        <v>1395</v>
      </c>
      <c r="B688" s="347" t="s">
        <v>299</v>
      </c>
      <c r="C688" s="1157"/>
      <c r="D688" s="1158"/>
      <c r="E688" s="329">
        <v>37</v>
      </c>
      <c r="F688" s="347"/>
      <c r="G688" s="602"/>
      <c r="H688" s="415">
        <v>37</v>
      </c>
      <c r="I688" s="1159"/>
      <c r="J688" s="415">
        <v>63511.998416703776</v>
      </c>
      <c r="K688" s="437"/>
    </row>
    <row r="689" spans="1:11" ht="14.25" customHeight="1" x14ac:dyDescent="0.2">
      <c r="A689" s="349" t="s">
        <v>1396</v>
      </c>
      <c r="B689" s="347" t="s">
        <v>299</v>
      </c>
      <c r="C689" s="1157"/>
      <c r="D689" s="1158"/>
      <c r="E689" s="329">
        <v>38</v>
      </c>
      <c r="F689" s="347"/>
      <c r="G689" s="602"/>
      <c r="H689" s="415">
        <v>18</v>
      </c>
      <c r="I689" s="1159"/>
      <c r="J689" s="415">
        <v>30897.728959477514</v>
      </c>
      <c r="K689" s="437"/>
    </row>
    <row r="690" spans="1:11" ht="14.25" customHeight="1" x14ac:dyDescent="0.2">
      <c r="A690" s="349" t="s">
        <v>1397</v>
      </c>
      <c r="B690" s="347" t="s">
        <v>299</v>
      </c>
      <c r="C690" s="1157"/>
      <c r="D690" s="1158"/>
      <c r="E690" s="329">
        <v>39</v>
      </c>
      <c r="F690" s="347"/>
      <c r="G690" s="602"/>
      <c r="H690" s="415">
        <v>18</v>
      </c>
      <c r="I690" s="1159"/>
      <c r="J690" s="415">
        <v>30897.728959477514</v>
      </c>
      <c r="K690" s="437"/>
    </row>
    <row r="691" spans="1:11" ht="14.25" customHeight="1" x14ac:dyDescent="0.2">
      <c r="A691" s="349" t="s">
        <v>1398</v>
      </c>
      <c r="B691" s="347" t="s">
        <v>299</v>
      </c>
      <c r="C691" s="1157"/>
      <c r="D691" s="1158"/>
      <c r="E691" s="329">
        <v>40</v>
      </c>
      <c r="F691" s="347"/>
      <c r="G691" s="602"/>
      <c r="H691" s="415">
        <v>18</v>
      </c>
      <c r="I691" s="1159"/>
      <c r="J691" s="415">
        <v>30897.728959477514</v>
      </c>
      <c r="K691" s="437"/>
    </row>
    <row r="692" spans="1:11" ht="14.25" customHeight="1" x14ac:dyDescent="0.2">
      <c r="A692" s="349" t="s">
        <v>1399</v>
      </c>
      <c r="B692" s="347" t="s">
        <v>299</v>
      </c>
      <c r="C692" s="1157"/>
      <c r="D692" s="1158"/>
      <c r="E692" s="329">
        <v>41</v>
      </c>
      <c r="F692" s="347"/>
      <c r="G692" s="602"/>
      <c r="H692" s="415">
        <v>12</v>
      </c>
      <c r="I692" s="1159"/>
      <c r="J692" s="415">
        <v>20598.48597298501</v>
      </c>
      <c r="K692" s="437"/>
    </row>
    <row r="693" spans="1:11" ht="14.25" customHeight="1" x14ac:dyDescent="0.2">
      <c r="A693" s="349" t="s">
        <v>1400</v>
      </c>
      <c r="B693" s="347" t="s">
        <v>299</v>
      </c>
      <c r="C693" s="1157"/>
      <c r="D693" s="1158"/>
      <c r="E693" s="329" t="s">
        <v>415</v>
      </c>
      <c r="F693" s="347"/>
      <c r="G693" s="602"/>
      <c r="H693" s="415">
        <v>6</v>
      </c>
      <c r="I693" s="1159"/>
      <c r="J693" s="415">
        <v>10299.242986492505</v>
      </c>
      <c r="K693" s="437"/>
    </row>
    <row r="694" spans="1:11" ht="14.25" customHeight="1" x14ac:dyDescent="0.2">
      <c r="A694" s="349" t="s">
        <v>1401</v>
      </c>
      <c r="B694" s="347" t="s">
        <v>299</v>
      </c>
      <c r="C694" s="1157"/>
      <c r="D694" s="1158"/>
      <c r="E694" s="329">
        <v>42</v>
      </c>
      <c r="F694" s="347"/>
      <c r="G694" s="602"/>
      <c r="H694" s="415"/>
      <c r="I694" s="1159"/>
      <c r="J694" s="415">
        <v>0</v>
      </c>
      <c r="K694" s="437"/>
    </row>
    <row r="695" spans="1:11" ht="14.25" customHeight="1" x14ac:dyDescent="0.2">
      <c r="A695" s="349" t="s">
        <v>1402</v>
      </c>
      <c r="B695" s="347" t="s">
        <v>299</v>
      </c>
      <c r="C695" s="1157"/>
      <c r="D695" s="1158"/>
      <c r="E695" s="329">
        <v>43</v>
      </c>
      <c r="F695" s="347"/>
      <c r="G695" s="602"/>
      <c r="H695" s="415">
        <v>18</v>
      </c>
      <c r="I695" s="1159"/>
      <c r="J695" s="415">
        <v>30897.728959477514</v>
      </c>
      <c r="K695" s="437"/>
    </row>
    <row r="696" spans="1:11" ht="14.25" customHeight="1" x14ac:dyDescent="0.2">
      <c r="A696" s="349" t="s">
        <v>1403</v>
      </c>
      <c r="B696" s="347" t="s">
        <v>299</v>
      </c>
      <c r="C696" s="1157"/>
      <c r="D696" s="1158"/>
      <c r="E696" s="329">
        <v>44</v>
      </c>
      <c r="F696" s="347"/>
      <c r="G696" s="602"/>
      <c r="H696" s="415">
        <v>9</v>
      </c>
      <c r="I696" s="1159"/>
      <c r="J696" s="415">
        <v>15448.864479738757</v>
      </c>
      <c r="K696" s="437"/>
    </row>
    <row r="697" spans="1:11" ht="14.25" customHeight="1" x14ac:dyDescent="0.2">
      <c r="A697" s="349" t="s">
        <v>1404</v>
      </c>
      <c r="B697" s="347" t="s">
        <v>299</v>
      </c>
      <c r="C697" s="1157"/>
      <c r="D697" s="1158"/>
      <c r="E697" s="329" t="s">
        <v>416</v>
      </c>
      <c r="F697" s="347"/>
      <c r="G697" s="602"/>
      <c r="H697" s="415">
        <v>9</v>
      </c>
      <c r="I697" s="1159"/>
      <c r="J697" s="415">
        <v>15448.864479738757</v>
      </c>
      <c r="K697" s="437"/>
    </row>
    <row r="698" spans="1:11" ht="14.25" customHeight="1" x14ac:dyDescent="0.2">
      <c r="A698" s="349" t="s">
        <v>1405</v>
      </c>
      <c r="B698" s="347" t="s">
        <v>299</v>
      </c>
      <c r="C698" s="1157"/>
      <c r="D698" s="1158"/>
      <c r="E698" s="329">
        <v>45</v>
      </c>
      <c r="F698" s="347"/>
      <c r="G698" s="602"/>
      <c r="H698" s="415">
        <v>18</v>
      </c>
      <c r="I698" s="1159"/>
      <c r="J698" s="415">
        <v>30897.728959477514</v>
      </c>
      <c r="K698" s="437"/>
    </row>
    <row r="699" spans="1:11" ht="14.25" customHeight="1" x14ac:dyDescent="0.2">
      <c r="A699" s="834" t="s">
        <v>14006</v>
      </c>
      <c r="B699" s="833" t="s">
        <v>299</v>
      </c>
      <c r="C699" s="1157"/>
      <c r="D699" s="1158"/>
      <c r="E699" s="835">
        <v>46</v>
      </c>
      <c r="F699" s="347"/>
      <c r="G699" s="832"/>
      <c r="H699" s="836">
        <v>9</v>
      </c>
      <c r="I699" s="1159"/>
      <c r="J699" s="837">
        <v>15448.864479738757</v>
      </c>
      <c r="K699" s="437"/>
    </row>
    <row r="700" spans="1:11" ht="14.25" customHeight="1" x14ac:dyDescent="0.2">
      <c r="A700" s="834" t="s">
        <v>14007</v>
      </c>
      <c r="B700" s="833" t="s">
        <v>299</v>
      </c>
      <c r="C700" s="1157"/>
      <c r="D700" s="1158"/>
      <c r="E700" s="835" t="s">
        <v>14008</v>
      </c>
      <c r="F700" s="347"/>
      <c r="G700" s="832"/>
      <c r="H700" s="836">
        <v>9</v>
      </c>
      <c r="I700" s="1159"/>
      <c r="J700" s="837">
        <v>15448.864479738757</v>
      </c>
      <c r="K700" s="437"/>
    </row>
    <row r="701" spans="1:11" ht="14.25" customHeight="1" x14ac:dyDescent="0.2">
      <c r="A701" s="349" t="s">
        <v>1406</v>
      </c>
      <c r="B701" s="347" t="s">
        <v>299</v>
      </c>
      <c r="C701" s="1157"/>
      <c r="D701" s="1158"/>
      <c r="E701" s="329">
        <v>48</v>
      </c>
      <c r="F701" s="347"/>
      <c r="G701" s="602"/>
      <c r="H701" s="415">
        <v>18</v>
      </c>
      <c r="I701" s="1159"/>
      <c r="J701" s="415">
        <v>30897.728959477514</v>
      </c>
      <c r="K701" s="437"/>
    </row>
    <row r="702" spans="1:11" ht="14.25" customHeight="1" x14ac:dyDescent="0.2">
      <c r="A702" s="349" t="s">
        <v>1407</v>
      </c>
      <c r="B702" s="347" t="s">
        <v>299</v>
      </c>
      <c r="C702" s="1157"/>
      <c r="D702" s="1158"/>
      <c r="E702" s="329">
        <v>50</v>
      </c>
      <c r="F702" s="347"/>
      <c r="G702" s="602"/>
      <c r="H702" s="415">
        <v>9</v>
      </c>
      <c r="I702" s="1159"/>
      <c r="J702" s="415">
        <v>15448.864479738757</v>
      </c>
      <c r="K702" s="437"/>
    </row>
    <row r="703" spans="1:11" ht="14.25" customHeight="1" x14ac:dyDescent="0.2">
      <c r="A703" s="349" t="s">
        <v>1408</v>
      </c>
      <c r="B703" s="347" t="s">
        <v>299</v>
      </c>
      <c r="C703" s="1157"/>
      <c r="D703" s="1158"/>
      <c r="E703" s="329" t="s">
        <v>417</v>
      </c>
      <c r="F703" s="347"/>
      <c r="G703" s="602"/>
      <c r="H703" s="415">
        <v>9</v>
      </c>
      <c r="I703" s="1159"/>
      <c r="J703" s="415">
        <v>15448.864479738757</v>
      </c>
      <c r="K703" s="437"/>
    </row>
    <row r="704" spans="1:11" ht="14.25" customHeight="1" x14ac:dyDescent="0.2">
      <c r="A704" s="349" t="s">
        <v>1409</v>
      </c>
      <c r="B704" s="347" t="s">
        <v>299</v>
      </c>
      <c r="C704" s="1157"/>
      <c r="D704" s="1158"/>
      <c r="E704" s="329">
        <v>51</v>
      </c>
      <c r="F704" s="347"/>
      <c r="G704" s="602"/>
      <c r="H704" s="415">
        <v>18</v>
      </c>
      <c r="I704" s="1159"/>
      <c r="J704" s="415">
        <v>30897.728959477514</v>
      </c>
      <c r="K704" s="437"/>
    </row>
    <row r="705" spans="1:11" ht="14.25" customHeight="1" x14ac:dyDescent="0.2">
      <c r="A705" s="349" t="s">
        <v>1410</v>
      </c>
      <c r="B705" s="347" t="s">
        <v>299</v>
      </c>
      <c r="C705" s="1157"/>
      <c r="D705" s="1158"/>
      <c r="E705" s="329" t="s">
        <v>418</v>
      </c>
      <c r="F705" s="347"/>
      <c r="G705" s="602"/>
      <c r="H705" s="415"/>
      <c r="I705" s="1159"/>
      <c r="J705" s="415">
        <v>0</v>
      </c>
      <c r="K705" s="437"/>
    </row>
    <row r="706" spans="1:11" ht="14.25" customHeight="1" x14ac:dyDescent="0.2">
      <c r="A706" s="349" t="s">
        <v>1411</v>
      </c>
      <c r="B706" s="347" t="s">
        <v>299</v>
      </c>
      <c r="C706" s="1157"/>
      <c r="D706" s="1158"/>
      <c r="E706" s="329">
        <v>52</v>
      </c>
      <c r="F706" s="347"/>
      <c r="G706" s="602"/>
      <c r="H706" s="415"/>
      <c r="I706" s="1159"/>
      <c r="J706" s="415">
        <v>0</v>
      </c>
      <c r="K706" s="437"/>
    </row>
    <row r="707" spans="1:11" ht="14.25" customHeight="1" x14ac:dyDescent="0.2">
      <c r="A707" s="349" t="s">
        <v>1412</v>
      </c>
      <c r="B707" s="347" t="s">
        <v>299</v>
      </c>
      <c r="C707" s="1157"/>
      <c r="D707" s="1158"/>
      <c r="E707" s="329">
        <v>53</v>
      </c>
      <c r="F707" s="347"/>
      <c r="G707" s="602"/>
      <c r="H707" s="415">
        <v>18</v>
      </c>
      <c r="I707" s="1159"/>
      <c r="J707" s="415">
        <v>30897.728959477514</v>
      </c>
      <c r="K707" s="437"/>
    </row>
    <row r="708" spans="1:11" ht="14.25" customHeight="1" x14ac:dyDescent="0.2">
      <c r="A708" s="349" t="s">
        <v>1413</v>
      </c>
      <c r="B708" s="347" t="s">
        <v>299</v>
      </c>
      <c r="C708" s="1157"/>
      <c r="D708" s="1158"/>
      <c r="E708" s="329">
        <v>57</v>
      </c>
      <c r="F708" s="347"/>
      <c r="G708" s="602"/>
      <c r="H708" s="415">
        <v>18</v>
      </c>
      <c r="I708" s="1159"/>
      <c r="J708" s="415">
        <v>30897.728959477514</v>
      </c>
      <c r="K708" s="437"/>
    </row>
    <row r="709" spans="1:11" ht="14.25" customHeight="1" x14ac:dyDescent="0.2">
      <c r="A709" s="349" t="s">
        <v>1414</v>
      </c>
      <c r="B709" s="347" t="s">
        <v>299</v>
      </c>
      <c r="C709" s="1157"/>
      <c r="D709" s="1158"/>
      <c r="E709" s="329">
        <v>58</v>
      </c>
      <c r="F709" s="347"/>
      <c r="G709" s="602"/>
      <c r="H709" s="415">
        <v>18</v>
      </c>
      <c r="I709" s="1159"/>
      <c r="J709" s="415">
        <v>30897.728959477514</v>
      </c>
      <c r="K709" s="437"/>
    </row>
    <row r="710" spans="1:11" ht="14.25" customHeight="1" x14ac:dyDescent="0.2">
      <c r="A710" s="349" t="s">
        <v>1415</v>
      </c>
      <c r="B710" s="347" t="s">
        <v>299</v>
      </c>
      <c r="C710" s="1157"/>
      <c r="D710" s="1158"/>
      <c r="E710" s="329" t="s">
        <v>419</v>
      </c>
      <c r="F710" s="347"/>
      <c r="G710" s="602"/>
      <c r="H710" s="415"/>
      <c r="I710" s="1159"/>
      <c r="J710" s="415">
        <v>0</v>
      </c>
      <c r="K710" s="437"/>
    </row>
    <row r="711" spans="1:11" ht="14.25" customHeight="1" x14ac:dyDescent="0.2">
      <c r="A711" s="349" t="s">
        <v>1416</v>
      </c>
      <c r="B711" s="347" t="s">
        <v>299</v>
      </c>
      <c r="C711" s="1157"/>
      <c r="D711" s="1158"/>
      <c r="E711" s="329" t="s">
        <v>6204</v>
      </c>
      <c r="F711" s="347"/>
      <c r="G711" s="602"/>
      <c r="H711" s="415">
        <v>1</v>
      </c>
      <c r="I711" s="1159"/>
      <c r="J711" s="415">
        <v>1716.5404977487508</v>
      </c>
      <c r="K711" s="437"/>
    </row>
    <row r="712" spans="1:11" x14ac:dyDescent="0.2">
      <c r="A712" s="349" t="s">
        <v>1417</v>
      </c>
      <c r="B712" s="347" t="s">
        <v>299</v>
      </c>
      <c r="C712" s="1157"/>
      <c r="D712" s="1158"/>
      <c r="E712" s="329">
        <v>61</v>
      </c>
      <c r="F712" s="347"/>
      <c r="G712" s="602"/>
      <c r="H712" s="415">
        <v>18</v>
      </c>
      <c r="I712" s="1159"/>
      <c r="J712" s="415">
        <v>30897.728959477514</v>
      </c>
      <c r="K712" s="437"/>
    </row>
    <row r="713" spans="1:11" ht="12.75" customHeight="1" x14ac:dyDescent="0.2">
      <c r="A713" s="349" t="s">
        <v>1418</v>
      </c>
      <c r="B713" s="347" t="s">
        <v>299</v>
      </c>
      <c r="C713" s="1157"/>
      <c r="D713" s="1158"/>
      <c r="E713" s="329">
        <v>62</v>
      </c>
      <c r="F713" s="347"/>
      <c r="G713" s="602"/>
      <c r="H713" s="415"/>
      <c r="I713" s="1159"/>
      <c r="J713" s="415">
        <v>0</v>
      </c>
      <c r="K713" s="437"/>
    </row>
    <row r="714" spans="1:11" ht="41.25" customHeight="1" x14ac:dyDescent="0.2">
      <c r="A714" s="348" t="s">
        <v>843</v>
      </c>
      <c r="B714" s="347" t="s">
        <v>295</v>
      </c>
      <c r="C714" s="405" t="s">
        <v>11143</v>
      </c>
      <c r="D714" s="537">
        <v>10</v>
      </c>
      <c r="E714" s="425">
        <v>2</v>
      </c>
      <c r="F714" s="178"/>
      <c r="G714" s="602"/>
      <c r="H714" s="415">
        <f>633.2-587</f>
        <v>46.200000000000045</v>
      </c>
      <c r="I714" s="536">
        <v>1964</v>
      </c>
      <c r="J714" s="415">
        <f>1442700/633.2*H714</f>
        <v>105263.3291219205</v>
      </c>
      <c r="K714" s="437"/>
    </row>
    <row r="715" spans="1:11" ht="12.75" customHeight="1" x14ac:dyDescent="0.2">
      <c r="A715" s="348" t="s">
        <v>844</v>
      </c>
      <c r="B715" s="347"/>
      <c r="C715" s="1147" t="s">
        <v>11144</v>
      </c>
      <c r="D715" s="1150">
        <v>11</v>
      </c>
      <c r="E715" s="425"/>
      <c r="F715" s="178"/>
      <c r="G715" s="602"/>
      <c r="H715" s="415">
        <f>640.3-640.3</f>
        <v>0</v>
      </c>
      <c r="I715" s="1145">
        <v>1960</v>
      </c>
      <c r="J715" s="415">
        <f>1459600-1459600</f>
        <v>0</v>
      </c>
      <c r="K715" s="437"/>
    </row>
    <row r="716" spans="1:11" ht="27" customHeight="1" x14ac:dyDescent="0.2">
      <c r="A716" s="349" t="s">
        <v>3766</v>
      </c>
      <c r="B716" s="347" t="s">
        <v>295</v>
      </c>
      <c r="C716" s="1149"/>
      <c r="D716" s="1152"/>
      <c r="E716" s="425">
        <v>2</v>
      </c>
      <c r="F716" s="178"/>
      <c r="G716" s="602"/>
      <c r="H716" s="415">
        <f>640.3-592.7</f>
        <v>47.599999999999909</v>
      </c>
      <c r="I716" s="1146"/>
      <c r="J716" s="415">
        <f>1459600/640.3*H716</f>
        <v>108506.88739653268</v>
      </c>
      <c r="K716" s="437"/>
    </row>
    <row r="717" spans="1:11" ht="16.5" customHeight="1" x14ac:dyDescent="0.2">
      <c r="A717" s="348" t="s">
        <v>845</v>
      </c>
      <c r="B717" s="347"/>
      <c r="C717" s="1147" t="s">
        <v>11145</v>
      </c>
      <c r="D717" s="1150">
        <v>12</v>
      </c>
      <c r="E717" s="425"/>
      <c r="F717" s="178"/>
      <c r="G717" s="602"/>
      <c r="H717" s="415">
        <f>635.1-635.1</f>
        <v>0</v>
      </c>
      <c r="I717" s="1145">
        <v>1959</v>
      </c>
      <c r="J717" s="415">
        <f>1442200-1442200</f>
        <v>0</v>
      </c>
      <c r="K717" s="437"/>
    </row>
    <row r="718" spans="1:11" ht="16.5" customHeight="1" x14ac:dyDescent="0.2">
      <c r="A718" s="349" t="s">
        <v>1419</v>
      </c>
      <c r="B718" s="347" t="s">
        <v>295</v>
      </c>
      <c r="C718" s="1148"/>
      <c r="D718" s="1151"/>
      <c r="E718" s="425">
        <v>9</v>
      </c>
      <c r="F718" s="178"/>
      <c r="G718" s="602"/>
      <c r="H718" s="415">
        <v>36.72</v>
      </c>
      <c r="I718" s="1153"/>
      <c r="J718" s="415">
        <v>83384.638639584315</v>
      </c>
      <c r="K718" s="437"/>
    </row>
    <row r="719" spans="1:11" ht="12.75" customHeight="1" x14ac:dyDescent="0.2">
      <c r="A719" s="349" t="s">
        <v>1420</v>
      </c>
      <c r="B719" s="347" t="s">
        <v>295</v>
      </c>
      <c r="C719" s="1148"/>
      <c r="D719" s="1151"/>
      <c r="E719" s="425" t="s">
        <v>421</v>
      </c>
      <c r="F719" s="178"/>
      <c r="G719" s="602"/>
      <c r="H719" s="415">
        <v>9.18</v>
      </c>
      <c r="I719" s="1153"/>
      <c r="J719" s="415">
        <v>20846.159659896079</v>
      </c>
      <c r="K719" s="437"/>
    </row>
    <row r="720" spans="1:11" ht="13.5" customHeight="1" x14ac:dyDescent="0.2">
      <c r="A720" s="349" t="s">
        <v>1421</v>
      </c>
      <c r="B720" s="347" t="s">
        <v>295</v>
      </c>
      <c r="C720" s="1148"/>
      <c r="D720" s="1151"/>
      <c r="E720" s="425" t="s">
        <v>422</v>
      </c>
      <c r="F720" s="178"/>
      <c r="G720" s="602"/>
      <c r="H720" s="415">
        <v>18.36</v>
      </c>
      <c r="I720" s="1153"/>
      <c r="J720" s="415">
        <v>41692.319319792157</v>
      </c>
      <c r="K720" s="437"/>
    </row>
    <row r="721" spans="1:11" ht="15" customHeight="1" x14ac:dyDescent="0.2">
      <c r="A721" s="348" t="s">
        <v>846</v>
      </c>
      <c r="B721" s="347"/>
      <c r="C721" s="1147" t="s">
        <v>11146</v>
      </c>
      <c r="D721" s="1150">
        <v>2</v>
      </c>
      <c r="E721" s="425"/>
      <c r="F721" s="178"/>
      <c r="G721" s="602"/>
      <c r="H721" s="415">
        <f>3088.1-3088.1</f>
        <v>0</v>
      </c>
      <c r="I721" s="1145">
        <v>1971</v>
      </c>
      <c r="J721" s="415">
        <f>7002800-7002800</f>
        <v>0</v>
      </c>
      <c r="K721" s="437"/>
    </row>
    <row r="722" spans="1:11" ht="17.25" customHeight="1" x14ac:dyDescent="0.2">
      <c r="A722" s="349" t="s">
        <v>1422</v>
      </c>
      <c r="B722" s="347" t="s">
        <v>295</v>
      </c>
      <c r="C722" s="1148"/>
      <c r="D722" s="1151"/>
      <c r="E722" s="425">
        <v>14</v>
      </c>
      <c r="F722" s="178"/>
      <c r="G722" s="602"/>
      <c r="H722" s="415">
        <v>41.8</v>
      </c>
      <c r="I722" s="1153"/>
      <c r="J722" s="415">
        <v>94788.717981930633</v>
      </c>
      <c r="K722" s="437"/>
    </row>
    <row r="723" spans="1:11" ht="12.75" customHeight="1" x14ac:dyDescent="0.2">
      <c r="A723" s="349" t="s">
        <v>1423</v>
      </c>
      <c r="B723" s="347" t="s">
        <v>295</v>
      </c>
      <c r="C723" s="1148"/>
      <c r="D723" s="1151"/>
      <c r="E723" s="425">
        <v>51</v>
      </c>
      <c r="F723" s="178"/>
      <c r="G723" s="602"/>
      <c r="H723" s="415">
        <v>41</v>
      </c>
      <c r="I723" s="1153"/>
      <c r="J723" s="415">
        <v>92974.579838735794</v>
      </c>
      <c r="K723" s="437"/>
    </row>
    <row r="724" spans="1:11" ht="25.5" customHeight="1" x14ac:dyDescent="0.2">
      <c r="A724" s="349" t="s">
        <v>10901</v>
      </c>
      <c r="B724" s="347" t="s">
        <v>9246</v>
      </c>
      <c r="C724" s="1149"/>
      <c r="D724" s="1152"/>
      <c r="E724" s="425">
        <v>32</v>
      </c>
      <c r="F724" s="178" t="s">
        <v>10902</v>
      </c>
      <c r="G724" s="602" t="s">
        <v>127</v>
      </c>
      <c r="H724" s="415">
        <v>30.5</v>
      </c>
      <c r="I724" s="1146"/>
      <c r="J724" s="415">
        <v>1065700.5</v>
      </c>
      <c r="K724" s="437">
        <v>582672.85</v>
      </c>
    </row>
    <row r="725" spans="1:11" ht="12.75" customHeight="1" x14ac:dyDescent="0.2">
      <c r="A725" s="348" t="s">
        <v>847</v>
      </c>
      <c r="B725" s="347"/>
      <c r="C725" s="1157" t="s">
        <v>11147</v>
      </c>
      <c r="D725" s="1158">
        <v>3</v>
      </c>
      <c r="E725" s="449"/>
      <c r="F725" s="178"/>
      <c r="G725" s="602"/>
      <c r="H725" s="415">
        <f>3321.7-3321.7</f>
        <v>0</v>
      </c>
      <c r="I725" s="1159">
        <v>1971</v>
      </c>
      <c r="J725" s="415">
        <f>7133500-7133500</f>
        <v>0</v>
      </c>
      <c r="K725" s="437"/>
    </row>
    <row r="726" spans="1:11" ht="12.75" customHeight="1" x14ac:dyDescent="0.2">
      <c r="A726" s="349" t="s">
        <v>11148</v>
      </c>
      <c r="B726" s="347" t="s">
        <v>295</v>
      </c>
      <c r="C726" s="1157"/>
      <c r="D726" s="1158"/>
      <c r="E726" s="449">
        <v>39</v>
      </c>
      <c r="F726" s="178"/>
      <c r="G726" s="602"/>
      <c r="H726" s="415">
        <v>46.1</v>
      </c>
      <c r="I726" s="1159"/>
      <c r="J726" s="415">
        <v>99001.821356534318</v>
      </c>
      <c r="K726" s="437"/>
    </row>
    <row r="727" spans="1:11" x14ac:dyDescent="0.2">
      <c r="A727" s="349" t="s">
        <v>1424</v>
      </c>
      <c r="B727" s="347" t="s">
        <v>295</v>
      </c>
      <c r="C727" s="1157"/>
      <c r="D727" s="1158"/>
      <c r="E727" s="449">
        <v>55</v>
      </c>
      <c r="F727" s="178" t="s">
        <v>423</v>
      </c>
      <c r="G727" s="602"/>
      <c r="H727" s="415">
        <v>57.9</v>
      </c>
      <c r="I727" s="1159"/>
      <c r="J727" s="415">
        <v>124342.85155191619</v>
      </c>
      <c r="K727" s="437">
        <v>1109148.17</v>
      </c>
    </row>
    <row r="728" spans="1:11" x14ac:dyDescent="0.2">
      <c r="A728" s="348" t="s">
        <v>848</v>
      </c>
      <c r="B728" s="347"/>
      <c r="C728" s="1157" t="s">
        <v>11149</v>
      </c>
      <c r="D728" s="1158">
        <v>4</v>
      </c>
      <c r="E728" s="425"/>
      <c r="F728" s="178"/>
      <c r="G728" s="602"/>
      <c r="H728" s="415">
        <f>3455.3-3455.3</f>
        <v>0</v>
      </c>
      <c r="I728" s="1159">
        <v>1970</v>
      </c>
      <c r="J728" s="415">
        <f>8908800-8908800</f>
        <v>0</v>
      </c>
      <c r="K728" s="437"/>
    </row>
    <row r="729" spans="1:11" ht="12.75" customHeight="1" x14ac:dyDescent="0.2">
      <c r="A729" s="349" t="s">
        <v>1425</v>
      </c>
      <c r="B729" s="347" t="s">
        <v>295</v>
      </c>
      <c r="C729" s="1157"/>
      <c r="D729" s="1158"/>
      <c r="E729" s="436">
        <v>15</v>
      </c>
      <c r="F729" s="178"/>
      <c r="G729" s="602"/>
      <c r="H729" s="415">
        <f>31.2-31.2</f>
        <v>0</v>
      </c>
      <c r="I729" s="1159"/>
      <c r="J729" s="415">
        <f>80442.9600902961-80442.9600902961</f>
        <v>0</v>
      </c>
      <c r="K729" s="437"/>
    </row>
    <row r="730" spans="1:11" x14ac:dyDescent="0.2">
      <c r="A730" s="349" t="s">
        <v>1426</v>
      </c>
      <c r="B730" s="347" t="s">
        <v>295</v>
      </c>
      <c r="C730" s="1157"/>
      <c r="D730" s="1158"/>
      <c r="E730" s="436">
        <v>32</v>
      </c>
      <c r="F730" s="178"/>
      <c r="G730" s="602"/>
      <c r="H730" s="415">
        <v>48</v>
      </c>
      <c r="I730" s="1159"/>
      <c r="J730" s="415">
        <v>123758.40013891703</v>
      </c>
      <c r="K730" s="437"/>
    </row>
    <row r="731" spans="1:11" x14ac:dyDescent="0.2">
      <c r="A731" s="348" t="s">
        <v>849</v>
      </c>
      <c r="B731" s="347"/>
      <c r="C731" s="1147" t="s">
        <v>11150</v>
      </c>
      <c r="D731" s="1150">
        <v>5</v>
      </c>
      <c r="E731" s="425"/>
      <c r="F731" s="178"/>
      <c r="G731" s="602"/>
      <c r="H731" s="415">
        <f>3322.4-3322.4</f>
        <v>0</v>
      </c>
      <c r="I731" s="1145">
        <v>1970</v>
      </c>
      <c r="J731" s="415">
        <f>8286100-8286100</f>
        <v>0</v>
      </c>
      <c r="K731" s="437"/>
    </row>
    <row r="732" spans="1:11" ht="12.75" customHeight="1" x14ac:dyDescent="0.2">
      <c r="A732" s="349" t="s">
        <v>850</v>
      </c>
      <c r="B732" s="347" t="s">
        <v>295</v>
      </c>
      <c r="C732" s="1148"/>
      <c r="D732" s="1151"/>
      <c r="E732" s="425" t="s">
        <v>425</v>
      </c>
      <c r="F732" s="178"/>
      <c r="G732" s="602"/>
      <c r="H732" s="415">
        <v>21.91</v>
      </c>
      <c r="I732" s="1153"/>
      <c r="J732" s="415">
        <v>54643.766855285328</v>
      </c>
      <c r="K732" s="437"/>
    </row>
    <row r="733" spans="1:11" x14ac:dyDescent="0.2">
      <c r="A733" s="349" t="s">
        <v>1428</v>
      </c>
      <c r="B733" s="347" t="s">
        <v>295</v>
      </c>
      <c r="C733" s="1148"/>
      <c r="D733" s="1151"/>
      <c r="E733" s="425" t="s">
        <v>426</v>
      </c>
      <c r="F733" s="178"/>
      <c r="G733" s="602"/>
      <c r="H733" s="415">
        <v>17.8</v>
      </c>
      <c r="I733" s="1153"/>
      <c r="J733" s="415">
        <v>44393.384300505655</v>
      </c>
      <c r="K733" s="437"/>
    </row>
    <row r="734" spans="1:11" ht="12.75" customHeight="1" x14ac:dyDescent="0.2">
      <c r="A734" s="349" t="s">
        <v>10801</v>
      </c>
      <c r="B734" s="347" t="s">
        <v>9246</v>
      </c>
      <c r="C734" s="1149"/>
      <c r="D734" s="1152"/>
      <c r="E734" s="425">
        <v>11</v>
      </c>
      <c r="F734" s="178" t="s">
        <v>10802</v>
      </c>
      <c r="G734" s="602" t="s">
        <v>128</v>
      </c>
      <c r="H734" s="415">
        <v>30.2</v>
      </c>
      <c r="I734" s="1146"/>
      <c r="J734" s="415">
        <v>1055218.2</v>
      </c>
      <c r="K734" s="437">
        <v>598565.81000000006</v>
      </c>
    </row>
    <row r="735" spans="1:11" x14ac:dyDescent="0.2">
      <c r="A735" s="348" t="s">
        <v>851</v>
      </c>
      <c r="B735" s="347"/>
      <c r="C735" s="1157" t="s">
        <v>11151</v>
      </c>
      <c r="D735" s="1158">
        <v>6</v>
      </c>
      <c r="E735" s="436"/>
      <c r="F735" s="178"/>
      <c r="G735" s="602"/>
      <c r="H735" s="415">
        <f>4387-4387</f>
        <v>0</v>
      </c>
      <c r="I735" s="1159">
        <v>1968</v>
      </c>
      <c r="J735" s="415">
        <f>7853300-7853300</f>
        <v>0</v>
      </c>
      <c r="K735" s="437"/>
    </row>
    <row r="736" spans="1:11" x14ac:dyDescent="0.2">
      <c r="A736" s="349" t="s">
        <v>1429</v>
      </c>
      <c r="B736" s="347" t="s">
        <v>295</v>
      </c>
      <c r="C736" s="1157"/>
      <c r="D736" s="1158"/>
      <c r="E736" s="425">
        <v>21</v>
      </c>
      <c r="F736" s="178" t="s">
        <v>427</v>
      </c>
      <c r="G736" s="602"/>
      <c r="H736" s="415">
        <v>43.2</v>
      </c>
      <c r="I736" s="1159"/>
      <c r="J736" s="415">
        <v>77333.612947344431</v>
      </c>
      <c r="K736" s="437">
        <v>800034.98</v>
      </c>
    </row>
    <row r="737" spans="1:11" x14ac:dyDescent="0.2">
      <c r="A737" s="349" t="s">
        <v>1430</v>
      </c>
      <c r="B737" s="347" t="s">
        <v>295</v>
      </c>
      <c r="C737" s="1157"/>
      <c r="D737" s="1158"/>
      <c r="E737" s="436">
        <v>32</v>
      </c>
      <c r="F737" s="178"/>
      <c r="G737" s="602"/>
      <c r="H737" s="415">
        <v>61</v>
      </c>
      <c r="I737" s="1159"/>
      <c r="J737" s="415">
        <v>109197.92568953725</v>
      </c>
      <c r="K737" s="437"/>
    </row>
    <row r="738" spans="1:11" ht="12.75" customHeight="1" x14ac:dyDescent="0.2">
      <c r="A738" s="349" t="s">
        <v>1431</v>
      </c>
      <c r="B738" s="347" t="s">
        <v>295</v>
      </c>
      <c r="C738" s="1157"/>
      <c r="D738" s="1158"/>
      <c r="E738" s="436">
        <v>38</v>
      </c>
      <c r="F738" s="178"/>
      <c r="G738" s="602"/>
      <c r="H738" s="415">
        <v>42.7</v>
      </c>
      <c r="I738" s="1159"/>
      <c r="J738" s="415">
        <v>76438.547982676086</v>
      </c>
      <c r="K738" s="437"/>
    </row>
    <row r="739" spans="1:11" ht="12.75" customHeight="1" x14ac:dyDescent="0.2">
      <c r="A739" s="349" t="s">
        <v>1432</v>
      </c>
      <c r="B739" s="347" t="s">
        <v>295</v>
      </c>
      <c r="C739" s="1157"/>
      <c r="D739" s="1158"/>
      <c r="E739" s="436">
        <v>62</v>
      </c>
      <c r="F739" s="178" t="s">
        <v>10276</v>
      </c>
      <c r="G739" s="602" t="s">
        <v>507</v>
      </c>
      <c r="H739" s="415">
        <v>46.4</v>
      </c>
      <c r="I739" s="1159"/>
      <c r="J739" s="415">
        <v>83062.028721221781</v>
      </c>
      <c r="K739" s="437"/>
    </row>
    <row r="740" spans="1:11" x14ac:dyDescent="0.2">
      <c r="A740" s="349" t="s">
        <v>1433</v>
      </c>
      <c r="B740" s="347" t="s">
        <v>295</v>
      </c>
      <c r="C740" s="1157"/>
      <c r="D740" s="1158"/>
      <c r="E740" s="436">
        <v>74</v>
      </c>
      <c r="F740" s="178" t="s">
        <v>428</v>
      </c>
      <c r="G740" s="602"/>
      <c r="H740" s="415">
        <v>44.7</v>
      </c>
      <c r="I740" s="1159"/>
      <c r="J740" s="415">
        <v>80018.807841349437</v>
      </c>
      <c r="K740" s="437">
        <v>859820.61</v>
      </c>
    </row>
    <row r="741" spans="1:11" x14ac:dyDescent="0.2">
      <c r="A741" s="348" t="s">
        <v>1434</v>
      </c>
      <c r="B741" s="347"/>
      <c r="C741" s="1157" t="s">
        <v>11152</v>
      </c>
      <c r="D741" s="1158">
        <v>7</v>
      </c>
      <c r="E741" s="436"/>
      <c r="F741" s="178"/>
      <c r="G741" s="602"/>
      <c r="H741" s="415">
        <f>3106.2-3106.2</f>
        <v>0</v>
      </c>
      <c r="I741" s="1159">
        <v>1969</v>
      </c>
      <c r="J741" s="415">
        <f>6874600-6874600</f>
        <v>0</v>
      </c>
      <c r="K741" s="437"/>
    </row>
    <row r="742" spans="1:11" ht="27" customHeight="1" x14ac:dyDescent="0.2">
      <c r="A742" s="349" t="s">
        <v>1435</v>
      </c>
      <c r="B742" s="347" t="s">
        <v>295</v>
      </c>
      <c r="C742" s="1157"/>
      <c r="D742" s="1158"/>
      <c r="E742" s="436">
        <v>2</v>
      </c>
      <c r="F742" s="178" t="s">
        <v>429</v>
      </c>
      <c r="G742" s="602"/>
      <c r="H742" s="415">
        <v>40.1</v>
      </c>
      <c r="I742" s="1159"/>
      <c r="J742" s="415">
        <v>88748.779859635571</v>
      </c>
      <c r="K742" s="437">
        <v>771337.95</v>
      </c>
    </row>
    <row r="743" spans="1:11" ht="24" customHeight="1" x14ac:dyDescent="0.2">
      <c r="A743" s="348" t="s">
        <v>852</v>
      </c>
      <c r="B743" s="347"/>
      <c r="C743" s="1147" t="s">
        <v>11153</v>
      </c>
      <c r="D743" s="1150">
        <v>12</v>
      </c>
      <c r="E743" s="436"/>
      <c r="F743" s="178"/>
      <c r="G743" s="602"/>
      <c r="H743" s="415">
        <f>1247.3-1247.3</f>
        <v>0</v>
      </c>
      <c r="I743" s="1145">
        <v>1964</v>
      </c>
      <c r="J743" s="415">
        <f>2413600-2413600</f>
        <v>0</v>
      </c>
      <c r="K743" s="437"/>
    </row>
    <row r="744" spans="1:11" ht="24" customHeight="1" x14ac:dyDescent="0.2">
      <c r="A744" s="349" t="s">
        <v>853</v>
      </c>
      <c r="B744" s="347" t="s">
        <v>295</v>
      </c>
      <c r="C744" s="1148"/>
      <c r="D744" s="1151"/>
      <c r="E744" s="436">
        <v>10</v>
      </c>
      <c r="F744" s="178"/>
      <c r="G744" s="602"/>
      <c r="H744" s="415">
        <v>30.3</v>
      </c>
      <c r="I744" s="1153"/>
      <c r="J744" s="415">
        <v>58632.309789144558</v>
      </c>
      <c r="K744" s="437"/>
    </row>
    <row r="745" spans="1:11" ht="12.75" customHeight="1" x14ac:dyDescent="0.2">
      <c r="A745" s="349" t="s">
        <v>10903</v>
      </c>
      <c r="B745" s="347" t="s">
        <v>9246</v>
      </c>
      <c r="C745" s="1149"/>
      <c r="D745" s="1152"/>
      <c r="E745" s="436">
        <v>12</v>
      </c>
      <c r="F745" s="178" t="s">
        <v>10904</v>
      </c>
      <c r="G745" s="602" t="s">
        <v>507</v>
      </c>
      <c r="H745" s="415">
        <v>41</v>
      </c>
      <c r="I745" s="1146"/>
      <c r="J745" s="415">
        <v>1153053</v>
      </c>
      <c r="K745" s="437">
        <v>759292.46</v>
      </c>
    </row>
    <row r="746" spans="1:11" x14ac:dyDescent="0.2">
      <c r="A746" s="348" t="s">
        <v>854</v>
      </c>
      <c r="B746" s="347"/>
      <c r="C746" s="1147" t="s">
        <v>11154</v>
      </c>
      <c r="D746" s="1150">
        <v>13</v>
      </c>
      <c r="E746" s="436"/>
      <c r="F746" s="178"/>
      <c r="G746" s="602"/>
      <c r="H746" s="415">
        <f>2484-2484</f>
        <v>0</v>
      </c>
      <c r="I746" s="1159">
        <v>1965</v>
      </c>
      <c r="J746" s="415">
        <f>4853700-4853700</f>
        <v>0</v>
      </c>
      <c r="K746" s="437"/>
    </row>
    <row r="747" spans="1:11" x14ac:dyDescent="0.2">
      <c r="A747" s="349" t="s">
        <v>855</v>
      </c>
      <c r="B747" s="347" t="s">
        <v>295</v>
      </c>
      <c r="C747" s="1148"/>
      <c r="D747" s="1151"/>
      <c r="E747" s="436">
        <v>2</v>
      </c>
      <c r="F747" s="178"/>
      <c r="G747" s="602"/>
      <c r="H747" s="415">
        <v>41.2</v>
      </c>
      <c r="I747" s="1159"/>
      <c r="J747" s="415">
        <v>80504.202898550706</v>
      </c>
      <c r="K747" s="437"/>
    </row>
    <row r="748" spans="1:11" x14ac:dyDescent="0.2">
      <c r="A748" s="349" t="s">
        <v>1436</v>
      </c>
      <c r="B748" s="347" t="s">
        <v>295</v>
      </c>
      <c r="C748" s="1148"/>
      <c r="D748" s="1151"/>
      <c r="E748" s="436">
        <v>28</v>
      </c>
      <c r="F748" s="38" t="s">
        <v>10277</v>
      </c>
      <c r="G748" s="602" t="s">
        <v>128</v>
      </c>
      <c r="H748" s="415">
        <v>29.7</v>
      </c>
      <c r="I748" s="1159"/>
      <c r="J748" s="415">
        <v>58033.36956521737</v>
      </c>
      <c r="K748" s="437"/>
    </row>
    <row r="749" spans="1:11" x14ac:dyDescent="0.2">
      <c r="A749" s="349" t="s">
        <v>1437</v>
      </c>
      <c r="B749" s="347" t="s">
        <v>295</v>
      </c>
      <c r="C749" s="1148"/>
      <c r="D749" s="1151"/>
      <c r="E749" s="425" t="s">
        <v>430</v>
      </c>
      <c r="F749" s="178"/>
      <c r="G749" s="602"/>
      <c r="H749" s="415">
        <v>30</v>
      </c>
      <c r="I749" s="1159"/>
      <c r="J749" s="415">
        <v>58619.565217391282</v>
      </c>
      <c r="K749" s="437"/>
    </row>
    <row r="750" spans="1:11" ht="17.25" customHeight="1" x14ac:dyDescent="0.2">
      <c r="A750" s="349" t="s">
        <v>1438</v>
      </c>
      <c r="B750" s="347" t="s">
        <v>295</v>
      </c>
      <c r="C750" s="1148"/>
      <c r="D750" s="1151"/>
      <c r="E750" s="436">
        <v>45</v>
      </c>
      <c r="F750" s="178"/>
      <c r="G750" s="602"/>
      <c r="H750" s="415">
        <v>30</v>
      </c>
      <c r="I750" s="1159"/>
      <c r="J750" s="415">
        <v>58619.565217391282</v>
      </c>
      <c r="K750" s="437"/>
    </row>
    <row r="751" spans="1:11" ht="12.75" customHeight="1" x14ac:dyDescent="0.2">
      <c r="A751" s="349" t="s">
        <v>1439</v>
      </c>
      <c r="B751" s="347" t="s">
        <v>295</v>
      </c>
      <c r="C751" s="1149"/>
      <c r="D751" s="1152"/>
      <c r="E751" s="436">
        <v>47</v>
      </c>
      <c r="F751" s="178" t="s">
        <v>431</v>
      </c>
      <c r="G751" s="602"/>
      <c r="H751" s="415">
        <v>41.9</v>
      </c>
      <c r="I751" s="1159"/>
      <c r="J751" s="415">
        <v>81871.992753623155</v>
      </c>
      <c r="K751" s="437">
        <v>775959.86</v>
      </c>
    </row>
    <row r="752" spans="1:11" ht="12.75" customHeight="1" x14ac:dyDescent="0.2">
      <c r="A752" s="348" t="s">
        <v>856</v>
      </c>
      <c r="B752" s="347"/>
      <c r="C752" s="1157" t="s">
        <v>11155</v>
      </c>
      <c r="D752" s="1158">
        <v>14</v>
      </c>
      <c r="E752" s="436"/>
      <c r="F752" s="178"/>
      <c r="G752" s="606"/>
      <c r="H752" s="415">
        <f>2477.1-2477.1</f>
        <v>0</v>
      </c>
      <c r="I752" s="1159">
        <v>1964</v>
      </c>
      <c r="J752" s="415">
        <f>7002800-7002800</f>
        <v>0</v>
      </c>
      <c r="K752" s="437"/>
    </row>
    <row r="753" spans="1:11" x14ac:dyDescent="0.2">
      <c r="A753" s="349" t="s">
        <v>857</v>
      </c>
      <c r="B753" s="347" t="s">
        <v>295</v>
      </c>
      <c r="C753" s="1157"/>
      <c r="D753" s="1158"/>
      <c r="E753" s="436">
        <v>15</v>
      </c>
      <c r="F753" s="178"/>
      <c r="G753" s="602"/>
      <c r="H753" s="415">
        <v>40.1</v>
      </c>
      <c r="I753" s="1159"/>
      <c r="J753" s="415">
        <v>113363.32001130354</v>
      </c>
      <c r="K753" s="437"/>
    </row>
    <row r="754" spans="1:11" x14ac:dyDescent="0.2">
      <c r="A754" s="349" t="s">
        <v>858</v>
      </c>
      <c r="B754" s="347" t="s">
        <v>295</v>
      </c>
      <c r="C754" s="1157"/>
      <c r="D754" s="1158"/>
      <c r="E754" s="436">
        <v>21</v>
      </c>
      <c r="F754" s="178"/>
      <c r="G754" s="602"/>
      <c r="H754" s="415">
        <v>24.48</v>
      </c>
      <c r="I754" s="1159"/>
      <c r="J754" s="415">
        <v>69205.338500666097</v>
      </c>
      <c r="K754" s="437"/>
    </row>
    <row r="755" spans="1:11" ht="12.75" customHeight="1" x14ac:dyDescent="0.2">
      <c r="A755" s="349" t="s">
        <v>859</v>
      </c>
      <c r="B755" s="347" t="s">
        <v>295</v>
      </c>
      <c r="C755" s="1157"/>
      <c r="D755" s="1158"/>
      <c r="E755" s="425" t="s">
        <v>432</v>
      </c>
      <c r="F755" s="178"/>
      <c r="G755" s="602"/>
      <c r="H755" s="415">
        <v>16.32</v>
      </c>
      <c r="I755" s="1159"/>
      <c r="J755" s="415">
        <v>46136.892333777403</v>
      </c>
      <c r="K755" s="437"/>
    </row>
    <row r="756" spans="1:11" x14ac:dyDescent="0.2">
      <c r="A756" s="349" t="s">
        <v>860</v>
      </c>
      <c r="B756" s="347" t="s">
        <v>295</v>
      </c>
      <c r="C756" s="1157"/>
      <c r="D756" s="1158"/>
      <c r="E756" s="436">
        <v>29</v>
      </c>
      <c r="F756" s="178" t="s">
        <v>434</v>
      </c>
      <c r="G756" s="602"/>
      <c r="H756" s="415">
        <v>29.6</v>
      </c>
      <c r="I756" s="1159"/>
      <c r="J756" s="415">
        <v>83679.657664204118</v>
      </c>
      <c r="K756" s="437">
        <v>355358.66</v>
      </c>
    </row>
    <row r="757" spans="1:11" ht="12.75" customHeight="1" x14ac:dyDescent="0.2">
      <c r="A757" s="349" t="s">
        <v>1440</v>
      </c>
      <c r="B757" s="347" t="s">
        <v>295</v>
      </c>
      <c r="C757" s="1157"/>
      <c r="D757" s="1158"/>
      <c r="E757" s="436">
        <v>39</v>
      </c>
      <c r="F757" s="178"/>
      <c r="G757" s="602"/>
      <c r="H757" s="415">
        <v>43.2</v>
      </c>
      <c r="I757" s="1159"/>
      <c r="J757" s="415">
        <v>122127.06794235195</v>
      </c>
      <c r="K757" s="437"/>
    </row>
    <row r="758" spans="1:11" ht="76.5" x14ac:dyDescent="0.2">
      <c r="A758" s="349" t="s">
        <v>1441</v>
      </c>
      <c r="B758" s="865" t="s">
        <v>14631</v>
      </c>
      <c r="C758" s="1157"/>
      <c r="D758" s="1158"/>
      <c r="E758" s="436">
        <v>60</v>
      </c>
      <c r="F758" s="178"/>
      <c r="G758" s="602"/>
      <c r="H758" s="415">
        <v>14.85</v>
      </c>
      <c r="I758" s="1159"/>
      <c r="J758" s="415">
        <v>41981.179605183483</v>
      </c>
      <c r="K758" s="437"/>
    </row>
    <row r="759" spans="1:11" ht="12.75" customHeight="1" x14ac:dyDescent="0.2">
      <c r="A759" s="349" t="s">
        <v>1442</v>
      </c>
      <c r="B759" s="347" t="s">
        <v>295</v>
      </c>
      <c r="C759" s="1157"/>
      <c r="D759" s="1158"/>
      <c r="E759" s="425" t="s">
        <v>433</v>
      </c>
      <c r="F759" s="178"/>
      <c r="G759" s="602"/>
      <c r="H759" s="415">
        <v>14.85</v>
      </c>
      <c r="I759" s="1159"/>
      <c r="J759" s="415">
        <v>41981.179605183483</v>
      </c>
      <c r="K759" s="437"/>
    </row>
    <row r="760" spans="1:11" x14ac:dyDescent="0.2">
      <c r="A760" s="349" t="s">
        <v>3319</v>
      </c>
      <c r="B760" s="347" t="s">
        <v>295</v>
      </c>
      <c r="C760" s="1157"/>
      <c r="D760" s="1158"/>
      <c r="E760" s="425">
        <v>46</v>
      </c>
      <c r="F760" s="178" t="s">
        <v>5264</v>
      </c>
      <c r="G760" s="602" t="s">
        <v>137</v>
      </c>
      <c r="H760" s="415">
        <f>43.3</f>
        <v>43.3</v>
      </c>
      <c r="I760" s="1159"/>
      <c r="J760" s="415">
        <f>7002800/2477.1*H760</f>
        <v>122409.76948851478</v>
      </c>
      <c r="K760" s="437"/>
    </row>
    <row r="761" spans="1:11" ht="12.75" customHeight="1" x14ac:dyDescent="0.2">
      <c r="A761" s="348" t="s">
        <v>861</v>
      </c>
      <c r="B761" s="347"/>
      <c r="C761" s="1147" t="s">
        <v>11156</v>
      </c>
      <c r="D761" s="1150">
        <v>15</v>
      </c>
      <c r="E761" s="436"/>
      <c r="F761" s="178"/>
      <c r="G761" s="602"/>
      <c r="H761" s="415">
        <f>2551.8-2551.8</f>
        <v>0</v>
      </c>
      <c r="I761" s="1145">
        <v>1965</v>
      </c>
      <c r="J761" s="415">
        <f>4186600-4186600</f>
        <v>0</v>
      </c>
      <c r="K761" s="437"/>
    </row>
    <row r="762" spans="1:11" ht="25.5" customHeight="1" x14ac:dyDescent="0.2">
      <c r="A762" s="349" t="s">
        <v>1443</v>
      </c>
      <c r="B762" s="347" t="s">
        <v>295</v>
      </c>
      <c r="C762" s="1148"/>
      <c r="D762" s="1151"/>
      <c r="E762" s="436">
        <v>40</v>
      </c>
      <c r="F762" s="178" t="s">
        <v>435</v>
      </c>
      <c r="G762" s="602"/>
      <c r="H762" s="415">
        <v>42.5</v>
      </c>
      <c r="I762" s="1153"/>
      <c r="J762" s="415">
        <v>69727.447292107536</v>
      </c>
      <c r="K762" s="437">
        <v>817502.81</v>
      </c>
    </row>
    <row r="763" spans="1:11" ht="12.75" customHeight="1" x14ac:dyDescent="0.2">
      <c r="A763" s="348" t="s">
        <v>862</v>
      </c>
      <c r="B763" s="347"/>
      <c r="C763" s="1147" t="s">
        <v>11157</v>
      </c>
      <c r="D763" s="1150">
        <v>16</v>
      </c>
      <c r="E763" s="436"/>
      <c r="F763" s="178"/>
      <c r="G763" s="602"/>
      <c r="H763" s="415">
        <f>2529.6-2529.6</f>
        <v>0</v>
      </c>
      <c r="I763" s="1145">
        <v>1965</v>
      </c>
      <c r="J763" s="415">
        <f>4213700-4213700</f>
        <v>0</v>
      </c>
      <c r="K763" s="437"/>
    </row>
    <row r="764" spans="1:11" x14ac:dyDescent="0.2">
      <c r="A764" s="349" t="s">
        <v>863</v>
      </c>
      <c r="B764" s="347" t="s">
        <v>295</v>
      </c>
      <c r="C764" s="1148"/>
      <c r="D764" s="1151"/>
      <c r="E764" s="436">
        <v>11</v>
      </c>
      <c r="F764" s="178"/>
      <c r="G764" s="602"/>
      <c r="H764" s="415">
        <v>30.9</v>
      </c>
      <c r="I764" s="1153"/>
      <c r="J764" s="415">
        <v>51471.904648956355</v>
      </c>
      <c r="K764" s="437"/>
    </row>
    <row r="765" spans="1:11" x14ac:dyDescent="0.2">
      <c r="A765" s="349" t="s">
        <v>864</v>
      </c>
      <c r="B765" s="347" t="s">
        <v>295</v>
      </c>
      <c r="C765" s="1148"/>
      <c r="D765" s="1151"/>
      <c r="E765" s="436">
        <v>18</v>
      </c>
      <c r="F765" s="178" t="s">
        <v>437</v>
      </c>
      <c r="G765" s="602"/>
      <c r="H765" s="415">
        <v>30.3</v>
      </c>
      <c r="I765" s="1153"/>
      <c r="J765" s="415">
        <v>50472.450189753319</v>
      </c>
      <c r="K765" s="437">
        <v>578852.05000000005</v>
      </c>
    </row>
    <row r="766" spans="1:11" x14ac:dyDescent="0.2">
      <c r="A766" s="349" t="s">
        <v>865</v>
      </c>
      <c r="B766" s="347" t="s">
        <v>295</v>
      </c>
      <c r="C766" s="1148"/>
      <c r="D766" s="1151"/>
      <c r="E766" s="436">
        <v>2</v>
      </c>
      <c r="F766" s="178"/>
      <c r="G766" s="602"/>
      <c r="H766" s="415">
        <v>42.8</v>
      </c>
      <c r="I766" s="1153"/>
      <c r="J766" s="415">
        <v>71294.418089816565</v>
      </c>
      <c r="K766" s="437"/>
    </row>
    <row r="767" spans="1:11" ht="12.75" customHeight="1" x14ac:dyDescent="0.2">
      <c r="A767" s="349" t="s">
        <v>866</v>
      </c>
      <c r="B767" s="347" t="s">
        <v>295</v>
      </c>
      <c r="C767" s="1148"/>
      <c r="D767" s="1151"/>
      <c r="E767" s="425" t="s">
        <v>436</v>
      </c>
      <c r="F767" s="178"/>
      <c r="G767" s="602"/>
      <c r="H767" s="415"/>
      <c r="I767" s="1153"/>
      <c r="J767" s="415">
        <v>0</v>
      </c>
      <c r="K767" s="437"/>
    </row>
    <row r="768" spans="1:11" ht="12.75" customHeight="1" x14ac:dyDescent="0.2">
      <c r="A768" s="349" t="s">
        <v>867</v>
      </c>
      <c r="B768" s="347" t="s">
        <v>295</v>
      </c>
      <c r="C768" s="1148"/>
      <c r="D768" s="1151"/>
      <c r="E768" s="436">
        <v>33</v>
      </c>
      <c r="F768" s="178"/>
      <c r="G768" s="602"/>
      <c r="H768" s="415">
        <v>43.5</v>
      </c>
      <c r="I768" s="1153"/>
      <c r="J768" s="415">
        <v>72460.448292220128</v>
      </c>
      <c r="K768" s="437"/>
    </row>
    <row r="769" spans="1:11" x14ac:dyDescent="0.2">
      <c r="A769" s="349" t="s">
        <v>868</v>
      </c>
      <c r="B769" s="347" t="s">
        <v>295</v>
      </c>
      <c r="C769" s="1148"/>
      <c r="D769" s="1151"/>
      <c r="E769" s="436">
        <v>44</v>
      </c>
      <c r="F769" s="178"/>
      <c r="G769" s="602"/>
      <c r="H769" s="415">
        <v>43.2</v>
      </c>
      <c r="I769" s="1153"/>
      <c r="J769" s="415">
        <v>71960.721062618613</v>
      </c>
      <c r="K769" s="437"/>
    </row>
    <row r="770" spans="1:11" x14ac:dyDescent="0.2">
      <c r="A770" s="349" t="s">
        <v>869</v>
      </c>
      <c r="B770" s="347" t="s">
        <v>295</v>
      </c>
      <c r="C770" s="1148"/>
      <c r="D770" s="1151"/>
      <c r="E770" s="436">
        <v>59</v>
      </c>
      <c r="F770" s="178"/>
      <c r="G770" s="602"/>
      <c r="H770" s="415">
        <v>43</v>
      </c>
      <c r="I770" s="1153"/>
      <c r="J770" s="415">
        <v>71627.569576217589</v>
      </c>
      <c r="K770" s="437"/>
    </row>
    <row r="771" spans="1:11" ht="25.5" x14ac:dyDescent="0.2">
      <c r="A771" s="349" t="s">
        <v>10905</v>
      </c>
      <c r="B771" s="347" t="s">
        <v>9246</v>
      </c>
      <c r="C771" s="1149"/>
      <c r="D771" s="1152"/>
      <c r="E771" s="436">
        <v>39</v>
      </c>
      <c r="F771" s="178" t="s">
        <v>10906</v>
      </c>
      <c r="G771" s="602" t="s">
        <v>128</v>
      </c>
      <c r="H771" s="415">
        <f>30.2-30.2</f>
        <v>0</v>
      </c>
      <c r="I771" s="1146"/>
      <c r="J771" s="415">
        <f>1055218.2-1055218.2</f>
        <v>0</v>
      </c>
      <c r="K771" s="437"/>
    </row>
    <row r="772" spans="1:11" ht="12.75" customHeight="1" x14ac:dyDescent="0.2">
      <c r="A772" s="348" t="s">
        <v>870</v>
      </c>
      <c r="B772" s="1043"/>
      <c r="C772" s="1147" t="s">
        <v>14983</v>
      </c>
      <c r="D772" s="1150">
        <v>17</v>
      </c>
      <c r="E772" s="436"/>
      <c r="F772" s="178"/>
      <c r="G772" s="1040"/>
      <c r="H772" s="837">
        <f>3792.6-3792.6</f>
        <v>0</v>
      </c>
      <c r="I772" s="1145">
        <v>1969</v>
      </c>
      <c r="J772" s="837">
        <f>8266100-8266100</f>
        <v>0</v>
      </c>
      <c r="K772" s="437"/>
    </row>
    <row r="773" spans="1:11" x14ac:dyDescent="0.2">
      <c r="A773" s="834" t="s">
        <v>871</v>
      </c>
      <c r="B773" s="1043" t="s">
        <v>295</v>
      </c>
      <c r="C773" s="1148"/>
      <c r="D773" s="1151"/>
      <c r="E773" s="436">
        <v>23</v>
      </c>
      <c r="F773" s="178" t="s">
        <v>438</v>
      </c>
      <c r="G773" s="1040"/>
      <c r="H773" s="837">
        <v>41.7</v>
      </c>
      <c r="I773" s="1153"/>
      <c r="J773" s="837">
        <v>90886.560670779945</v>
      </c>
      <c r="K773" s="437">
        <v>802114.53</v>
      </c>
    </row>
    <row r="774" spans="1:11" x14ac:dyDescent="0.2">
      <c r="A774" s="834" t="s">
        <v>872</v>
      </c>
      <c r="B774" s="1043" t="s">
        <v>295</v>
      </c>
      <c r="C774" s="1148"/>
      <c r="D774" s="1151"/>
      <c r="E774" s="436">
        <v>35</v>
      </c>
      <c r="F774" s="178"/>
      <c r="G774" s="1040"/>
      <c r="H774" s="837">
        <v>43.7</v>
      </c>
      <c r="I774" s="1153"/>
      <c r="J774" s="837">
        <v>95245.628328850929</v>
      </c>
      <c r="K774" s="437"/>
    </row>
    <row r="775" spans="1:11" x14ac:dyDescent="0.2">
      <c r="A775" s="834" t="s">
        <v>873</v>
      </c>
      <c r="B775" s="1043" t="s">
        <v>295</v>
      </c>
      <c r="C775" s="1148"/>
      <c r="D775" s="1151"/>
      <c r="E775" s="436">
        <v>37</v>
      </c>
      <c r="F775" s="178" t="s">
        <v>439</v>
      </c>
      <c r="G775" s="1040"/>
      <c r="H775" s="837">
        <v>29.9</v>
      </c>
      <c r="I775" s="1153"/>
      <c r="J775" s="837">
        <v>65168.061488161155</v>
      </c>
      <c r="K775" s="437">
        <v>592619.79</v>
      </c>
    </row>
    <row r="776" spans="1:11" ht="15" customHeight="1" x14ac:dyDescent="0.2">
      <c r="A776" s="834" t="s">
        <v>874</v>
      </c>
      <c r="B776" s="1043" t="s">
        <v>295</v>
      </c>
      <c r="C776" s="1148"/>
      <c r="D776" s="1151"/>
      <c r="E776" s="436">
        <v>40</v>
      </c>
      <c r="F776" s="178"/>
      <c r="G776" s="1040"/>
      <c r="H776" s="837">
        <v>41.6</v>
      </c>
      <c r="I776" s="1153"/>
      <c r="J776" s="837">
        <v>90668.607287876395</v>
      </c>
      <c r="K776" s="437"/>
    </row>
    <row r="777" spans="1:11" ht="16.5" customHeight="1" x14ac:dyDescent="0.2">
      <c r="A777" s="834" t="s">
        <v>875</v>
      </c>
      <c r="B777" s="1043" t="s">
        <v>295</v>
      </c>
      <c r="C777" s="1148"/>
      <c r="D777" s="1151"/>
      <c r="E777" s="436">
        <v>44</v>
      </c>
      <c r="F777" s="178"/>
      <c r="G777" s="1040"/>
      <c r="H777" s="837">
        <v>43.4</v>
      </c>
      <c r="I777" s="1153"/>
      <c r="J777" s="837">
        <v>94591.76818014028</v>
      </c>
      <c r="K777" s="437"/>
    </row>
    <row r="778" spans="1:11" ht="14.25" customHeight="1" x14ac:dyDescent="0.2">
      <c r="A778" s="834" t="s">
        <v>876</v>
      </c>
      <c r="B778" s="1043" t="s">
        <v>295</v>
      </c>
      <c r="C778" s="1148"/>
      <c r="D778" s="1151"/>
      <c r="E778" s="436">
        <v>47</v>
      </c>
      <c r="F778" s="178"/>
      <c r="G778" s="1040"/>
      <c r="H778" s="837">
        <v>42.5</v>
      </c>
      <c r="I778" s="1153"/>
      <c r="J778" s="837">
        <v>92630.18773400833</v>
      </c>
      <c r="K778" s="437"/>
    </row>
    <row r="779" spans="1:11" ht="12.75" customHeight="1" x14ac:dyDescent="0.2">
      <c r="A779" s="834" t="s">
        <v>877</v>
      </c>
      <c r="B779" s="1043" t="s">
        <v>295</v>
      </c>
      <c r="C779" s="1148"/>
      <c r="D779" s="1151"/>
      <c r="E779" s="436">
        <v>48</v>
      </c>
      <c r="F779" s="178"/>
      <c r="G779" s="1040"/>
      <c r="H779" s="837">
        <v>43.8</v>
      </c>
      <c r="I779" s="1153"/>
      <c r="J779" s="837">
        <v>95463.581711754465</v>
      </c>
      <c r="K779" s="437"/>
    </row>
    <row r="780" spans="1:11" x14ac:dyDescent="0.2">
      <c r="A780" s="834" t="s">
        <v>878</v>
      </c>
      <c r="B780" s="1043" t="s">
        <v>295</v>
      </c>
      <c r="C780" s="1148"/>
      <c r="D780" s="1151"/>
      <c r="E780" s="436">
        <v>50</v>
      </c>
      <c r="F780" s="178"/>
      <c r="G780" s="1040"/>
      <c r="H780" s="837">
        <v>21.65</v>
      </c>
      <c r="I780" s="1153"/>
      <c r="J780" s="837">
        <v>47186.907398618365</v>
      </c>
      <c r="K780" s="437"/>
    </row>
    <row r="781" spans="1:11" ht="12.75" customHeight="1" x14ac:dyDescent="0.2">
      <c r="A781" s="834" t="s">
        <v>879</v>
      </c>
      <c r="B781" s="1043" t="s">
        <v>295</v>
      </c>
      <c r="C781" s="1148"/>
      <c r="D781" s="1151"/>
      <c r="E781" s="425" t="s">
        <v>417</v>
      </c>
      <c r="F781" s="178"/>
      <c r="G781" s="1040"/>
      <c r="H781" s="837">
        <v>21.65</v>
      </c>
      <c r="I781" s="1153"/>
      <c r="J781" s="837">
        <v>47186.907398618365</v>
      </c>
      <c r="K781" s="437"/>
    </row>
    <row r="782" spans="1:11" ht="24" customHeight="1" x14ac:dyDescent="0.2">
      <c r="A782" s="834" t="s">
        <v>10907</v>
      </c>
      <c r="B782" s="1043" t="s">
        <v>9246</v>
      </c>
      <c r="C782" s="1148"/>
      <c r="D782" s="1151"/>
      <c r="E782" s="436">
        <v>24</v>
      </c>
      <c r="F782" s="178" t="s">
        <v>10908</v>
      </c>
      <c r="G782" s="1040" t="s">
        <v>128</v>
      </c>
      <c r="H782" s="837">
        <v>29.9</v>
      </c>
      <c r="I782" s="1153"/>
      <c r="J782" s="837">
        <v>1044735.9</v>
      </c>
      <c r="K782" s="437">
        <v>592619.79</v>
      </c>
    </row>
    <row r="783" spans="1:11" ht="24" customHeight="1" x14ac:dyDescent="0.2">
      <c r="A783" s="834"/>
      <c r="B783" s="1043"/>
      <c r="C783" s="1148"/>
      <c r="D783" s="1151"/>
      <c r="E783" s="436"/>
      <c r="F783" s="178"/>
      <c r="G783" s="1040"/>
      <c r="H783" s="837"/>
      <c r="I783" s="1153"/>
      <c r="J783" s="837"/>
      <c r="K783" s="437"/>
    </row>
    <row r="784" spans="1:11" ht="24" customHeight="1" x14ac:dyDescent="0.2">
      <c r="A784" s="834"/>
      <c r="B784" s="1043"/>
      <c r="C784" s="1149"/>
      <c r="D784" s="1152"/>
      <c r="E784" s="436"/>
      <c r="F784" s="178"/>
      <c r="G784" s="1040"/>
      <c r="H784" s="837"/>
      <c r="I784" s="1146"/>
      <c r="J784" s="837"/>
      <c r="K784" s="437"/>
    </row>
    <row r="785" spans="1:11" ht="12.75" customHeight="1" x14ac:dyDescent="0.2">
      <c r="A785" s="348" t="s">
        <v>880</v>
      </c>
      <c r="B785" s="347"/>
      <c r="C785" s="1157" t="s">
        <v>11158</v>
      </c>
      <c r="D785" s="1158">
        <v>18</v>
      </c>
      <c r="E785" s="436"/>
      <c r="F785" s="178"/>
      <c r="G785" s="602"/>
      <c r="H785" s="415">
        <f>3316.1-3316.1</f>
        <v>0</v>
      </c>
      <c r="I785" s="1159">
        <v>1967</v>
      </c>
      <c r="J785" s="415">
        <f>7780800-7780800</f>
        <v>0</v>
      </c>
      <c r="K785" s="437"/>
    </row>
    <row r="786" spans="1:11" x14ac:dyDescent="0.2">
      <c r="A786" s="349" t="s">
        <v>881</v>
      </c>
      <c r="B786" s="347" t="s">
        <v>295</v>
      </c>
      <c r="C786" s="1157"/>
      <c r="D786" s="1158"/>
      <c r="E786" s="436">
        <v>34</v>
      </c>
      <c r="F786" s="178"/>
      <c r="G786" s="602"/>
      <c r="H786" s="415">
        <v>42.4</v>
      </c>
      <c r="I786" s="1159"/>
      <c r="J786" s="415">
        <v>99486.119236452461</v>
      </c>
      <c r="K786" s="437"/>
    </row>
    <row r="787" spans="1:11" x14ac:dyDescent="0.2">
      <c r="A787" s="349" t="s">
        <v>882</v>
      </c>
      <c r="B787" s="347" t="s">
        <v>295</v>
      </c>
      <c r="C787" s="1157"/>
      <c r="D787" s="1158"/>
      <c r="E787" s="425">
        <v>63</v>
      </c>
      <c r="F787" s="178"/>
      <c r="G787" s="602"/>
      <c r="H787" s="415">
        <v>57.3</v>
      </c>
      <c r="I787" s="1159"/>
      <c r="J787" s="415">
        <v>134447.04321341336</v>
      </c>
      <c r="K787" s="437"/>
    </row>
    <row r="788" spans="1:11" x14ac:dyDescent="0.2">
      <c r="A788" s="349" t="s">
        <v>1444</v>
      </c>
      <c r="B788" s="347" t="s">
        <v>295</v>
      </c>
      <c r="C788" s="1157"/>
      <c r="D788" s="1158"/>
      <c r="E788" s="425" t="s">
        <v>440</v>
      </c>
      <c r="F788" s="178"/>
      <c r="G788" s="602"/>
      <c r="H788" s="415">
        <v>14.32</v>
      </c>
      <c r="I788" s="1159"/>
      <c r="J788" s="415">
        <v>33600.028949669701</v>
      </c>
      <c r="K788" s="437"/>
    </row>
    <row r="789" spans="1:11" ht="12.75" customHeight="1" x14ac:dyDescent="0.2">
      <c r="A789" s="348" t="s">
        <v>883</v>
      </c>
      <c r="B789" s="347"/>
      <c r="C789" s="1157" t="s">
        <v>11159</v>
      </c>
      <c r="D789" s="1158">
        <v>19</v>
      </c>
      <c r="E789" s="436"/>
      <c r="F789" s="178"/>
      <c r="G789" s="602"/>
      <c r="H789" s="415">
        <f>3268.5-3268.5</f>
        <v>0</v>
      </c>
      <c r="I789" s="1159">
        <v>1967</v>
      </c>
      <c r="J789" s="415">
        <f>7644700-7644700</f>
        <v>0</v>
      </c>
      <c r="K789" s="437"/>
    </row>
    <row r="790" spans="1:11" x14ac:dyDescent="0.2">
      <c r="A790" s="349" t="s">
        <v>884</v>
      </c>
      <c r="B790" s="347" t="s">
        <v>295</v>
      </c>
      <c r="C790" s="1157"/>
      <c r="D790" s="1158"/>
      <c r="E790" s="436">
        <v>17</v>
      </c>
      <c r="F790" s="178" t="s">
        <v>441</v>
      </c>
      <c r="G790" s="602"/>
      <c r="H790" s="415">
        <v>50.7</v>
      </c>
      <c r="I790" s="1159"/>
      <c r="J790" s="415">
        <v>118582.312987609</v>
      </c>
      <c r="K790" s="437">
        <v>934920.19</v>
      </c>
    </row>
    <row r="791" spans="1:11" x14ac:dyDescent="0.2">
      <c r="A791" s="349" t="s">
        <v>885</v>
      </c>
      <c r="B791" s="347" t="s">
        <v>295</v>
      </c>
      <c r="C791" s="1157"/>
      <c r="D791" s="1158"/>
      <c r="E791" s="436">
        <v>36</v>
      </c>
      <c r="F791" s="178" t="s">
        <v>442</v>
      </c>
      <c r="G791" s="602"/>
      <c r="H791" s="415">
        <v>46.8</v>
      </c>
      <c r="I791" s="1159"/>
      <c r="J791" s="415">
        <v>109460.59660394675</v>
      </c>
      <c r="K791" s="437">
        <v>866704.57</v>
      </c>
    </row>
    <row r="792" spans="1:11" ht="12.75" customHeight="1" x14ac:dyDescent="0.2">
      <c r="A792" s="348" t="s">
        <v>886</v>
      </c>
      <c r="B792" s="347"/>
      <c r="C792" s="1157" t="s">
        <v>11160</v>
      </c>
      <c r="D792" s="1158">
        <v>21</v>
      </c>
      <c r="E792" s="436"/>
      <c r="F792" s="178"/>
      <c r="G792" s="602"/>
      <c r="H792" s="415">
        <f>2737.7-2737.7</f>
        <v>0</v>
      </c>
      <c r="I792" s="1159">
        <v>1985</v>
      </c>
      <c r="J792" s="415">
        <f>9678500-9678500</f>
        <v>0</v>
      </c>
      <c r="K792" s="437"/>
    </row>
    <row r="793" spans="1:11" ht="25.5" customHeight="1" x14ac:dyDescent="0.2">
      <c r="A793" s="349" t="s">
        <v>887</v>
      </c>
      <c r="B793" s="347" t="s">
        <v>295</v>
      </c>
      <c r="C793" s="1157"/>
      <c r="D793" s="1158"/>
      <c r="E793" s="436">
        <v>46</v>
      </c>
      <c r="F793" s="178" t="s">
        <v>443</v>
      </c>
      <c r="G793" s="602"/>
      <c r="H793" s="415">
        <v>79.2</v>
      </c>
      <c r="I793" s="1159"/>
      <c r="J793" s="415">
        <v>279993.13292179571</v>
      </c>
      <c r="K793" s="437">
        <v>1681959.19</v>
      </c>
    </row>
    <row r="794" spans="1:11" ht="12.75" customHeight="1" x14ac:dyDescent="0.2">
      <c r="A794" s="348" t="s">
        <v>888</v>
      </c>
      <c r="B794" s="347"/>
      <c r="C794" s="1147" t="s">
        <v>11161</v>
      </c>
      <c r="D794" s="1150">
        <v>23</v>
      </c>
      <c r="E794" s="436"/>
      <c r="F794" s="178"/>
      <c r="G794" s="602"/>
      <c r="H794" s="415">
        <f>5492-5492</f>
        <v>0</v>
      </c>
      <c r="I794" s="1145">
        <v>1988</v>
      </c>
      <c r="J794" s="415">
        <f>19796400-19796400</f>
        <v>0</v>
      </c>
      <c r="K794" s="437"/>
    </row>
    <row r="795" spans="1:11" x14ac:dyDescent="0.2">
      <c r="A795" s="349" t="s">
        <v>1445</v>
      </c>
      <c r="B795" s="347" t="s">
        <v>295</v>
      </c>
      <c r="C795" s="1148"/>
      <c r="D795" s="1151"/>
      <c r="E795" s="436">
        <v>78</v>
      </c>
      <c r="F795" s="178"/>
      <c r="G795" s="602"/>
      <c r="H795" s="415">
        <v>61.1</v>
      </c>
      <c r="I795" s="1153"/>
      <c r="J795" s="415">
        <v>220240.35688273853</v>
      </c>
      <c r="K795" s="437"/>
    </row>
    <row r="796" spans="1:11" x14ac:dyDescent="0.2">
      <c r="A796" s="349" t="s">
        <v>1446</v>
      </c>
      <c r="B796" s="347" t="s">
        <v>295</v>
      </c>
      <c r="C796" s="1149"/>
      <c r="D796" s="1152"/>
      <c r="E796" s="436">
        <v>90</v>
      </c>
      <c r="F796" s="178"/>
      <c r="G796" s="602"/>
      <c r="H796" s="415">
        <v>62.7</v>
      </c>
      <c r="I796" s="1146"/>
      <c r="J796" s="415">
        <v>226007.69847050257</v>
      </c>
      <c r="K796" s="437"/>
    </row>
    <row r="797" spans="1:11" ht="12.75" customHeight="1" x14ac:dyDescent="0.2">
      <c r="A797" s="348" t="s">
        <v>889</v>
      </c>
      <c r="B797" s="347"/>
      <c r="C797" s="1157" t="s">
        <v>11162</v>
      </c>
      <c r="D797" s="1158">
        <v>24</v>
      </c>
      <c r="E797" s="436"/>
      <c r="F797" s="178"/>
      <c r="G797" s="602"/>
      <c r="H797" s="415">
        <f>4633.6-4633.6</f>
        <v>0</v>
      </c>
      <c r="I797" s="1159">
        <v>1980</v>
      </c>
      <c r="J797" s="415">
        <f>13173500-13173500</f>
        <v>0</v>
      </c>
      <c r="K797" s="437"/>
    </row>
    <row r="798" spans="1:11" ht="18.75" customHeight="1" x14ac:dyDescent="0.2">
      <c r="A798" s="349" t="s">
        <v>890</v>
      </c>
      <c r="B798" s="347" t="s">
        <v>295</v>
      </c>
      <c r="C798" s="1157"/>
      <c r="D798" s="1158"/>
      <c r="E798" s="436">
        <v>29</v>
      </c>
      <c r="F798" s="178" t="s">
        <v>444</v>
      </c>
      <c r="G798" s="602"/>
      <c r="H798" s="415">
        <v>80.599999999999994</v>
      </c>
      <c r="I798" s="1159"/>
      <c r="J798" s="415">
        <v>229148.84754834251</v>
      </c>
      <c r="K798" s="437">
        <v>1533234.22</v>
      </c>
    </row>
    <row r="799" spans="1:11" ht="15.75" customHeight="1" x14ac:dyDescent="0.2">
      <c r="A799" s="349" t="s">
        <v>891</v>
      </c>
      <c r="B799" s="347" t="s">
        <v>295</v>
      </c>
      <c r="C799" s="1157"/>
      <c r="D799" s="1158"/>
      <c r="E799" s="436">
        <v>47</v>
      </c>
      <c r="F799" s="178"/>
      <c r="G799" s="602"/>
      <c r="H799" s="415">
        <v>77.3</v>
      </c>
      <c r="I799" s="1159"/>
      <c r="J799" s="415">
        <v>219766.82277279004</v>
      </c>
      <c r="K799" s="437"/>
    </row>
    <row r="800" spans="1:11" ht="12.75" customHeight="1" x14ac:dyDescent="0.2">
      <c r="A800" s="349" t="s">
        <v>1447</v>
      </c>
      <c r="B800" s="347" t="s">
        <v>295</v>
      </c>
      <c r="C800" s="1157"/>
      <c r="D800" s="1158"/>
      <c r="E800" s="436">
        <v>66</v>
      </c>
      <c r="F800" s="178"/>
      <c r="G800" s="602"/>
      <c r="H800" s="415">
        <v>26.8</v>
      </c>
      <c r="I800" s="1159"/>
      <c r="J800" s="415">
        <v>76193.413328729293</v>
      </c>
      <c r="K800" s="437"/>
    </row>
    <row r="801" spans="1:11" x14ac:dyDescent="0.2">
      <c r="A801" s="349" t="s">
        <v>1448</v>
      </c>
      <c r="B801" s="347" t="s">
        <v>295</v>
      </c>
      <c r="C801" s="1157"/>
      <c r="D801" s="1158"/>
      <c r="E801" s="436">
        <v>9</v>
      </c>
      <c r="F801" s="178"/>
      <c r="G801" s="602"/>
      <c r="H801" s="415"/>
      <c r="I801" s="1159"/>
      <c r="J801" s="415">
        <v>0</v>
      </c>
      <c r="K801" s="437"/>
    </row>
    <row r="802" spans="1:11" x14ac:dyDescent="0.2">
      <c r="A802" s="349" t="s">
        <v>1449</v>
      </c>
      <c r="B802" s="347" t="s">
        <v>295</v>
      </c>
      <c r="C802" s="1157"/>
      <c r="D802" s="1158"/>
      <c r="E802" s="425" t="s">
        <v>420</v>
      </c>
      <c r="F802" s="178"/>
      <c r="G802" s="602"/>
      <c r="H802" s="415">
        <v>61.1</v>
      </c>
      <c r="I802" s="1159"/>
      <c r="J802" s="415">
        <v>173709.61023825969</v>
      </c>
      <c r="K802" s="437"/>
    </row>
    <row r="803" spans="1:11" ht="12.75" customHeight="1" x14ac:dyDescent="0.2">
      <c r="A803" s="348" t="s">
        <v>892</v>
      </c>
      <c r="B803" s="347"/>
      <c r="C803" s="1157" t="s">
        <v>11163</v>
      </c>
      <c r="D803" s="1158">
        <v>5</v>
      </c>
      <c r="E803" s="436"/>
      <c r="F803" s="178"/>
      <c r="G803" s="602"/>
      <c r="H803" s="415">
        <f>2733-2733</f>
        <v>0</v>
      </c>
      <c r="I803" s="1159">
        <v>1991</v>
      </c>
      <c r="J803" s="415">
        <f>32000-32000</f>
        <v>0</v>
      </c>
      <c r="K803" s="437"/>
    </row>
    <row r="804" spans="1:11" x14ac:dyDescent="0.2">
      <c r="A804" s="349" t="s">
        <v>893</v>
      </c>
      <c r="B804" s="347" t="s">
        <v>295</v>
      </c>
      <c r="C804" s="1157"/>
      <c r="D804" s="1158"/>
      <c r="E804" s="436">
        <v>42</v>
      </c>
      <c r="F804" s="178"/>
      <c r="G804" s="602"/>
      <c r="H804" s="415">
        <v>71.099999999999994</v>
      </c>
      <c r="I804" s="1159"/>
      <c r="J804" s="415">
        <v>832.49176728869361</v>
      </c>
      <c r="K804" s="437"/>
    </row>
    <row r="805" spans="1:11" x14ac:dyDescent="0.2">
      <c r="A805" s="349" t="s">
        <v>894</v>
      </c>
      <c r="B805" s="347" t="s">
        <v>295</v>
      </c>
      <c r="C805" s="1157"/>
      <c r="D805" s="1158"/>
      <c r="E805" s="436">
        <v>49</v>
      </c>
      <c r="F805" s="178"/>
      <c r="G805" s="602"/>
      <c r="H805" s="415">
        <v>61.2</v>
      </c>
      <c r="I805" s="1159"/>
      <c r="J805" s="415">
        <v>716.57519209659722</v>
      </c>
      <c r="K805" s="437"/>
    </row>
    <row r="806" spans="1:11" ht="12.75" customHeight="1" x14ac:dyDescent="0.2">
      <c r="A806" s="348" t="s">
        <v>895</v>
      </c>
      <c r="B806" s="347"/>
      <c r="C806" s="1157" t="s">
        <v>11164</v>
      </c>
      <c r="D806" s="1158">
        <v>9</v>
      </c>
      <c r="E806" s="436"/>
      <c r="F806" s="178"/>
      <c r="G806" s="602"/>
      <c r="H806" s="415">
        <f>2735-2735</f>
        <v>0</v>
      </c>
      <c r="I806" s="1159">
        <v>1986</v>
      </c>
      <c r="J806" s="415">
        <f>3680300-3680300</f>
        <v>0</v>
      </c>
      <c r="K806" s="437"/>
    </row>
    <row r="807" spans="1:11" ht="26.25" customHeight="1" x14ac:dyDescent="0.2">
      <c r="A807" s="349" t="s">
        <v>896</v>
      </c>
      <c r="B807" s="347" t="s">
        <v>295</v>
      </c>
      <c r="C807" s="1157"/>
      <c r="D807" s="1158"/>
      <c r="E807" s="436">
        <v>11</v>
      </c>
      <c r="F807" s="178"/>
      <c r="G807" s="602"/>
      <c r="H807" s="415">
        <v>48.4</v>
      </c>
      <c r="I807" s="1159"/>
      <c r="J807" s="415">
        <v>65128.526508226692</v>
      </c>
      <c r="K807" s="437"/>
    </row>
    <row r="808" spans="1:11" ht="12.75" customHeight="1" x14ac:dyDescent="0.2">
      <c r="A808" s="348" t="s">
        <v>897</v>
      </c>
      <c r="B808" s="347"/>
      <c r="C808" s="1147" t="s">
        <v>11165</v>
      </c>
      <c r="D808" s="1150">
        <v>49</v>
      </c>
      <c r="E808" s="436"/>
      <c r="F808" s="178"/>
      <c r="G808" s="602"/>
      <c r="H808" s="415">
        <f>260.2-260.2</f>
        <v>0</v>
      </c>
      <c r="I808" s="1145">
        <v>1951</v>
      </c>
      <c r="J808" s="415">
        <f>387200-387200</f>
        <v>0</v>
      </c>
      <c r="K808" s="437"/>
    </row>
    <row r="809" spans="1:11" ht="12.75" customHeight="1" x14ac:dyDescent="0.2">
      <c r="A809" s="349" t="s">
        <v>900</v>
      </c>
      <c r="B809" s="347" t="s">
        <v>295</v>
      </c>
      <c r="C809" s="1148"/>
      <c r="D809" s="1151"/>
      <c r="E809" s="436">
        <v>3</v>
      </c>
      <c r="F809" s="178"/>
      <c r="G809" s="602"/>
      <c r="H809" s="415">
        <v>45.1</v>
      </c>
      <c r="I809" s="1153"/>
      <c r="J809" s="415">
        <v>67112.682551883176</v>
      </c>
      <c r="K809" s="437"/>
    </row>
    <row r="810" spans="1:11" x14ac:dyDescent="0.2">
      <c r="A810" s="349" t="s">
        <v>901</v>
      </c>
      <c r="B810" s="347" t="s">
        <v>295</v>
      </c>
      <c r="C810" s="1148"/>
      <c r="D810" s="1151"/>
      <c r="E810" s="436">
        <v>4</v>
      </c>
      <c r="F810" s="178"/>
      <c r="G810" s="602"/>
      <c r="H810" s="415">
        <v>40.6</v>
      </c>
      <c r="I810" s="1153"/>
      <c r="J810" s="415">
        <v>60416.295157571112</v>
      </c>
      <c r="K810" s="437"/>
    </row>
    <row r="811" spans="1:11" x14ac:dyDescent="0.2">
      <c r="A811" s="403" t="s">
        <v>13051</v>
      </c>
      <c r="B811" s="432" t="s">
        <v>295</v>
      </c>
      <c r="C811" s="1148"/>
      <c r="D811" s="1151"/>
      <c r="E811" s="672">
        <v>2</v>
      </c>
      <c r="F811" s="200" t="s">
        <v>13052</v>
      </c>
      <c r="G811" s="432" t="s">
        <v>137</v>
      </c>
      <c r="H811" s="435">
        <v>45</v>
      </c>
      <c r="I811" s="1153"/>
      <c r="J811" s="435">
        <v>3347000</v>
      </c>
      <c r="K811" s="443">
        <v>499630.32</v>
      </c>
    </row>
    <row r="812" spans="1:11" x14ac:dyDescent="0.2">
      <c r="A812" s="403" t="s">
        <v>13055</v>
      </c>
      <c r="B812" s="432" t="s">
        <v>295</v>
      </c>
      <c r="C812" s="1149"/>
      <c r="D812" s="1152"/>
      <c r="E812" s="672">
        <v>6</v>
      </c>
      <c r="F812" s="200" t="s">
        <v>13056</v>
      </c>
      <c r="G812" s="432" t="s">
        <v>137</v>
      </c>
      <c r="H812" s="435">
        <f>45</f>
        <v>45</v>
      </c>
      <c r="I812" s="1146"/>
      <c r="J812" s="435">
        <v>3542000</v>
      </c>
      <c r="K812" s="443">
        <v>535318.19999999995</v>
      </c>
    </row>
    <row r="813" spans="1:11" ht="12.75" customHeight="1" x14ac:dyDescent="0.2">
      <c r="A813" s="348" t="s">
        <v>898</v>
      </c>
      <c r="B813" s="347"/>
      <c r="C813" s="1157" t="s">
        <v>11166</v>
      </c>
      <c r="D813" s="1158">
        <v>1</v>
      </c>
      <c r="E813" s="436"/>
      <c r="F813" s="178" t="s">
        <v>2574</v>
      </c>
      <c r="G813" s="602"/>
      <c r="H813" s="415">
        <f>1247.9-1247.9</f>
        <v>0</v>
      </c>
      <c r="I813" s="1159">
        <v>1958</v>
      </c>
      <c r="J813" s="415">
        <f>2395500-2395500</f>
        <v>0</v>
      </c>
      <c r="K813" s="437"/>
    </row>
    <row r="814" spans="1:11" x14ac:dyDescent="0.2">
      <c r="A814" s="349" t="s">
        <v>2540</v>
      </c>
      <c r="B814" s="347" t="s">
        <v>295</v>
      </c>
      <c r="C814" s="1157"/>
      <c r="D814" s="1158"/>
      <c r="E814" s="436">
        <v>7</v>
      </c>
      <c r="F814" s="178" t="s">
        <v>2541</v>
      </c>
      <c r="G814" s="602"/>
      <c r="H814" s="415">
        <v>65.8</v>
      </c>
      <c r="I814" s="1159"/>
      <c r="J814" s="415">
        <f>2395500/1247.9*H814</f>
        <v>126311.32302267807</v>
      </c>
      <c r="K814" s="437">
        <v>886260.2</v>
      </c>
    </row>
    <row r="815" spans="1:11" ht="12.75" customHeight="1" x14ac:dyDescent="0.2">
      <c r="A815" s="348" t="s">
        <v>899</v>
      </c>
      <c r="B815" s="347"/>
      <c r="C815" s="1147" t="s">
        <v>11167</v>
      </c>
      <c r="D815" s="1150">
        <v>2</v>
      </c>
      <c r="E815" s="436"/>
      <c r="F815" s="178"/>
      <c r="G815" s="602"/>
      <c r="H815" s="415">
        <f>2029.3-2029.3</f>
        <v>0</v>
      </c>
      <c r="I815" s="1159">
        <v>1958</v>
      </c>
      <c r="J815" s="415">
        <f>3767600-3767600</f>
        <v>0</v>
      </c>
      <c r="K815" s="437"/>
    </row>
    <row r="816" spans="1:11" x14ac:dyDescent="0.2">
      <c r="A816" s="349" t="s">
        <v>1450</v>
      </c>
      <c r="B816" s="347" t="s">
        <v>295</v>
      </c>
      <c r="C816" s="1148"/>
      <c r="D816" s="1151"/>
      <c r="E816" s="436">
        <v>32</v>
      </c>
      <c r="F816" s="178"/>
      <c r="G816" s="602"/>
      <c r="H816" s="415">
        <v>25.6</v>
      </c>
      <c r="I816" s="1159"/>
      <c r="J816" s="415">
        <v>47528.980436603757</v>
      </c>
      <c r="K816" s="437"/>
    </row>
    <row r="817" spans="1:11" x14ac:dyDescent="0.2">
      <c r="A817" s="349" t="s">
        <v>3333</v>
      </c>
      <c r="B817" s="347" t="s">
        <v>295</v>
      </c>
      <c r="C817" s="1148"/>
      <c r="D817" s="1151"/>
      <c r="E817" s="436">
        <v>11</v>
      </c>
      <c r="F817" s="178" t="s">
        <v>10010</v>
      </c>
      <c r="G817" s="602" t="s">
        <v>128</v>
      </c>
      <c r="H817" s="415">
        <v>52.6</v>
      </c>
      <c r="I817" s="1159"/>
      <c r="J817" s="415">
        <v>1450000</v>
      </c>
      <c r="K817" s="437">
        <v>1007619.93</v>
      </c>
    </row>
    <row r="818" spans="1:11" x14ac:dyDescent="0.2">
      <c r="A818" s="188" t="s">
        <v>14409</v>
      </c>
      <c r="B818" s="350" t="s">
        <v>295</v>
      </c>
      <c r="C818" s="1149"/>
      <c r="D818" s="1152"/>
      <c r="E818" s="897">
        <v>17</v>
      </c>
      <c r="F818" s="898" t="s">
        <v>14410</v>
      </c>
      <c r="G818" s="470" t="s">
        <v>137</v>
      </c>
      <c r="H818" s="899">
        <v>60.9</v>
      </c>
      <c r="I818" s="895"/>
      <c r="J818" s="837">
        <v>113066.99</v>
      </c>
      <c r="K818" s="437">
        <v>1123010.6399999999</v>
      </c>
    </row>
    <row r="819" spans="1:11" ht="12.75" customHeight="1" x14ac:dyDescent="0.2">
      <c r="A819" s="348" t="s">
        <v>902</v>
      </c>
      <c r="B819" s="347"/>
      <c r="C819" s="1147" t="s">
        <v>11168</v>
      </c>
      <c r="D819" s="1150">
        <v>4</v>
      </c>
      <c r="E819" s="436"/>
      <c r="F819" s="178"/>
      <c r="G819" s="602"/>
      <c r="H819" s="415">
        <f>2683.3-2683.3</f>
        <v>0</v>
      </c>
      <c r="I819" s="1145">
        <v>1957</v>
      </c>
      <c r="J819" s="415">
        <f>4071500-4071500</f>
        <v>0</v>
      </c>
      <c r="K819" s="437"/>
    </row>
    <row r="820" spans="1:11" x14ac:dyDescent="0.2">
      <c r="A820" s="349" t="s">
        <v>903</v>
      </c>
      <c r="B820" s="347" t="s">
        <v>295</v>
      </c>
      <c r="C820" s="1148"/>
      <c r="D820" s="1151"/>
      <c r="E820" s="436">
        <v>1</v>
      </c>
      <c r="F820" s="178"/>
      <c r="G820" s="602"/>
      <c r="H820" s="415">
        <v>50.3</v>
      </c>
      <c r="I820" s="1153"/>
      <c r="J820" s="415">
        <v>76322.606492006104</v>
      </c>
      <c r="K820" s="437"/>
    </row>
    <row r="821" spans="1:11" ht="15.75" customHeight="1" x14ac:dyDescent="0.2">
      <c r="A821" s="349" t="s">
        <v>904</v>
      </c>
      <c r="B821" s="347" t="s">
        <v>295</v>
      </c>
      <c r="C821" s="1148"/>
      <c r="D821" s="1151"/>
      <c r="E821" s="436">
        <v>19</v>
      </c>
      <c r="F821" s="178"/>
      <c r="G821" s="602"/>
      <c r="H821" s="415">
        <v>55.6</v>
      </c>
      <c r="I821" s="1153"/>
      <c r="J821" s="415">
        <v>84364.55111243618</v>
      </c>
      <c r="K821" s="437"/>
    </row>
    <row r="822" spans="1:11" ht="17.25" customHeight="1" x14ac:dyDescent="0.2">
      <c r="A822" s="349" t="s">
        <v>1451</v>
      </c>
      <c r="B822" s="347" t="s">
        <v>295</v>
      </c>
      <c r="C822" s="1148"/>
      <c r="D822" s="1151"/>
      <c r="E822" s="436">
        <v>31</v>
      </c>
      <c r="F822" s="178"/>
      <c r="G822" s="602"/>
      <c r="H822" s="415">
        <v>74.5</v>
      </c>
      <c r="I822" s="1153"/>
      <c r="J822" s="415">
        <v>113042.42909849811</v>
      </c>
      <c r="K822" s="437"/>
    </row>
    <row r="823" spans="1:11" ht="17.25" customHeight="1" x14ac:dyDescent="0.2">
      <c r="A823" s="188" t="s">
        <v>14413</v>
      </c>
      <c r="B823" s="350" t="s">
        <v>295</v>
      </c>
      <c r="C823" s="1149"/>
      <c r="D823" s="1152"/>
      <c r="E823" s="900">
        <v>15</v>
      </c>
      <c r="F823" s="431" t="s">
        <v>14414</v>
      </c>
      <c r="G823" s="350" t="s">
        <v>128</v>
      </c>
      <c r="H823" s="896">
        <v>51.3</v>
      </c>
      <c r="I823" s="1146"/>
      <c r="J823" s="896">
        <v>77839.95</v>
      </c>
      <c r="K823" s="231">
        <v>690959.7</v>
      </c>
    </row>
    <row r="824" spans="1:11" ht="24" customHeight="1" x14ac:dyDescent="0.2">
      <c r="A824" s="348" t="s">
        <v>905</v>
      </c>
      <c r="B824" s="347"/>
      <c r="C824" s="1147" t="s">
        <v>11169</v>
      </c>
      <c r="D824" s="1150">
        <v>6</v>
      </c>
      <c r="E824" s="436"/>
      <c r="F824" s="350" t="s">
        <v>6361</v>
      </c>
      <c r="G824" s="602"/>
      <c r="H824" s="415">
        <f>534.6-534.6</f>
        <v>0</v>
      </c>
      <c r="I824" s="1145">
        <v>1956</v>
      </c>
      <c r="J824" s="415">
        <f>906800-906800</f>
        <v>0</v>
      </c>
      <c r="K824" s="437"/>
    </row>
    <row r="825" spans="1:11" x14ac:dyDescent="0.2">
      <c r="A825" s="349" t="s">
        <v>6360</v>
      </c>
      <c r="B825" s="347" t="s">
        <v>295</v>
      </c>
      <c r="C825" s="1148"/>
      <c r="D825" s="1151"/>
      <c r="E825" s="436">
        <v>2</v>
      </c>
      <c r="F825" s="178" t="s">
        <v>10011</v>
      </c>
      <c r="G825" s="602"/>
      <c r="H825" s="415">
        <f>534.6-472.5</f>
        <v>62.100000000000023</v>
      </c>
      <c r="I825" s="1153"/>
      <c r="J825" s="415">
        <f>906800/534.6*62.1</f>
        <v>105335.35353535353</v>
      </c>
      <c r="K825" s="437"/>
    </row>
    <row r="826" spans="1:11" x14ac:dyDescent="0.2">
      <c r="A826" s="349" t="s">
        <v>7930</v>
      </c>
      <c r="B826" s="347" t="s">
        <v>295</v>
      </c>
      <c r="C826" s="1148"/>
      <c r="D826" s="1151"/>
      <c r="E826" s="436">
        <v>6</v>
      </c>
      <c r="F826" s="178" t="s">
        <v>7931</v>
      </c>
      <c r="G826" s="605" t="s">
        <v>512</v>
      </c>
      <c r="H826" s="415">
        <v>63.3</v>
      </c>
      <c r="I826" s="1153"/>
      <c r="J826" s="415">
        <v>1873047</v>
      </c>
      <c r="K826" s="437"/>
    </row>
    <row r="827" spans="1:11" x14ac:dyDescent="0.2">
      <c r="A827" s="349" t="s">
        <v>10734</v>
      </c>
      <c r="B827" s="347" t="s">
        <v>295</v>
      </c>
      <c r="C827" s="1149"/>
      <c r="D827" s="1152"/>
      <c r="E827" s="436">
        <v>3</v>
      </c>
      <c r="F827" s="178" t="s">
        <v>10735</v>
      </c>
      <c r="G827" s="602" t="s">
        <v>137</v>
      </c>
      <c r="H827" s="415">
        <v>78</v>
      </c>
      <c r="I827" s="1146"/>
      <c r="J827" s="415">
        <v>2598055.7999999998</v>
      </c>
      <c r="K827" s="437">
        <v>888554.94</v>
      </c>
    </row>
    <row r="828" spans="1:11" ht="12.75" customHeight="1" x14ac:dyDescent="0.2">
      <c r="A828" s="348" t="s">
        <v>906</v>
      </c>
      <c r="B828" s="347"/>
      <c r="C828" s="1157" t="s">
        <v>11170</v>
      </c>
      <c r="D828" s="1158">
        <v>9</v>
      </c>
      <c r="E828" s="436"/>
      <c r="F828" s="178"/>
      <c r="G828" s="602"/>
      <c r="H828" s="415">
        <f>539.2-539.2</f>
        <v>0</v>
      </c>
      <c r="I828" s="1159">
        <v>1950</v>
      </c>
      <c r="J828" s="415">
        <f>1117200-1117200</f>
        <v>0</v>
      </c>
      <c r="K828" s="437"/>
    </row>
    <row r="829" spans="1:11" x14ac:dyDescent="0.2">
      <c r="A829" s="349" t="s">
        <v>1452</v>
      </c>
      <c r="B829" s="347" t="s">
        <v>295</v>
      </c>
      <c r="C829" s="1157"/>
      <c r="D829" s="1158"/>
      <c r="E829" s="436">
        <v>9</v>
      </c>
      <c r="F829" s="178"/>
      <c r="G829" s="602"/>
      <c r="H829" s="415">
        <v>62.8</v>
      </c>
      <c r="I829" s="1159"/>
      <c r="J829" s="415">
        <v>130118.99109792284</v>
      </c>
      <c r="K829" s="437"/>
    </row>
    <row r="830" spans="1:11" x14ac:dyDescent="0.2">
      <c r="A830" s="349" t="s">
        <v>1453</v>
      </c>
      <c r="B830" s="347" t="s">
        <v>295</v>
      </c>
      <c r="C830" s="1157"/>
      <c r="D830" s="1158"/>
      <c r="E830" s="436">
        <v>11</v>
      </c>
      <c r="F830" s="178"/>
      <c r="G830" s="602"/>
      <c r="H830" s="415">
        <v>19.5</v>
      </c>
      <c r="I830" s="1159"/>
      <c r="J830" s="415">
        <v>40403.189910979228</v>
      </c>
      <c r="K830" s="437"/>
    </row>
    <row r="831" spans="1:11" ht="12.75" customHeight="1" x14ac:dyDescent="0.2">
      <c r="A831" s="348" t="s">
        <v>907</v>
      </c>
      <c r="B831" s="347"/>
      <c r="C831" s="1157" t="s">
        <v>11171</v>
      </c>
      <c r="D831" s="1158">
        <v>10</v>
      </c>
      <c r="E831" s="436"/>
      <c r="F831" s="178"/>
      <c r="G831" s="602"/>
      <c r="H831" s="415">
        <f>183.4-183.4</f>
        <v>0</v>
      </c>
      <c r="I831" s="1159">
        <v>1953</v>
      </c>
      <c r="J831" s="415">
        <f>344900-344900</f>
        <v>0</v>
      </c>
      <c r="K831" s="437"/>
    </row>
    <row r="832" spans="1:11" x14ac:dyDescent="0.2">
      <c r="A832" s="349" t="s">
        <v>908</v>
      </c>
      <c r="B832" s="347" t="s">
        <v>295</v>
      </c>
      <c r="C832" s="1157"/>
      <c r="D832" s="1158"/>
      <c r="E832" s="436">
        <v>1</v>
      </c>
      <c r="F832" s="178"/>
      <c r="G832" s="602"/>
      <c r="H832" s="415">
        <v>62.8</v>
      </c>
      <c r="I832" s="1159"/>
      <c r="J832" s="415">
        <v>118100.98146128679</v>
      </c>
      <c r="K832" s="437"/>
    </row>
    <row r="833" spans="1:11" ht="12.75" customHeight="1" x14ac:dyDescent="0.2">
      <c r="A833" s="349" t="s">
        <v>909</v>
      </c>
      <c r="B833" s="347" t="s">
        <v>295</v>
      </c>
      <c r="C833" s="1157"/>
      <c r="D833" s="1158"/>
      <c r="E833" s="436">
        <v>2</v>
      </c>
      <c r="F833" s="178"/>
      <c r="G833" s="602"/>
      <c r="H833" s="415">
        <v>92</v>
      </c>
      <c r="I833" s="1159"/>
      <c r="J833" s="415">
        <v>173014.17666303163</v>
      </c>
      <c r="K833" s="437"/>
    </row>
    <row r="834" spans="1:11" ht="14.25" customHeight="1" x14ac:dyDescent="0.2">
      <c r="A834" s="419" t="s">
        <v>13332</v>
      </c>
      <c r="B834" s="347"/>
      <c r="C834" s="1147" t="s">
        <v>11172</v>
      </c>
      <c r="D834" s="1150">
        <v>12</v>
      </c>
      <c r="E834" s="436"/>
      <c r="F834" s="38" t="s">
        <v>13333</v>
      </c>
      <c r="G834" s="347"/>
      <c r="H834" s="415">
        <f>544.8-544.8</f>
        <v>0</v>
      </c>
      <c r="I834" s="1145">
        <v>1951</v>
      </c>
      <c r="J834" s="415">
        <f>1419100-1419100</f>
        <v>0</v>
      </c>
      <c r="K834" s="437"/>
    </row>
    <row r="835" spans="1:11" ht="15" customHeight="1" x14ac:dyDescent="0.2">
      <c r="A835" s="349" t="s">
        <v>10909</v>
      </c>
      <c r="B835" s="347" t="s">
        <v>295</v>
      </c>
      <c r="C835" s="1148"/>
      <c r="D835" s="1151"/>
      <c r="E835" s="436">
        <v>5</v>
      </c>
      <c r="F835" s="38" t="s">
        <v>10910</v>
      </c>
      <c r="G835" s="602" t="s">
        <v>512</v>
      </c>
      <c r="H835" s="415">
        <v>43.3</v>
      </c>
      <c r="I835" s="1153"/>
      <c r="J835" s="415">
        <v>1103000</v>
      </c>
      <c r="K835" s="437">
        <v>546635.65</v>
      </c>
    </row>
    <row r="836" spans="1:11" ht="14.25" customHeight="1" x14ac:dyDescent="0.2">
      <c r="A836" s="349" t="s">
        <v>13334</v>
      </c>
      <c r="B836" s="347" t="s">
        <v>295</v>
      </c>
      <c r="C836" s="1148"/>
      <c r="D836" s="1151"/>
      <c r="E836" s="436">
        <v>8</v>
      </c>
      <c r="F836" s="178" t="s">
        <v>13336</v>
      </c>
      <c r="G836" s="347" t="s">
        <v>512</v>
      </c>
      <c r="H836" s="415">
        <v>43.6</v>
      </c>
      <c r="I836" s="1153"/>
      <c r="J836" s="415">
        <v>3183000</v>
      </c>
      <c r="K836" s="437">
        <v>559320.42000000004</v>
      </c>
    </row>
    <row r="837" spans="1:11" ht="14.25" customHeight="1" x14ac:dyDescent="0.2">
      <c r="A837" s="349" t="s">
        <v>13335</v>
      </c>
      <c r="B837" s="347" t="s">
        <v>295</v>
      </c>
      <c r="C837" s="1148"/>
      <c r="D837" s="1151"/>
      <c r="E837" s="436">
        <v>1</v>
      </c>
      <c r="F837" s="178" t="s">
        <v>13337</v>
      </c>
      <c r="G837" s="347" t="s">
        <v>137</v>
      </c>
      <c r="H837" s="415">
        <v>44.1</v>
      </c>
      <c r="I837" s="1153"/>
      <c r="J837" s="415">
        <v>3209000</v>
      </c>
      <c r="K837" s="437">
        <v>565734.65</v>
      </c>
    </row>
    <row r="838" spans="1:11" ht="13.5" customHeight="1" x14ac:dyDescent="0.2">
      <c r="A838" s="834" t="s">
        <v>14090</v>
      </c>
      <c r="B838" s="833" t="s">
        <v>295</v>
      </c>
      <c r="C838" s="1148"/>
      <c r="D838" s="1151"/>
      <c r="E838" s="436">
        <v>4</v>
      </c>
      <c r="F838" s="178" t="s">
        <v>14092</v>
      </c>
      <c r="G838" s="833" t="s">
        <v>137</v>
      </c>
      <c r="H838" s="837">
        <v>44.1</v>
      </c>
      <c r="I838" s="1153"/>
      <c r="J838" s="837">
        <v>3917000</v>
      </c>
      <c r="K838" s="437">
        <v>565734.65</v>
      </c>
    </row>
    <row r="839" spans="1:11" ht="14.25" customHeight="1" x14ac:dyDescent="0.2">
      <c r="A839" s="834" t="s">
        <v>14091</v>
      </c>
      <c r="B839" s="833" t="s">
        <v>295</v>
      </c>
      <c r="C839" s="1149"/>
      <c r="D839" s="1152"/>
      <c r="E839" s="436">
        <v>6</v>
      </c>
      <c r="F839" s="178" t="s">
        <v>14093</v>
      </c>
      <c r="G839" s="833" t="s">
        <v>137</v>
      </c>
      <c r="H839" s="837">
        <v>43.6</v>
      </c>
      <c r="I839" s="1146"/>
      <c r="J839" s="837">
        <v>4000000</v>
      </c>
      <c r="K839" s="437">
        <v>541525.94999999995</v>
      </c>
    </row>
    <row r="840" spans="1:11" ht="12.75" customHeight="1" x14ac:dyDescent="0.2">
      <c r="A840" s="348" t="s">
        <v>910</v>
      </c>
      <c r="B840" s="347"/>
      <c r="C840" s="1147" t="s">
        <v>11173</v>
      </c>
      <c r="D840" s="1150">
        <v>17</v>
      </c>
      <c r="E840" s="436"/>
      <c r="F840" s="178" t="s">
        <v>338</v>
      </c>
      <c r="G840" s="602"/>
      <c r="H840" s="415">
        <f>177.6-177.6</f>
        <v>0</v>
      </c>
      <c r="I840" s="1145">
        <v>1952</v>
      </c>
      <c r="J840" s="415">
        <f>323200-323200</f>
        <v>0</v>
      </c>
      <c r="K840" s="437">
        <v>1526164.75</v>
      </c>
    </row>
    <row r="841" spans="1:11" x14ac:dyDescent="0.2">
      <c r="A841" s="349" t="s">
        <v>4072</v>
      </c>
      <c r="B841" s="347" t="s">
        <v>295</v>
      </c>
      <c r="C841" s="1148"/>
      <c r="D841" s="1151"/>
      <c r="E841" s="436">
        <v>1</v>
      </c>
      <c r="F841" s="178" t="s">
        <v>4074</v>
      </c>
      <c r="G841" s="602"/>
      <c r="H841" s="415">
        <v>95.6</v>
      </c>
      <c r="I841" s="1153"/>
      <c r="J841" s="415">
        <f>323200/177.6*H841</f>
        <v>173974.77477477476</v>
      </c>
      <c r="K841" s="437">
        <v>990720.96</v>
      </c>
    </row>
    <row r="842" spans="1:11" ht="12.75" customHeight="1" x14ac:dyDescent="0.2">
      <c r="A842" s="349" t="s">
        <v>4073</v>
      </c>
      <c r="B842" s="347" t="s">
        <v>295</v>
      </c>
      <c r="C842" s="1149"/>
      <c r="D842" s="1152"/>
      <c r="E842" s="436">
        <v>2</v>
      </c>
      <c r="F842" s="178" t="s">
        <v>4075</v>
      </c>
      <c r="G842" s="602"/>
      <c r="H842" s="415">
        <v>81.900000000000006</v>
      </c>
      <c r="I842" s="1146"/>
      <c r="J842" s="415">
        <f>323200/177.6*H842</f>
        <v>149043.24324324325</v>
      </c>
      <c r="K842" s="437">
        <v>848745.26</v>
      </c>
    </row>
    <row r="843" spans="1:11" ht="12.75" customHeight="1" x14ac:dyDescent="0.2">
      <c r="A843" s="348" t="s">
        <v>911</v>
      </c>
      <c r="B843" s="347"/>
      <c r="C843" s="1147" t="s">
        <v>11174</v>
      </c>
      <c r="D843" s="1150">
        <v>1</v>
      </c>
      <c r="E843" s="436"/>
      <c r="F843" s="178"/>
      <c r="G843" s="602"/>
      <c r="H843" s="415">
        <f>1353.4-1353.4</f>
        <v>0</v>
      </c>
      <c r="I843" s="1145">
        <v>1959</v>
      </c>
      <c r="J843" s="415">
        <f>2783700-2783700</f>
        <v>0</v>
      </c>
      <c r="K843" s="437"/>
    </row>
    <row r="844" spans="1:11" ht="12.75" customHeight="1" x14ac:dyDescent="0.2">
      <c r="A844" s="349" t="s">
        <v>1454</v>
      </c>
      <c r="B844" s="347" t="s">
        <v>295</v>
      </c>
      <c r="C844" s="1148"/>
      <c r="D844" s="1151"/>
      <c r="E844" s="436">
        <v>14</v>
      </c>
      <c r="F844" s="178" t="s">
        <v>340</v>
      </c>
      <c r="G844" s="602"/>
      <c r="H844" s="415">
        <v>60</v>
      </c>
      <c r="I844" s="1153"/>
      <c r="J844" s="415">
        <v>123409.1916654352</v>
      </c>
      <c r="K844" s="437">
        <v>621791.4</v>
      </c>
    </row>
    <row r="845" spans="1:11" x14ac:dyDescent="0.2">
      <c r="A845" s="349" t="s">
        <v>1455</v>
      </c>
      <c r="B845" s="347" t="s">
        <v>295</v>
      </c>
      <c r="C845" s="1148"/>
      <c r="D845" s="1151"/>
      <c r="E845" s="436">
        <v>15</v>
      </c>
      <c r="F845" s="178" t="s">
        <v>341</v>
      </c>
      <c r="G845" s="602"/>
      <c r="H845" s="415">
        <v>75.8</v>
      </c>
      <c r="I845" s="1153"/>
      <c r="J845" s="415">
        <v>155906.94547066645</v>
      </c>
      <c r="K845" s="437">
        <v>785529.8</v>
      </c>
    </row>
    <row r="846" spans="1:11" x14ac:dyDescent="0.2">
      <c r="A846" s="349" t="s">
        <v>1456</v>
      </c>
      <c r="B846" s="347" t="s">
        <v>295</v>
      </c>
      <c r="C846" s="1148"/>
      <c r="D846" s="1151"/>
      <c r="E846" s="436">
        <v>16</v>
      </c>
      <c r="F846" s="178" t="s">
        <v>342</v>
      </c>
      <c r="G846" s="602"/>
      <c r="H846" s="415">
        <v>37.9</v>
      </c>
      <c r="I846" s="1153"/>
      <c r="J846" s="415">
        <v>77953.472735333227</v>
      </c>
      <c r="K846" s="437">
        <v>392764.9</v>
      </c>
    </row>
    <row r="847" spans="1:11" ht="12.75" customHeight="1" x14ac:dyDescent="0.2">
      <c r="A847" s="349" t="s">
        <v>1457</v>
      </c>
      <c r="B847" s="347" t="s">
        <v>295</v>
      </c>
      <c r="C847" s="1148"/>
      <c r="D847" s="1151"/>
      <c r="E847" s="436">
        <v>17</v>
      </c>
      <c r="F847" s="178" t="s">
        <v>343</v>
      </c>
      <c r="G847" s="602"/>
      <c r="H847" s="415">
        <v>98.5</v>
      </c>
      <c r="I847" s="1153"/>
      <c r="J847" s="415">
        <v>202596.75631742278</v>
      </c>
      <c r="K847" s="437">
        <v>1020774.22</v>
      </c>
    </row>
    <row r="848" spans="1:11" x14ac:dyDescent="0.2">
      <c r="A848" s="349" t="s">
        <v>1458</v>
      </c>
      <c r="B848" s="347" t="s">
        <v>295</v>
      </c>
      <c r="C848" s="1148"/>
      <c r="D848" s="1151"/>
      <c r="E848" s="436">
        <v>3</v>
      </c>
      <c r="F848" s="178" t="s">
        <v>344</v>
      </c>
      <c r="G848" s="602"/>
      <c r="H848" s="415">
        <v>64.900000000000006</v>
      </c>
      <c r="I848" s="1153"/>
      <c r="J848" s="415">
        <v>133487.60898477907</v>
      </c>
      <c r="K848" s="437">
        <v>672571.03</v>
      </c>
    </row>
    <row r="849" spans="1:11" x14ac:dyDescent="0.2">
      <c r="A849" s="349" t="s">
        <v>1459</v>
      </c>
      <c r="B849" s="347" t="s">
        <v>295</v>
      </c>
      <c r="C849" s="1148"/>
      <c r="D849" s="1151"/>
      <c r="E849" s="436">
        <v>4</v>
      </c>
      <c r="F849" s="178" t="s">
        <v>345</v>
      </c>
      <c r="G849" s="602"/>
      <c r="H849" s="415">
        <v>79</v>
      </c>
      <c r="I849" s="1153"/>
      <c r="J849" s="415">
        <v>162488.76902615634</v>
      </c>
      <c r="K849" s="437">
        <v>818692.01</v>
      </c>
    </row>
    <row r="850" spans="1:11" x14ac:dyDescent="0.2">
      <c r="A850" s="349" t="s">
        <v>1460</v>
      </c>
      <c r="B850" s="347" t="s">
        <v>295</v>
      </c>
      <c r="C850" s="1148"/>
      <c r="D850" s="1151"/>
      <c r="E850" s="436">
        <v>5</v>
      </c>
      <c r="F850" s="178" t="s">
        <v>346</v>
      </c>
      <c r="G850" s="602"/>
      <c r="H850" s="415">
        <v>85.6</v>
      </c>
      <c r="I850" s="1153"/>
      <c r="J850" s="415">
        <v>176063.78010935421</v>
      </c>
      <c r="K850" s="437">
        <v>887089.06</v>
      </c>
    </row>
    <row r="851" spans="1:11" x14ac:dyDescent="0.2">
      <c r="A851" s="349" t="s">
        <v>1461</v>
      </c>
      <c r="B851" s="347" t="s">
        <v>295</v>
      </c>
      <c r="C851" s="1148"/>
      <c r="D851" s="1151"/>
      <c r="E851" s="436">
        <v>6</v>
      </c>
      <c r="F851" s="178" t="s">
        <v>347</v>
      </c>
      <c r="G851" s="602"/>
      <c r="H851" s="415">
        <v>64.2</v>
      </c>
      <c r="I851" s="1153"/>
      <c r="J851" s="415">
        <v>132047.83508201566</v>
      </c>
      <c r="K851" s="437">
        <v>665316.80000000005</v>
      </c>
    </row>
    <row r="852" spans="1:11" x14ac:dyDescent="0.2">
      <c r="A852" s="349" t="s">
        <v>1462</v>
      </c>
      <c r="B852" s="347" t="s">
        <v>295</v>
      </c>
      <c r="C852" s="1148"/>
      <c r="D852" s="1151"/>
      <c r="E852" s="436">
        <v>7</v>
      </c>
      <c r="F852" s="178" t="s">
        <v>348</v>
      </c>
      <c r="G852" s="602"/>
      <c r="H852" s="415">
        <v>80.5</v>
      </c>
      <c r="I852" s="1153"/>
      <c r="J852" s="415">
        <v>165573.99881779222</v>
      </c>
      <c r="K852" s="437">
        <v>834236.8</v>
      </c>
    </row>
    <row r="853" spans="1:11" x14ac:dyDescent="0.2">
      <c r="A853" s="349" t="s">
        <v>1463</v>
      </c>
      <c r="B853" s="347" t="s">
        <v>295</v>
      </c>
      <c r="C853" s="1148"/>
      <c r="D853" s="1151"/>
      <c r="E853" s="436">
        <v>8</v>
      </c>
      <c r="F853" s="178" t="s">
        <v>349</v>
      </c>
      <c r="G853" s="602"/>
      <c r="H853" s="415">
        <v>63.7</v>
      </c>
      <c r="I853" s="1153"/>
      <c r="J853" s="415">
        <v>131019.42515147036</v>
      </c>
      <c r="K853" s="437">
        <f>879834.83/84.9*63.7</f>
        <v>660135.20224970556</v>
      </c>
    </row>
    <row r="854" spans="1:11" x14ac:dyDescent="0.2">
      <c r="A854" s="349" t="s">
        <v>1464</v>
      </c>
      <c r="B854" s="347" t="s">
        <v>295</v>
      </c>
      <c r="C854" s="1148"/>
      <c r="D854" s="1151"/>
      <c r="E854" s="425" t="s">
        <v>339</v>
      </c>
      <c r="F854" s="178" t="s">
        <v>349</v>
      </c>
      <c r="G854" s="602"/>
      <c r="H854" s="415">
        <v>21.2</v>
      </c>
      <c r="I854" s="1153"/>
      <c r="J854" s="415">
        <v>43604.581055120434</v>
      </c>
      <c r="K854" s="437">
        <f>879834.83/84.9*21.2</f>
        <v>219699.62775029446</v>
      </c>
    </row>
    <row r="855" spans="1:11" ht="12.75" customHeight="1" x14ac:dyDescent="0.2">
      <c r="A855" s="349" t="s">
        <v>1465</v>
      </c>
      <c r="B855" s="347" t="s">
        <v>295</v>
      </c>
      <c r="C855" s="1148"/>
      <c r="D855" s="1151"/>
      <c r="E855" s="436">
        <v>9</v>
      </c>
      <c r="F855" s="178"/>
      <c r="G855" s="602"/>
      <c r="H855" s="415">
        <v>84.4</v>
      </c>
      <c r="I855" s="1153"/>
      <c r="J855" s="415">
        <v>173595.59627604551</v>
      </c>
      <c r="K855" s="437"/>
    </row>
    <row r="856" spans="1:11" x14ac:dyDescent="0.2">
      <c r="A856" s="349" t="s">
        <v>12167</v>
      </c>
      <c r="B856" s="347" t="s">
        <v>295</v>
      </c>
      <c r="C856" s="1148"/>
      <c r="D856" s="1151"/>
      <c r="E856" s="436">
        <v>10</v>
      </c>
      <c r="F856" s="178" t="s">
        <v>12168</v>
      </c>
      <c r="G856" s="633" t="s">
        <v>137</v>
      </c>
      <c r="H856" s="415">
        <v>80</v>
      </c>
      <c r="I856" s="1153"/>
      <c r="J856" s="415">
        <v>2832000</v>
      </c>
      <c r="K856" s="437">
        <v>829055.2</v>
      </c>
    </row>
    <row r="857" spans="1:11" x14ac:dyDescent="0.2">
      <c r="A857" s="349" t="s">
        <v>12169</v>
      </c>
      <c r="B857" s="347" t="s">
        <v>295</v>
      </c>
      <c r="C857" s="1148"/>
      <c r="D857" s="1151"/>
      <c r="E857" s="436">
        <v>1</v>
      </c>
      <c r="F857" s="178" t="s">
        <v>12170</v>
      </c>
      <c r="G857" s="633" t="s">
        <v>137</v>
      </c>
      <c r="H857" s="415">
        <v>54.9</v>
      </c>
      <c r="I857" s="1153"/>
      <c r="J857" s="415">
        <v>2039000</v>
      </c>
      <c r="K857" s="437">
        <v>568939.13</v>
      </c>
    </row>
    <row r="858" spans="1:11" x14ac:dyDescent="0.2">
      <c r="A858" s="349" t="s">
        <v>12171</v>
      </c>
      <c r="B858" s="347" t="s">
        <v>295</v>
      </c>
      <c r="C858" s="1148"/>
      <c r="D858" s="1151"/>
      <c r="E858" s="436">
        <v>18</v>
      </c>
      <c r="F858" s="178" t="s">
        <v>12172</v>
      </c>
      <c r="G858" s="633" t="s">
        <v>12173</v>
      </c>
      <c r="H858" s="415">
        <v>62.7</v>
      </c>
      <c r="I858" s="1153"/>
      <c r="J858" s="415">
        <v>2298000</v>
      </c>
      <c r="K858" s="437">
        <v>649772.01</v>
      </c>
    </row>
    <row r="859" spans="1:11" x14ac:dyDescent="0.2">
      <c r="A859" s="834" t="s">
        <v>14086</v>
      </c>
      <c r="B859" s="833" t="s">
        <v>295</v>
      </c>
      <c r="C859" s="1148"/>
      <c r="D859" s="1151"/>
      <c r="E859" s="436">
        <v>2</v>
      </c>
      <c r="F859" s="178" t="s">
        <v>14089</v>
      </c>
      <c r="G859" s="838" t="s">
        <v>137</v>
      </c>
      <c r="H859" s="837">
        <v>66.8</v>
      </c>
      <c r="I859" s="1153"/>
      <c r="J859" s="837">
        <v>2315000</v>
      </c>
      <c r="K859" s="437">
        <v>692261.09</v>
      </c>
    </row>
    <row r="860" spans="1:11" x14ac:dyDescent="0.2">
      <c r="A860" s="834" t="s">
        <v>14087</v>
      </c>
      <c r="B860" s="833" t="s">
        <v>295</v>
      </c>
      <c r="C860" s="1148"/>
      <c r="D860" s="1151"/>
      <c r="E860" s="436">
        <v>11</v>
      </c>
      <c r="F860" s="178" t="s">
        <v>14088</v>
      </c>
      <c r="G860" s="838" t="s">
        <v>137</v>
      </c>
      <c r="H860" s="837">
        <v>62.3</v>
      </c>
      <c r="I860" s="1153"/>
      <c r="J860" s="837">
        <v>5626349</v>
      </c>
      <c r="K860" s="437">
        <v>645626.74</v>
      </c>
    </row>
    <row r="861" spans="1:11" x14ac:dyDescent="0.2">
      <c r="A861" s="863" t="s">
        <v>14378</v>
      </c>
      <c r="B861" s="833" t="s">
        <v>295</v>
      </c>
      <c r="C861" s="1149"/>
      <c r="D861" s="1152"/>
      <c r="E861" s="889">
        <v>13</v>
      </c>
      <c r="F861" s="869" t="s">
        <v>14379</v>
      </c>
      <c r="G861" s="869" t="s">
        <v>512</v>
      </c>
      <c r="H861" s="870">
        <v>81</v>
      </c>
      <c r="I861" s="1146"/>
      <c r="J861" s="870">
        <v>7535234</v>
      </c>
      <c r="K861" s="872">
        <v>839418.39</v>
      </c>
    </row>
    <row r="862" spans="1:11" ht="12.75" customHeight="1" x14ac:dyDescent="0.2">
      <c r="A862" s="348" t="s">
        <v>912</v>
      </c>
      <c r="B862" s="347"/>
      <c r="C862" s="1147" t="s">
        <v>11175</v>
      </c>
      <c r="D862" s="1150">
        <v>10</v>
      </c>
      <c r="E862" s="436"/>
      <c r="F862" s="178"/>
      <c r="G862" s="602"/>
      <c r="H862" s="415">
        <f>825.4-825.4</f>
        <v>0</v>
      </c>
      <c r="I862" s="1145">
        <v>1958</v>
      </c>
      <c r="J862" s="415">
        <f>1572300-1572300</f>
        <v>0</v>
      </c>
      <c r="K862" s="437"/>
    </row>
    <row r="863" spans="1:11" ht="12.75" customHeight="1" x14ac:dyDescent="0.2">
      <c r="A863" s="349" t="s">
        <v>1466</v>
      </c>
      <c r="B863" s="347" t="s">
        <v>295</v>
      </c>
      <c r="C863" s="1148"/>
      <c r="D863" s="1151"/>
      <c r="E863" s="436">
        <v>14</v>
      </c>
      <c r="F863" s="178"/>
      <c r="G863" s="602"/>
      <c r="H863" s="415">
        <v>70.25</v>
      </c>
      <c r="I863" s="1153"/>
      <c r="J863" s="415">
        <v>133818.8454082869</v>
      </c>
      <c r="K863" s="437"/>
    </row>
    <row r="864" spans="1:11" x14ac:dyDescent="0.2">
      <c r="A864" s="349" t="s">
        <v>1467</v>
      </c>
      <c r="B864" s="347" t="s">
        <v>295</v>
      </c>
      <c r="C864" s="1148"/>
      <c r="D864" s="1151"/>
      <c r="E864" s="425" t="s">
        <v>350</v>
      </c>
      <c r="F864" s="178"/>
      <c r="G864" s="602"/>
      <c r="H864" s="415">
        <v>14.05</v>
      </c>
      <c r="I864" s="1153"/>
      <c r="J864" s="415">
        <v>26763.769081657381</v>
      </c>
      <c r="K864" s="437"/>
    </row>
    <row r="865" spans="1:11" x14ac:dyDescent="0.2">
      <c r="A865" s="349" t="s">
        <v>3334</v>
      </c>
      <c r="B865" s="347" t="s">
        <v>295</v>
      </c>
      <c r="C865" s="1149"/>
      <c r="D865" s="1152"/>
      <c r="E865" s="425">
        <v>9</v>
      </c>
      <c r="F865" s="178" t="s">
        <v>3335</v>
      </c>
      <c r="G865" s="602" t="s">
        <v>137</v>
      </c>
      <c r="H865" s="415">
        <v>63.8</v>
      </c>
      <c r="I865" s="1146"/>
      <c r="J865" s="415">
        <v>1253000</v>
      </c>
      <c r="K865" s="437">
        <v>806020.49</v>
      </c>
    </row>
    <row r="866" spans="1:11" ht="39" customHeight="1" x14ac:dyDescent="0.2">
      <c r="A866" s="348" t="s">
        <v>913</v>
      </c>
      <c r="B866" s="347" t="s">
        <v>295</v>
      </c>
      <c r="C866" s="405" t="s">
        <v>11176</v>
      </c>
      <c r="D866" s="537">
        <v>2</v>
      </c>
      <c r="E866" s="436">
        <v>1</v>
      </c>
      <c r="F866" s="178" t="s">
        <v>10012</v>
      </c>
      <c r="G866" s="602"/>
      <c r="H866" s="415">
        <f>147.6-80.9</f>
        <v>66.699999999999989</v>
      </c>
      <c r="I866" s="536">
        <v>1991</v>
      </c>
      <c r="J866" s="415">
        <f>902800/147.6*75.3</f>
        <v>460574.79674796748</v>
      </c>
      <c r="K866" s="437">
        <v>776141.21</v>
      </c>
    </row>
    <row r="867" spans="1:11" ht="38.25" x14ac:dyDescent="0.2">
      <c r="A867" s="348" t="s">
        <v>914</v>
      </c>
      <c r="B867" s="347" t="s">
        <v>295</v>
      </c>
      <c r="C867" s="405" t="s">
        <v>11177</v>
      </c>
      <c r="D867" s="537">
        <v>5</v>
      </c>
      <c r="E867" s="436">
        <v>1</v>
      </c>
      <c r="F867" s="178" t="s">
        <v>263</v>
      </c>
      <c r="G867" s="602" t="s">
        <v>264</v>
      </c>
      <c r="H867" s="415">
        <f>228.5-113.6</f>
        <v>114.9</v>
      </c>
      <c r="I867" s="536">
        <v>1992</v>
      </c>
      <c r="J867" s="415">
        <f>105100/228.5*114.9</f>
        <v>52848.971553610507</v>
      </c>
      <c r="K867" s="437">
        <v>1317427.31</v>
      </c>
    </row>
    <row r="868" spans="1:11" ht="38.25" x14ac:dyDescent="0.2">
      <c r="A868" s="348" t="s">
        <v>915</v>
      </c>
      <c r="B868" s="347" t="s">
        <v>295</v>
      </c>
      <c r="C868" s="405" t="s">
        <v>11178</v>
      </c>
      <c r="D868" s="537">
        <v>1</v>
      </c>
      <c r="E868" s="436">
        <v>2</v>
      </c>
      <c r="F868" s="178" t="s">
        <v>10013</v>
      </c>
      <c r="G868" s="602"/>
      <c r="H868" s="415">
        <f>132.4-68.1</f>
        <v>64.300000000000011</v>
      </c>
      <c r="I868" s="536">
        <v>1954</v>
      </c>
      <c r="J868" s="415">
        <f>236000/132.4*64.3</f>
        <v>114613.29305135951</v>
      </c>
      <c r="K868" s="437">
        <f>1054845.36-705733.24</f>
        <v>349112.12000000011</v>
      </c>
    </row>
    <row r="869" spans="1:11" ht="37.5" customHeight="1" x14ac:dyDescent="0.2">
      <c r="A869" s="348" t="s">
        <v>916</v>
      </c>
      <c r="B869" s="347" t="s">
        <v>295</v>
      </c>
      <c r="C869" s="405" t="s">
        <v>11179</v>
      </c>
      <c r="D869" s="537">
        <v>5</v>
      </c>
      <c r="E869" s="436">
        <v>2</v>
      </c>
      <c r="F869" s="178" t="s">
        <v>265</v>
      </c>
      <c r="G869" s="602"/>
      <c r="H869" s="415">
        <f>133.9-69</f>
        <v>64.900000000000006</v>
      </c>
      <c r="I869" s="536">
        <v>1951</v>
      </c>
      <c r="J869" s="415">
        <f>236200/133.9*64.9</f>
        <v>114483.7938760269</v>
      </c>
      <c r="K869" s="437">
        <v>672571.03</v>
      </c>
    </row>
    <row r="870" spans="1:11" ht="12.75" customHeight="1" x14ac:dyDescent="0.2">
      <c r="A870" s="348" t="s">
        <v>917</v>
      </c>
      <c r="B870" s="347"/>
      <c r="C870" s="1147" t="s">
        <v>11180</v>
      </c>
      <c r="D870" s="1150">
        <v>6</v>
      </c>
      <c r="E870" s="436"/>
      <c r="F870" s="178" t="s">
        <v>266</v>
      </c>
      <c r="G870" s="602"/>
      <c r="H870" s="415">
        <f>115-115</f>
        <v>0</v>
      </c>
      <c r="I870" s="1145">
        <v>1954</v>
      </c>
      <c r="J870" s="415">
        <f>236160-236160</f>
        <v>0</v>
      </c>
      <c r="K870" s="437">
        <v>916217.65</v>
      </c>
    </row>
    <row r="871" spans="1:11" ht="38.25" customHeight="1" x14ac:dyDescent="0.2">
      <c r="A871" s="349" t="s">
        <v>8135</v>
      </c>
      <c r="B871" s="347" t="s">
        <v>295</v>
      </c>
      <c r="C871" s="1148"/>
      <c r="D871" s="1151"/>
      <c r="E871" s="436">
        <v>1</v>
      </c>
      <c r="F871" s="178" t="s">
        <v>8136</v>
      </c>
      <c r="G871" s="602"/>
      <c r="H871" s="415">
        <v>59.1</v>
      </c>
      <c r="I871" s="1153"/>
      <c r="J871" s="415">
        <f>236160/115*H871</f>
        <v>121365.7043478261</v>
      </c>
      <c r="K871" s="437">
        <v>612464.53</v>
      </c>
    </row>
    <row r="872" spans="1:11" ht="39.75" customHeight="1" x14ac:dyDescent="0.2">
      <c r="A872" s="419" t="s">
        <v>918</v>
      </c>
      <c r="B872" s="420" t="s">
        <v>307</v>
      </c>
      <c r="C872" s="1147" t="s">
        <v>12674</v>
      </c>
      <c r="D872" s="1150">
        <v>8</v>
      </c>
      <c r="E872" s="436"/>
      <c r="F872" s="178" t="s">
        <v>267</v>
      </c>
      <c r="G872" s="633" t="s">
        <v>137</v>
      </c>
      <c r="H872" s="415">
        <f>122.8-27.4</f>
        <v>95.4</v>
      </c>
      <c r="I872" s="1145">
        <v>1954</v>
      </c>
      <c r="J872" s="415">
        <f>242.6*1000-J873</f>
        <v>188469.38110749185</v>
      </c>
      <c r="K872" s="437">
        <v>978361.11</v>
      </c>
    </row>
    <row r="873" spans="1:11" ht="39.75" customHeight="1" x14ac:dyDescent="0.2">
      <c r="A873" s="452" t="s">
        <v>12399</v>
      </c>
      <c r="B873" s="420" t="s">
        <v>295</v>
      </c>
      <c r="C873" s="1148"/>
      <c r="D873" s="1151"/>
      <c r="E873" s="436">
        <v>2</v>
      </c>
      <c r="F873" s="178" t="s">
        <v>12400</v>
      </c>
      <c r="G873" s="633" t="s">
        <v>137</v>
      </c>
      <c r="H873" s="415">
        <v>27.4</v>
      </c>
      <c r="I873" s="1153"/>
      <c r="J873" s="415">
        <f>242600/122.8*27.4</f>
        <v>54130.618892508137</v>
      </c>
      <c r="K873" s="437">
        <v>283951.40999999997</v>
      </c>
    </row>
    <row r="874" spans="1:11" ht="38.25" x14ac:dyDescent="0.2">
      <c r="A874" s="348" t="s">
        <v>919</v>
      </c>
      <c r="B874" s="347" t="s">
        <v>295</v>
      </c>
      <c r="C874" s="405" t="s">
        <v>11181</v>
      </c>
      <c r="D874" s="537">
        <v>10</v>
      </c>
      <c r="E874" s="436">
        <v>2</v>
      </c>
      <c r="F874" s="178" t="s">
        <v>10014</v>
      </c>
      <c r="G874" s="602"/>
      <c r="H874" s="415">
        <f>89.7-44.8</f>
        <v>44.900000000000006</v>
      </c>
      <c r="I874" s="536">
        <v>1955</v>
      </c>
      <c r="J874" s="415">
        <f>242600/89.7*44.9</f>
        <v>121435.22853957636</v>
      </c>
      <c r="K874" s="437">
        <f>714649.77-464270.91</f>
        <v>250378.86000000004</v>
      </c>
    </row>
    <row r="875" spans="1:11" ht="38.25" x14ac:dyDescent="0.2">
      <c r="A875" s="348" t="s">
        <v>920</v>
      </c>
      <c r="B875" s="347" t="s">
        <v>295</v>
      </c>
      <c r="C875" s="405" t="s">
        <v>11182</v>
      </c>
      <c r="D875" s="537">
        <v>12</v>
      </c>
      <c r="E875" s="436">
        <v>1</v>
      </c>
      <c r="F875" s="178" t="s">
        <v>10015</v>
      </c>
      <c r="G875" s="602"/>
      <c r="H875" s="415">
        <f>97.2-48.2</f>
        <v>49</v>
      </c>
      <c r="I875" s="536">
        <v>1950</v>
      </c>
      <c r="J875" s="415">
        <f>200100/97.2*49</f>
        <v>100873.45679012345</v>
      </c>
      <c r="K875" s="437">
        <f>774403.09-499505.76</f>
        <v>274897.32999999996</v>
      </c>
    </row>
    <row r="876" spans="1:11" ht="38.25" x14ac:dyDescent="0.2">
      <c r="A876" s="348" t="s">
        <v>921</v>
      </c>
      <c r="B876" s="347" t="s">
        <v>295</v>
      </c>
      <c r="C876" s="405" t="s">
        <v>11183</v>
      </c>
      <c r="D876" s="537">
        <v>14</v>
      </c>
      <c r="E876" s="436">
        <v>2</v>
      </c>
      <c r="F876" s="178" t="s">
        <v>268</v>
      </c>
      <c r="G876" s="602"/>
      <c r="H876" s="415">
        <f>112.9-57.3</f>
        <v>55.600000000000009</v>
      </c>
      <c r="I876" s="536">
        <v>1954</v>
      </c>
      <c r="J876" s="415">
        <f>264500/112.9*55.6</f>
        <v>130258.63596102744</v>
      </c>
      <c r="K876" s="437">
        <v>576193.36</v>
      </c>
    </row>
    <row r="877" spans="1:11" ht="12.75" customHeight="1" x14ac:dyDescent="0.2">
      <c r="A877" s="348" t="s">
        <v>1468</v>
      </c>
      <c r="B877" s="347"/>
      <c r="C877" s="1147" t="s">
        <v>11184</v>
      </c>
      <c r="D877" s="1150">
        <v>18</v>
      </c>
      <c r="E877" s="436"/>
      <c r="F877" s="178" t="s">
        <v>269</v>
      </c>
      <c r="G877" s="606"/>
      <c r="H877" s="415">
        <f>93.4-93.4</f>
        <v>0</v>
      </c>
      <c r="I877" s="1145">
        <v>1954</v>
      </c>
      <c r="J877" s="415">
        <f>185800-185800</f>
        <v>0</v>
      </c>
      <c r="K877" s="437">
        <v>744128.07</v>
      </c>
    </row>
    <row r="878" spans="1:11" x14ac:dyDescent="0.2">
      <c r="A878" s="349" t="s">
        <v>6346</v>
      </c>
      <c r="B878" s="347" t="s">
        <v>295</v>
      </c>
      <c r="C878" s="1148"/>
      <c r="D878" s="1151"/>
      <c r="E878" s="436">
        <v>1</v>
      </c>
      <c r="F878" s="178" t="s">
        <v>6349</v>
      </c>
      <c r="G878" s="606" t="s">
        <v>137</v>
      </c>
      <c r="H878" s="415">
        <v>47.9</v>
      </c>
      <c r="I878" s="1153"/>
      <c r="J878" s="415">
        <f>185800/93.4*H878</f>
        <v>95287.152034261235</v>
      </c>
      <c r="K878" s="437">
        <v>496396.79999999999</v>
      </c>
    </row>
    <row r="879" spans="1:11" x14ac:dyDescent="0.2">
      <c r="A879" s="349" t="s">
        <v>6347</v>
      </c>
      <c r="B879" s="347" t="s">
        <v>295</v>
      </c>
      <c r="C879" s="1149"/>
      <c r="D879" s="1152"/>
      <c r="E879" s="436">
        <v>2</v>
      </c>
      <c r="F879" s="178" t="s">
        <v>6348</v>
      </c>
      <c r="G879" s="606" t="s">
        <v>137</v>
      </c>
      <c r="H879" s="415">
        <v>45.5</v>
      </c>
      <c r="I879" s="1146"/>
      <c r="J879" s="415">
        <f>185800/93.4*H879</f>
        <v>90512.847965738751</v>
      </c>
      <c r="K879" s="437">
        <v>471525.15</v>
      </c>
    </row>
    <row r="880" spans="1:11" ht="12.75" customHeight="1" x14ac:dyDescent="0.2">
      <c r="A880" s="348" t="s">
        <v>922</v>
      </c>
      <c r="B880" s="347"/>
      <c r="C880" s="1147" t="s">
        <v>11185</v>
      </c>
      <c r="D880" s="1230">
        <v>2</v>
      </c>
      <c r="E880" s="334"/>
      <c r="F880" s="178"/>
      <c r="G880" s="602"/>
      <c r="H880" s="415">
        <f>559.2-559.2</f>
        <v>0</v>
      </c>
      <c r="I880" s="1145">
        <v>1951</v>
      </c>
      <c r="J880" s="415">
        <f>1095000-1095000</f>
        <v>0</v>
      </c>
      <c r="K880" s="437"/>
    </row>
    <row r="881" spans="1:11" x14ac:dyDescent="0.2">
      <c r="A881" s="349" t="s">
        <v>1469</v>
      </c>
      <c r="B881" s="347" t="s">
        <v>295</v>
      </c>
      <c r="C881" s="1148"/>
      <c r="D881" s="1234"/>
      <c r="E881" s="436">
        <v>2</v>
      </c>
      <c r="F881" s="178" t="s">
        <v>351</v>
      </c>
      <c r="G881" s="602"/>
      <c r="H881" s="415">
        <v>45.1</v>
      </c>
      <c r="I881" s="1153"/>
      <c r="J881" s="415">
        <v>88312.768240343343</v>
      </c>
      <c r="K881" s="437">
        <v>467379.87</v>
      </c>
    </row>
    <row r="882" spans="1:11" x14ac:dyDescent="0.2">
      <c r="A882" s="349" t="s">
        <v>1470</v>
      </c>
      <c r="B882" s="347" t="s">
        <v>295</v>
      </c>
      <c r="C882" s="1148"/>
      <c r="D882" s="1234"/>
      <c r="E882" s="436">
        <v>3</v>
      </c>
      <c r="F882" s="178" t="s">
        <v>352</v>
      </c>
      <c r="G882" s="602"/>
      <c r="H882" s="415">
        <v>46.4</v>
      </c>
      <c r="I882" s="1153"/>
      <c r="J882" s="415">
        <v>90858.369098712443</v>
      </c>
      <c r="K882" s="437">
        <v>480852.02</v>
      </c>
    </row>
    <row r="883" spans="1:11" x14ac:dyDescent="0.2">
      <c r="A883" s="349" t="s">
        <v>1471</v>
      </c>
      <c r="B883" s="347" t="s">
        <v>295</v>
      </c>
      <c r="C883" s="1148"/>
      <c r="D883" s="1234"/>
      <c r="E883" s="436">
        <v>6</v>
      </c>
      <c r="F883" s="178" t="s">
        <v>353</v>
      </c>
      <c r="G883" s="602"/>
      <c r="H883" s="415">
        <v>45.9</v>
      </c>
      <c r="I883" s="1153"/>
      <c r="J883" s="415">
        <v>89879.291845493557</v>
      </c>
      <c r="K883" s="437">
        <v>475670.42</v>
      </c>
    </row>
    <row r="884" spans="1:11" x14ac:dyDescent="0.2">
      <c r="A884" s="349" t="s">
        <v>10634</v>
      </c>
      <c r="B884" s="347" t="s">
        <v>295</v>
      </c>
      <c r="C884" s="1148"/>
      <c r="D884" s="1234"/>
      <c r="E884" s="436">
        <v>7</v>
      </c>
      <c r="F884" s="178" t="s">
        <v>10637</v>
      </c>
      <c r="G884" s="602" t="s">
        <v>512</v>
      </c>
      <c r="H884" s="415">
        <f>44.6</f>
        <v>44.6</v>
      </c>
      <c r="I884" s="1153"/>
      <c r="J884" s="415">
        <v>1281321.2</v>
      </c>
      <c r="K884" s="437">
        <v>462198.27</v>
      </c>
    </row>
    <row r="885" spans="1:11" x14ac:dyDescent="0.2">
      <c r="A885" s="349" t="s">
        <v>10635</v>
      </c>
      <c r="B885" s="347" t="s">
        <v>295</v>
      </c>
      <c r="C885" s="1148"/>
      <c r="D885" s="1234"/>
      <c r="E885" s="436">
        <v>8</v>
      </c>
      <c r="F885" s="178" t="s">
        <v>10638</v>
      </c>
      <c r="G885" s="602" t="s">
        <v>512</v>
      </c>
      <c r="H885" s="415">
        <v>45.2</v>
      </c>
      <c r="I885" s="1153"/>
      <c r="J885" s="415">
        <v>1281321.2</v>
      </c>
      <c r="K885" s="437">
        <v>468416.19</v>
      </c>
    </row>
    <row r="886" spans="1:11" x14ac:dyDescent="0.2">
      <c r="A886" s="349" t="s">
        <v>10636</v>
      </c>
      <c r="B886" s="347" t="s">
        <v>295</v>
      </c>
      <c r="C886" s="1148"/>
      <c r="D886" s="1234"/>
      <c r="E886" s="436">
        <v>5</v>
      </c>
      <c r="F886" s="178" t="s">
        <v>10639</v>
      </c>
      <c r="G886" s="602" t="s">
        <v>7168</v>
      </c>
      <c r="H886" s="415">
        <v>44.7</v>
      </c>
      <c r="I886" s="1153"/>
      <c r="J886" s="415">
        <v>1281321.2</v>
      </c>
      <c r="K886" s="437">
        <v>463234.59</v>
      </c>
    </row>
    <row r="887" spans="1:11" x14ac:dyDescent="0.2">
      <c r="A887" s="349" t="s">
        <v>10678</v>
      </c>
      <c r="B887" s="347" t="s">
        <v>295</v>
      </c>
      <c r="C887" s="1149"/>
      <c r="D887" s="1231"/>
      <c r="E887" s="436">
        <v>1</v>
      </c>
      <c r="F887" s="178" t="s">
        <v>10679</v>
      </c>
      <c r="G887" s="605" t="s">
        <v>137</v>
      </c>
      <c r="H887" s="328">
        <v>46.9</v>
      </c>
      <c r="I887" s="1146"/>
      <c r="J887" s="415"/>
      <c r="K887" s="437">
        <v>486033.61</v>
      </c>
    </row>
    <row r="888" spans="1:11" ht="38.25" customHeight="1" x14ac:dyDescent="0.2">
      <c r="A888" s="348" t="s">
        <v>923</v>
      </c>
      <c r="B888" s="347" t="s">
        <v>295</v>
      </c>
      <c r="C888" s="405" t="s">
        <v>11186</v>
      </c>
      <c r="D888" s="462">
        <v>5</v>
      </c>
      <c r="E888" s="436">
        <v>2</v>
      </c>
      <c r="F888" s="178"/>
      <c r="G888" s="602"/>
      <c r="H888" s="415">
        <f>130.5-65</f>
        <v>65.5</v>
      </c>
      <c r="I888" s="536">
        <v>1950</v>
      </c>
      <c r="J888" s="415">
        <f>361900/130.5*65.5</f>
        <v>181643.29501915711</v>
      </c>
      <c r="K888" s="437">
        <f>1039707.86/130.5*65.5</f>
        <v>521845.70750957855</v>
      </c>
    </row>
    <row r="889" spans="1:11" x14ac:dyDescent="0.2">
      <c r="A889" s="348" t="s">
        <v>924</v>
      </c>
      <c r="B889" s="347"/>
      <c r="C889" s="1147" t="s">
        <v>11187</v>
      </c>
      <c r="D889" s="1150">
        <v>1</v>
      </c>
      <c r="E889" s="436"/>
      <c r="F889" s="178"/>
      <c r="G889" s="602" t="s">
        <v>190</v>
      </c>
      <c r="H889" s="415">
        <f>112.8-112.8</f>
        <v>0</v>
      </c>
      <c r="I889" s="1145">
        <v>1948</v>
      </c>
      <c r="J889" s="415">
        <f>190700-190700</f>
        <v>0</v>
      </c>
      <c r="K889" s="437">
        <v>969320.86</v>
      </c>
    </row>
    <row r="890" spans="1:11" ht="12.75" customHeight="1" x14ac:dyDescent="0.2">
      <c r="A890" s="349" t="s">
        <v>4076</v>
      </c>
      <c r="B890" s="347" t="s">
        <v>295</v>
      </c>
      <c r="C890" s="1148"/>
      <c r="D890" s="1151"/>
      <c r="E890" s="436">
        <v>1</v>
      </c>
      <c r="F890" s="178" t="s">
        <v>4078</v>
      </c>
      <c r="G890" s="602" t="s">
        <v>137</v>
      </c>
      <c r="H890" s="415">
        <v>56.5</v>
      </c>
      <c r="I890" s="1153"/>
      <c r="J890" s="415">
        <f>190700/112.8*H890</f>
        <v>95519.060283687955</v>
      </c>
      <c r="K890" s="437">
        <v>594224.06000000006</v>
      </c>
    </row>
    <row r="891" spans="1:11" ht="16.5" customHeight="1" x14ac:dyDescent="0.2">
      <c r="A891" s="349" t="s">
        <v>4077</v>
      </c>
      <c r="B891" s="347" t="s">
        <v>295</v>
      </c>
      <c r="C891" s="1149"/>
      <c r="D891" s="1152"/>
      <c r="E891" s="436">
        <v>2</v>
      </c>
      <c r="F891" s="178" t="s">
        <v>4079</v>
      </c>
      <c r="G891" s="602" t="s">
        <v>137</v>
      </c>
      <c r="H891" s="415">
        <v>56.3</v>
      </c>
      <c r="I891" s="1146"/>
      <c r="J891" s="415">
        <f>190700/112.8*H891</f>
        <v>95180.939716312059</v>
      </c>
      <c r="K891" s="437">
        <v>592120.61</v>
      </c>
    </row>
    <row r="892" spans="1:11" ht="20.25" customHeight="1" x14ac:dyDescent="0.2">
      <c r="A892" s="348" t="s">
        <v>925</v>
      </c>
      <c r="B892" s="347"/>
      <c r="C892" s="1157" t="s">
        <v>11188</v>
      </c>
      <c r="D892" s="1158">
        <v>5</v>
      </c>
      <c r="E892" s="436"/>
      <c r="F892" s="178" t="s">
        <v>10016</v>
      </c>
      <c r="G892" s="602" t="s">
        <v>190</v>
      </c>
      <c r="H892" s="441">
        <f>106.3-106.3</f>
        <v>0</v>
      </c>
      <c r="I892" s="1159">
        <v>1949</v>
      </c>
      <c r="J892" s="415">
        <f>193500-193500</f>
        <v>0</v>
      </c>
      <c r="K892" s="437">
        <v>913464.6</v>
      </c>
    </row>
    <row r="893" spans="1:11" ht="12.75" customHeight="1" x14ac:dyDescent="0.2">
      <c r="A893" s="349" t="s">
        <v>4705</v>
      </c>
      <c r="B893" s="347" t="s">
        <v>295</v>
      </c>
      <c r="C893" s="1157"/>
      <c r="D893" s="1158"/>
      <c r="E893" s="436">
        <v>2</v>
      </c>
      <c r="F893" s="178" t="s">
        <v>4706</v>
      </c>
      <c r="G893" s="602" t="s">
        <v>2886</v>
      </c>
      <c r="H893" s="441">
        <v>53</v>
      </c>
      <c r="I893" s="1159"/>
      <c r="J893" s="415">
        <f>193500/106.3*H893</f>
        <v>96476.952022577621</v>
      </c>
      <c r="K893" s="437">
        <v>557413.72</v>
      </c>
    </row>
    <row r="894" spans="1:11" ht="12.75" customHeight="1" x14ac:dyDescent="0.2">
      <c r="A894" s="348" t="s">
        <v>926</v>
      </c>
      <c r="B894" s="347"/>
      <c r="C894" s="1157" t="s">
        <v>11189</v>
      </c>
      <c r="D894" s="1158">
        <v>6</v>
      </c>
      <c r="E894" s="436"/>
      <c r="F894" s="178" t="s">
        <v>10017</v>
      </c>
      <c r="G894" s="602" t="s">
        <v>190</v>
      </c>
      <c r="H894" s="441">
        <f>93.2-93.2</f>
        <v>0</v>
      </c>
      <c r="I894" s="1159">
        <v>1947</v>
      </c>
      <c r="J894" s="415">
        <f>215200-215200</f>
        <v>0</v>
      </c>
      <c r="K894" s="437">
        <v>772500.32</v>
      </c>
    </row>
    <row r="895" spans="1:11" ht="12.75" customHeight="1" x14ac:dyDescent="0.2">
      <c r="A895" s="349" t="s">
        <v>4080</v>
      </c>
      <c r="B895" s="347" t="s">
        <v>295</v>
      </c>
      <c r="C895" s="1157"/>
      <c r="D895" s="1158"/>
      <c r="E895" s="436">
        <v>1</v>
      </c>
      <c r="F895" s="178" t="s">
        <v>4082</v>
      </c>
      <c r="G895" s="602" t="s">
        <v>137</v>
      </c>
      <c r="H895" s="441">
        <v>46.6</v>
      </c>
      <c r="I895" s="1159"/>
      <c r="J895" s="415">
        <f>215200/93.2*H895</f>
        <v>107600.00000000001</v>
      </c>
      <c r="K895" s="437">
        <v>501039.94</v>
      </c>
    </row>
    <row r="896" spans="1:11" ht="12.75" customHeight="1" x14ac:dyDescent="0.2">
      <c r="A896" s="349" t="s">
        <v>4081</v>
      </c>
      <c r="B896" s="347" t="s">
        <v>295</v>
      </c>
      <c r="C896" s="1157"/>
      <c r="D896" s="1158"/>
      <c r="E896" s="436">
        <v>2</v>
      </c>
      <c r="F896" s="178" t="s">
        <v>4083</v>
      </c>
      <c r="G896" s="602" t="s">
        <v>137</v>
      </c>
      <c r="H896" s="441">
        <v>46.6</v>
      </c>
      <c r="I896" s="1159"/>
      <c r="J896" s="415">
        <f>215200/93.2*H896</f>
        <v>107600.00000000001</v>
      </c>
      <c r="K896" s="437">
        <v>501039.94</v>
      </c>
    </row>
    <row r="897" spans="1:11" x14ac:dyDescent="0.2">
      <c r="A897" s="348" t="s">
        <v>927</v>
      </c>
      <c r="B897" s="347"/>
      <c r="C897" s="1157" t="s">
        <v>11190</v>
      </c>
      <c r="D897" s="1158">
        <v>17</v>
      </c>
      <c r="E897" s="436"/>
      <c r="F897" s="178"/>
      <c r="G897" s="602"/>
      <c r="H897" s="441">
        <f>106.2-106.2</f>
        <v>0</v>
      </c>
      <c r="I897" s="1159">
        <v>1949</v>
      </c>
      <c r="J897" s="415">
        <f>229272-229272</f>
        <v>0</v>
      </c>
      <c r="K897" s="437"/>
    </row>
    <row r="898" spans="1:11" ht="12.75" customHeight="1" x14ac:dyDescent="0.2">
      <c r="A898" s="349" t="s">
        <v>1472</v>
      </c>
      <c r="B898" s="347" t="s">
        <v>295</v>
      </c>
      <c r="C898" s="1157"/>
      <c r="D898" s="1158"/>
      <c r="E898" s="436">
        <v>1</v>
      </c>
      <c r="F898" s="178" t="s">
        <v>258</v>
      </c>
      <c r="G898" s="602" t="s">
        <v>137</v>
      </c>
      <c r="H898" s="441">
        <v>54.1</v>
      </c>
      <c r="I898" s="1159"/>
      <c r="J898" s="415">
        <v>116809.13370998116</v>
      </c>
      <c r="K898" s="437">
        <v>568982.68000000005</v>
      </c>
    </row>
    <row r="899" spans="1:11" x14ac:dyDescent="0.2">
      <c r="A899" s="349" t="s">
        <v>1473</v>
      </c>
      <c r="B899" s="347" t="s">
        <v>295</v>
      </c>
      <c r="C899" s="1157"/>
      <c r="D899" s="1158"/>
      <c r="E899" s="436">
        <v>2</v>
      </c>
      <c r="F899" s="178" t="s">
        <v>135</v>
      </c>
      <c r="G899" s="602" t="s">
        <v>137</v>
      </c>
      <c r="H899" s="441">
        <v>52.3</v>
      </c>
      <c r="I899" s="1159"/>
      <c r="J899" s="415">
        <v>112922.69303201506</v>
      </c>
      <c r="K899" s="437">
        <v>550051.65</v>
      </c>
    </row>
    <row r="900" spans="1:11" x14ac:dyDescent="0.2">
      <c r="A900" s="348" t="s">
        <v>928</v>
      </c>
      <c r="B900" s="347"/>
      <c r="C900" s="1157" t="s">
        <v>11191</v>
      </c>
      <c r="D900" s="1158">
        <v>19</v>
      </c>
      <c r="E900" s="436"/>
      <c r="F900" s="178"/>
      <c r="G900" s="602"/>
      <c r="H900" s="441">
        <f>130.5-130.5</f>
        <v>0</v>
      </c>
      <c r="I900" s="1159">
        <v>1948</v>
      </c>
      <c r="J900" s="415">
        <f>222712-222712</f>
        <v>0</v>
      </c>
      <c r="K900" s="437"/>
    </row>
    <row r="901" spans="1:11" ht="12.75" customHeight="1" x14ac:dyDescent="0.2">
      <c r="A901" s="349" t="s">
        <v>1474</v>
      </c>
      <c r="B901" s="347" t="s">
        <v>295</v>
      </c>
      <c r="C901" s="1157"/>
      <c r="D901" s="1158"/>
      <c r="E901" s="436">
        <v>2</v>
      </c>
      <c r="F901" s="178" t="s">
        <v>259</v>
      </c>
      <c r="G901" s="602" t="s">
        <v>137</v>
      </c>
      <c r="H901" s="441">
        <v>65.099999999999994</v>
      </c>
      <c r="I901" s="1159"/>
      <c r="J901" s="415">
        <v>111094.02298850573</v>
      </c>
      <c r="K901" s="437">
        <v>684672.32</v>
      </c>
    </row>
    <row r="902" spans="1:11" x14ac:dyDescent="0.2">
      <c r="A902" s="348" t="s">
        <v>929</v>
      </c>
      <c r="B902" s="347"/>
      <c r="C902" s="1157" t="s">
        <v>11192</v>
      </c>
      <c r="D902" s="1158">
        <v>3</v>
      </c>
      <c r="E902" s="436"/>
      <c r="F902" s="178" t="s">
        <v>10018</v>
      </c>
      <c r="G902" s="602" t="s">
        <v>190</v>
      </c>
      <c r="H902" s="441">
        <f>133.7-133.7</f>
        <v>0</v>
      </c>
      <c r="I902" s="1159">
        <v>1950</v>
      </c>
      <c r="J902" s="415">
        <f>214500-214500</f>
        <v>0</v>
      </c>
      <c r="K902" s="437">
        <v>1148920.2</v>
      </c>
    </row>
    <row r="903" spans="1:11" ht="12.75" customHeight="1" x14ac:dyDescent="0.2">
      <c r="A903" s="349" t="s">
        <v>4084</v>
      </c>
      <c r="B903" s="347" t="s">
        <v>295</v>
      </c>
      <c r="C903" s="1157"/>
      <c r="D903" s="1158"/>
      <c r="E903" s="436">
        <v>1</v>
      </c>
      <c r="F903" s="178" t="s">
        <v>4086</v>
      </c>
      <c r="G903" s="602" t="s">
        <v>137</v>
      </c>
      <c r="H903" s="441">
        <v>66.099999999999994</v>
      </c>
      <c r="I903" s="1159"/>
      <c r="J903" s="415">
        <f>214500/133.7*H903</f>
        <v>106046.74644727001</v>
      </c>
      <c r="K903" s="437">
        <v>695189.56</v>
      </c>
    </row>
    <row r="904" spans="1:11" x14ac:dyDescent="0.2">
      <c r="A904" s="349" t="s">
        <v>4085</v>
      </c>
      <c r="B904" s="347" t="s">
        <v>295</v>
      </c>
      <c r="C904" s="1157"/>
      <c r="D904" s="1158"/>
      <c r="E904" s="436">
        <v>2</v>
      </c>
      <c r="F904" s="178" t="s">
        <v>4087</v>
      </c>
      <c r="G904" s="602" t="s">
        <v>137</v>
      </c>
      <c r="H904" s="441">
        <v>67.599999999999994</v>
      </c>
      <c r="I904" s="1159"/>
      <c r="J904" s="415">
        <f>214500/133.7*H904</f>
        <v>108453.25355272999</v>
      </c>
      <c r="K904" s="437">
        <v>710965.42</v>
      </c>
    </row>
    <row r="905" spans="1:11" ht="12.75" customHeight="1" x14ac:dyDescent="0.2">
      <c r="A905" s="348" t="s">
        <v>930</v>
      </c>
      <c r="B905" s="347"/>
      <c r="C905" s="1157" t="s">
        <v>11193</v>
      </c>
      <c r="D905" s="1158">
        <v>4</v>
      </c>
      <c r="E905" s="436"/>
      <c r="F905" s="178"/>
      <c r="G905" s="602"/>
      <c r="H905" s="441">
        <f>907.8-907.8</f>
        <v>0</v>
      </c>
      <c r="I905" s="1159">
        <v>1953</v>
      </c>
      <c r="J905" s="415">
        <f>1170468-1170468</f>
        <v>0</v>
      </c>
      <c r="K905" s="437"/>
    </row>
    <row r="906" spans="1:11" ht="12.75" customHeight="1" x14ac:dyDescent="0.2">
      <c r="A906" s="349" t="s">
        <v>931</v>
      </c>
      <c r="B906" s="347" t="s">
        <v>295</v>
      </c>
      <c r="C906" s="1157"/>
      <c r="D906" s="1158"/>
      <c r="E906" s="436">
        <v>3</v>
      </c>
      <c r="F906" s="178"/>
      <c r="G906" s="602"/>
      <c r="H906" s="441">
        <v>85.3</v>
      </c>
      <c r="I906" s="1159"/>
      <c r="J906" s="415">
        <v>109984.19255342586</v>
      </c>
      <c r="K906" s="437"/>
    </row>
    <row r="907" spans="1:11" x14ac:dyDescent="0.2">
      <c r="A907" s="349" t="s">
        <v>1475</v>
      </c>
      <c r="B907" s="347" t="s">
        <v>295</v>
      </c>
      <c r="C907" s="1157"/>
      <c r="D907" s="1158"/>
      <c r="E907" s="436">
        <v>7</v>
      </c>
      <c r="F907" s="178" t="s">
        <v>260</v>
      </c>
      <c r="G907" s="602"/>
      <c r="H907" s="441">
        <v>62</v>
      </c>
      <c r="I907" s="1159"/>
      <c r="J907" s="415">
        <v>79941.617096276721</v>
      </c>
      <c r="K907" s="437">
        <v>652068.88</v>
      </c>
    </row>
    <row r="908" spans="1:11" x14ac:dyDescent="0.2">
      <c r="A908" s="349" t="s">
        <v>1476</v>
      </c>
      <c r="B908" s="347" t="s">
        <v>295</v>
      </c>
      <c r="C908" s="1157"/>
      <c r="D908" s="1158"/>
      <c r="E908" s="436">
        <v>10</v>
      </c>
      <c r="F908" s="178"/>
      <c r="G908" s="602"/>
      <c r="H908" s="441">
        <v>63.2</v>
      </c>
      <c r="I908" s="1159"/>
      <c r="J908" s="415">
        <v>81488.87420136595</v>
      </c>
      <c r="K908" s="437"/>
    </row>
    <row r="909" spans="1:11" x14ac:dyDescent="0.2">
      <c r="A909" s="349" t="s">
        <v>1477</v>
      </c>
      <c r="B909" s="347" t="s">
        <v>295</v>
      </c>
      <c r="C909" s="1157"/>
      <c r="D909" s="1158"/>
      <c r="E909" s="436">
        <v>11</v>
      </c>
      <c r="F909" s="178"/>
      <c r="G909" s="602"/>
      <c r="H909" s="441">
        <v>79.599999999999994</v>
      </c>
      <c r="I909" s="1159"/>
      <c r="J909" s="415">
        <v>102634.72130425203</v>
      </c>
      <c r="K909" s="437"/>
    </row>
    <row r="910" spans="1:11" ht="25.5" x14ac:dyDescent="0.2">
      <c r="A910" s="348" t="s">
        <v>932</v>
      </c>
      <c r="B910" s="347" t="s">
        <v>295</v>
      </c>
      <c r="C910" s="405" t="s">
        <v>11194</v>
      </c>
      <c r="D910" s="537">
        <v>5</v>
      </c>
      <c r="E910" s="436">
        <v>1</v>
      </c>
      <c r="F910" s="178" t="s">
        <v>298</v>
      </c>
      <c r="G910" s="602"/>
      <c r="H910" s="441">
        <f>154.3-75.1</f>
        <v>79.200000000000017</v>
      </c>
      <c r="I910" s="536">
        <v>1973</v>
      </c>
      <c r="J910" s="415">
        <f>323866/154.3*H910</f>
        <v>166235.82112767338</v>
      </c>
      <c r="K910" s="437">
        <v>890861.4</v>
      </c>
    </row>
    <row r="911" spans="1:11" ht="24" customHeight="1" x14ac:dyDescent="0.2">
      <c r="A911" s="348" t="s">
        <v>933</v>
      </c>
      <c r="B911" s="347"/>
      <c r="C911" s="1147" t="s">
        <v>11195</v>
      </c>
      <c r="D911" s="1150">
        <v>7</v>
      </c>
      <c r="E911" s="436"/>
      <c r="F911" s="178" t="s">
        <v>261</v>
      </c>
      <c r="G911" s="602" t="s">
        <v>262</v>
      </c>
      <c r="H911" s="415">
        <f>169.9-169.9</f>
        <v>0</v>
      </c>
      <c r="I911" s="1145">
        <v>1951</v>
      </c>
      <c r="J911" s="415">
        <f>754072-754072</f>
        <v>0</v>
      </c>
      <c r="K911" s="437">
        <v>1784879.35</v>
      </c>
    </row>
    <row r="912" spans="1:11" ht="12.75" customHeight="1" x14ac:dyDescent="0.2">
      <c r="A912" s="349" t="s">
        <v>6340</v>
      </c>
      <c r="B912" s="347" t="s">
        <v>295</v>
      </c>
      <c r="C912" s="1149"/>
      <c r="D912" s="1152"/>
      <c r="E912" s="450" t="s">
        <v>5176</v>
      </c>
      <c r="F912" s="178" t="s">
        <v>6341</v>
      </c>
      <c r="G912" s="602" t="s">
        <v>137</v>
      </c>
      <c r="H912" s="415">
        <v>78.400000000000006</v>
      </c>
      <c r="I912" s="1146"/>
      <c r="J912" s="415">
        <f>754072/169.9*H912</f>
        <v>347964.94879340788</v>
      </c>
      <c r="K912" s="437">
        <v>881862.8</v>
      </c>
    </row>
    <row r="913" spans="1:11" x14ac:dyDescent="0.2">
      <c r="A913" s="351" t="s">
        <v>934</v>
      </c>
      <c r="B913" s="347"/>
      <c r="C913" s="1157" t="s">
        <v>11196</v>
      </c>
      <c r="D913" s="1158">
        <v>12</v>
      </c>
      <c r="E913" s="436"/>
      <c r="F913" s="178"/>
      <c r="G913" s="602"/>
      <c r="H913" s="441">
        <f>901.7-901.7</f>
        <v>0</v>
      </c>
      <c r="I913" s="1159">
        <v>1956</v>
      </c>
      <c r="J913" s="415">
        <f>1516016-1516016</f>
        <v>0</v>
      </c>
      <c r="K913" s="437"/>
    </row>
    <row r="914" spans="1:11" ht="12.75" customHeight="1" x14ac:dyDescent="0.2">
      <c r="A914" s="347" t="s">
        <v>1478</v>
      </c>
      <c r="B914" s="347" t="s">
        <v>295</v>
      </c>
      <c r="C914" s="1157"/>
      <c r="D914" s="1158"/>
      <c r="E914" s="436">
        <v>5</v>
      </c>
      <c r="F914" s="178"/>
      <c r="G914" s="602"/>
      <c r="H914" s="441">
        <v>82.8</v>
      </c>
      <c r="I914" s="1159"/>
      <c r="J914" s="415">
        <v>139209.04957302872</v>
      </c>
      <c r="K914" s="437"/>
    </row>
    <row r="915" spans="1:11" x14ac:dyDescent="0.2">
      <c r="A915" s="347" t="s">
        <v>1479</v>
      </c>
      <c r="B915" s="347" t="s">
        <v>295</v>
      </c>
      <c r="C915" s="1157"/>
      <c r="D915" s="1158"/>
      <c r="E915" s="436">
        <v>7</v>
      </c>
      <c r="F915" s="178"/>
      <c r="G915" s="602"/>
      <c r="H915" s="441">
        <v>84.5</v>
      </c>
      <c r="I915" s="1159"/>
      <c r="J915" s="415">
        <v>142067.20638793393</v>
      </c>
      <c r="K915" s="437"/>
    </row>
    <row r="916" spans="1:11" x14ac:dyDescent="0.2">
      <c r="A916" s="347" t="s">
        <v>1480</v>
      </c>
      <c r="B916" s="347" t="s">
        <v>295</v>
      </c>
      <c r="C916" s="1157"/>
      <c r="D916" s="1158"/>
      <c r="E916" s="436">
        <v>8</v>
      </c>
      <c r="F916" s="178"/>
      <c r="G916" s="602"/>
      <c r="H916" s="441">
        <v>63.6</v>
      </c>
      <c r="I916" s="1159"/>
      <c r="J916" s="415">
        <v>106928.690251747</v>
      </c>
      <c r="K916" s="437"/>
    </row>
    <row r="917" spans="1:11" ht="25.5" x14ac:dyDescent="0.2">
      <c r="A917" s="348" t="s">
        <v>935</v>
      </c>
      <c r="B917" s="347" t="s">
        <v>295</v>
      </c>
      <c r="C917" s="405" t="s">
        <v>11197</v>
      </c>
      <c r="D917" s="537">
        <v>14</v>
      </c>
      <c r="E917" s="436">
        <v>3</v>
      </c>
      <c r="F917" s="178"/>
      <c r="G917" s="602"/>
      <c r="H917" s="441">
        <f>745.2-680.4</f>
        <v>64.800000000000068</v>
      </c>
      <c r="I917" s="536">
        <v>1976</v>
      </c>
      <c r="J917" s="415">
        <f>1265300/745.2*64.8</f>
        <v>110026.08695652173</v>
      </c>
      <c r="K917" s="437"/>
    </row>
    <row r="918" spans="1:11" ht="24" x14ac:dyDescent="0.2">
      <c r="A918" s="348" t="s">
        <v>936</v>
      </c>
      <c r="B918" s="347"/>
      <c r="C918" s="1147" t="s">
        <v>11198</v>
      </c>
      <c r="D918" s="1150">
        <v>31</v>
      </c>
      <c r="E918" s="436"/>
      <c r="F918" s="178"/>
      <c r="G918" s="605" t="s">
        <v>302</v>
      </c>
      <c r="H918" s="415">
        <f>713.7-713.7</f>
        <v>0</v>
      </c>
      <c r="I918" s="1145">
        <v>1960</v>
      </c>
      <c r="J918" s="415">
        <f>1089616-1089616</f>
        <v>0</v>
      </c>
      <c r="K918" s="437"/>
    </row>
    <row r="919" spans="1:11" ht="24" customHeight="1" x14ac:dyDescent="0.2">
      <c r="A919" s="349" t="s">
        <v>1481</v>
      </c>
      <c r="B919" s="347" t="s">
        <v>299</v>
      </c>
      <c r="C919" s="1148"/>
      <c r="D919" s="1151"/>
      <c r="E919" s="436">
        <v>1</v>
      </c>
      <c r="F919" s="178"/>
      <c r="G919" s="602"/>
      <c r="H919" s="415">
        <v>29.6</v>
      </c>
      <c r="I919" s="1153"/>
      <c r="J919" s="415">
        <v>45190.079865489701</v>
      </c>
      <c r="K919" s="437"/>
    </row>
    <row r="920" spans="1:11" x14ac:dyDescent="0.2">
      <c r="A920" s="349" t="s">
        <v>1482</v>
      </c>
      <c r="B920" s="347" t="s">
        <v>295</v>
      </c>
      <c r="C920" s="1148"/>
      <c r="D920" s="1151"/>
      <c r="E920" s="436">
        <v>10</v>
      </c>
      <c r="F920" s="178"/>
      <c r="G920" s="609"/>
      <c r="H920" s="415">
        <v>19.8</v>
      </c>
      <c r="I920" s="1153"/>
      <c r="J920" s="415">
        <v>30228.499369482975</v>
      </c>
      <c r="K920" s="437"/>
    </row>
    <row r="921" spans="1:11" ht="12.75" customHeight="1" x14ac:dyDescent="0.2">
      <c r="A921" s="349" t="s">
        <v>1483</v>
      </c>
      <c r="B921" s="347" t="s">
        <v>295</v>
      </c>
      <c r="C921" s="1148"/>
      <c r="D921" s="1151"/>
      <c r="E921" s="436">
        <v>11</v>
      </c>
      <c r="F921" s="178"/>
      <c r="G921" s="609"/>
      <c r="H921" s="415">
        <v>10.6</v>
      </c>
      <c r="I921" s="1153"/>
      <c r="J921" s="415">
        <v>16182.934005884825</v>
      </c>
      <c r="K921" s="437"/>
    </row>
    <row r="922" spans="1:11" x14ac:dyDescent="0.2">
      <c r="A922" s="349" t="s">
        <v>1484</v>
      </c>
      <c r="B922" s="347" t="s">
        <v>299</v>
      </c>
      <c r="C922" s="1148"/>
      <c r="D922" s="1151"/>
      <c r="E922" s="436">
        <v>12</v>
      </c>
      <c r="F922" s="178"/>
      <c r="G922" s="602"/>
      <c r="H922" s="415">
        <v>10.050000000000001</v>
      </c>
      <c r="I922" s="1153"/>
      <c r="J922" s="415">
        <v>15343.253467843631</v>
      </c>
      <c r="K922" s="437"/>
    </row>
    <row r="923" spans="1:11" x14ac:dyDescent="0.2">
      <c r="A923" s="349" t="s">
        <v>1485</v>
      </c>
      <c r="B923" s="347" t="s">
        <v>295</v>
      </c>
      <c r="C923" s="1148"/>
      <c r="D923" s="1151"/>
      <c r="E923" s="436">
        <v>13</v>
      </c>
      <c r="F923" s="178"/>
      <c r="G923" s="609"/>
      <c r="H923" s="415">
        <v>20.6</v>
      </c>
      <c r="I923" s="1153"/>
      <c r="J923" s="415">
        <v>31449.852879361075</v>
      </c>
      <c r="K923" s="437"/>
    </row>
    <row r="924" spans="1:11" ht="12.75" customHeight="1" x14ac:dyDescent="0.2">
      <c r="A924" s="349" t="s">
        <v>1486</v>
      </c>
      <c r="B924" s="347" t="s">
        <v>295</v>
      </c>
      <c r="C924" s="1148"/>
      <c r="D924" s="1151"/>
      <c r="E924" s="436">
        <v>2</v>
      </c>
      <c r="F924" s="178"/>
      <c r="G924" s="609"/>
      <c r="H924" s="415">
        <v>34.4</v>
      </c>
      <c r="I924" s="1153"/>
      <c r="J924" s="415">
        <v>52518.200924758297</v>
      </c>
      <c r="K924" s="437"/>
    </row>
    <row r="925" spans="1:11" x14ac:dyDescent="0.2">
      <c r="A925" s="349" t="s">
        <v>1487</v>
      </c>
      <c r="B925" s="347" t="s">
        <v>295</v>
      </c>
      <c r="C925" s="1148"/>
      <c r="D925" s="1151"/>
      <c r="E925" s="436">
        <v>5</v>
      </c>
      <c r="F925" s="350"/>
      <c r="G925" s="609"/>
      <c r="H925" s="415">
        <v>20.100000000000001</v>
      </c>
      <c r="I925" s="1153"/>
      <c r="J925" s="415">
        <v>30686.506935687299</v>
      </c>
      <c r="K925" s="437"/>
    </row>
    <row r="926" spans="1:11" ht="12.75" customHeight="1" x14ac:dyDescent="0.2">
      <c r="A926" s="349" t="s">
        <v>1488</v>
      </c>
      <c r="B926" s="347" t="s">
        <v>299</v>
      </c>
      <c r="C926" s="1148"/>
      <c r="D926" s="1151"/>
      <c r="E926" s="436">
        <v>6</v>
      </c>
      <c r="F926" s="178"/>
      <c r="G926" s="602"/>
      <c r="H926" s="415">
        <v>11.6</v>
      </c>
      <c r="I926" s="1153"/>
      <c r="J926" s="415">
        <v>17709.625893232449</v>
      </c>
      <c r="K926" s="437"/>
    </row>
    <row r="927" spans="1:11" x14ac:dyDescent="0.2">
      <c r="A927" s="349" t="s">
        <v>1489</v>
      </c>
      <c r="B927" s="347" t="s">
        <v>295</v>
      </c>
      <c r="C927" s="1148"/>
      <c r="D927" s="1151"/>
      <c r="E927" s="436">
        <v>7</v>
      </c>
      <c r="F927" s="178"/>
      <c r="G927" s="602"/>
      <c r="H927" s="415">
        <v>21</v>
      </c>
      <c r="I927" s="1153"/>
      <c r="J927" s="415">
        <v>32060.529634300125</v>
      </c>
      <c r="K927" s="437"/>
    </row>
    <row r="928" spans="1:11" x14ac:dyDescent="0.2">
      <c r="A928" s="349" t="s">
        <v>1490</v>
      </c>
      <c r="B928" s="347" t="s">
        <v>295</v>
      </c>
      <c r="C928" s="1148"/>
      <c r="D928" s="1151"/>
      <c r="E928" s="436">
        <v>8</v>
      </c>
      <c r="F928" s="350"/>
      <c r="G928" s="609"/>
      <c r="H928" s="415">
        <v>25.3</v>
      </c>
      <c r="I928" s="1153"/>
      <c r="J928" s="415">
        <v>38625.304749894916</v>
      </c>
      <c r="K928" s="437"/>
    </row>
    <row r="929" spans="1:11" ht="12.75" customHeight="1" x14ac:dyDescent="0.2">
      <c r="A929" s="349" t="s">
        <v>1491</v>
      </c>
      <c r="B929" s="347" t="s">
        <v>299</v>
      </c>
      <c r="C929" s="1148"/>
      <c r="D929" s="1151"/>
      <c r="E929" s="436">
        <v>9</v>
      </c>
      <c r="F929" s="178"/>
      <c r="G929" s="602"/>
      <c r="H929" s="415">
        <v>20.9</v>
      </c>
      <c r="I929" s="1153"/>
      <c r="J929" s="415">
        <v>31907.860445565366</v>
      </c>
      <c r="K929" s="437"/>
    </row>
    <row r="930" spans="1:11" x14ac:dyDescent="0.2">
      <c r="A930" s="349" t="s">
        <v>6106</v>
      </c>
      <c r="B930" s="347" t="s">
        <v>295</v>
      </c>
      <c r="C930" s="1149"/>
      <c r="D930" s="1152"/>
      <c r="E930" s="425" t="s">
        <v>396</v>
      </c>
      <c r="F930" s="178"/>
      <c r="G930" s="602" t="s">
        <v>10019</v>
      </c>
      <c r="H930" s="415">
        <v>53.2</v>
      </c>
      <c r="I930" s="1146"/>
      <c r="J930" s="415">
        <f>1089616/713.7*H930</f>
        <v>81221.201064873196</v>
      </c>
      <c r="K930" s="437"/>
    </row>
    <row r="931" spans="1:11" x14ac:dyDescent="0.2">
      <c r="A931" s="348" t="s">
        <v>937</v>
      </c>
      <c r="B931" s="347"/>
      <c r="C931" s="1147" t="s">
        <v>11199</v>
      </c>
      <c r="D931" s="1150">
        <v>4</v>
      </c>
      <c r="E931" s="436"/>
      <c r="F931" s="178" t="s">
        <v>4765</v>
      </c>
      <c r="G931" s="606"/>
      <c r="H931" s="441">
        <f>1071.6-1071.6</f>
        <v>0</v>
      </c>
      <c r="I931" s="1145">
        <v>1949</v>
      </c>
      <c r="J931" s="415">
        <f>40000-40000</f>
        <v>0</v>
      </c>
      <c r="K931" s="437"/>
    </row>
    <row r="932" spans="1:11" ht="12.75" customHeight="1" x14ac:dyDescent="0.2">
      <c r="A932" s="349" t="s">
        <v>1492</v>
      </c>
      <c r="B932" s="347" t="s">
        <v>295</v>
      </c>
      <c r="C932" s="1148"/>
      <c r="D932" s="1151"/>
      <c r="E932" s="436">
        <v>11</v>
      </c>
      <c r="F932" s="178"/>
      <c r="G932" s="602"/>
      <c r="H932" s="441">
        <v>17.899999999999999</v>
      </c>
      <c r="I932" s="1153"/>
      <c r="J932" s="415">
        <f>40000/1071.6*H932</f>
        <v>668.15976110488987</v>
      </c>
      <c r="K932" s="437"/>
    </row>
    <row r="933" spans="1:11" x14ac:dyDescent="0.2">
      <c r="A933" s="349" t="s">
        <v>1493</v>
      </c>
      <c r="B933" s="347" t="s">
        <v>295</v>
      </c>
      <c r="C933" s="1148"/>
      <c r="D933" s="1151"/>
      <c r="E933" s="436">
        <v>12</v>
      </c>
      <c r="F933" s="178"/>
      <c r="G933" s="602"/>
      <c r="H933" s="441">
        <v>20.7</v>
      </c>
      <c r="I933" s="1153"/>
      <c r="J933" s="415">
        <f t="shared" ref="J933:J940" si="7">J932/H932*H933</f>
        <v>772.67637178051518</v>
      </c>
      <c r="K933" s="437"/>
    </row>
    <row r="934" spans="1:11" x14ac:dyDescent="0.2">
      <c r="A934" s="349" t="s">
        <v>1494</v>
      </c>
      <c r="B934" s="347" t="s">
        <v>295</v>
      </c>
      <c r="C934" s="1148"/>
      <c r="D934" s="1151"/>
      <c r="E934" s="436">
        <v>2</v>
      </c>
      <c r="F934" s="178"/>
      <c r="G934" s="602"/>
      <c r="H934" s="441">
        <v>17.399999999999999</v>
      </c>
      <c r="I934" s="1153"/>
      <c r="J934" s="415">
        <f t="shared" si="7"/>
        <v>649.49608062709967</v>
      </c>
      <c r="K934" s="437"/>
    </row>
    <row r="935" spans="1:11" ht="12.75" customHeight="1" x14ac:dyDescent="0.2">
      <c r="A935" s="349" t="s">
        <v>1495</v>
      </c>
      <c r="B935" s="347" t="s">
        <v>295</v>
      </c>
      <c r="C935" s="1148"/>
      <c r="D935" s="1151"/>
      <c r="E935" s="436">
        <v>3</v>
      </c>
      <c r="F935" s="178"/>
      <c r="G935" s="602"/>
      <c r="H935" s="441">
        <v>17.399999999999999</v>
      </c>
      <c r="I935" s="1153"/>
      <c r="J935" s="415">
        <f t="shared" si="7"/>
        <v>649.49608062709967</v>
      </c>
      <c r="K935" s="437"/>
    </row>
    <row r="936" spans="1:11" x14ac:dyDescent="0.2">
      <c r="A936" s="349" t="s">
        <v>1496</v>
      </c>
      <c r="B936" s="347" t="s">
        <v>295</v>
      </c>
      <c r="C936" s="1148"/>
      <c r="D936" s="1151"/>
      <c r="E936" s="436">
        <v>4</v>
      </c>
      <c r="F936" s="178"/>
      <c r="G936" s="602"/>
      <c r="H936" s="441">
        <v>16.899999999999999</v>
      </c>
      <c r="I936" s="1153"/>
      <c r="J936" s="415">
        <f t="shared" si="7"/>
        <v>630.83240014930948</v>
      </c>
      <c r="K936" s="437"/>
    </row>
    <row r="937" spans="1:11" x14ac:dyDescent="0.2">
      <c r="A937" s="349" t="s">
        <v>1497</v>
      </c>
      <c r="B937" s="347" t="s">
        <v>295</v>
      </c>
      <c r="C937" s="1148"/>
      <c r="D937" s="1151"/>
      <c r="E937" s="436">
        <v>5</v>
      </c>
      <c r="F937" s="178"/>
      <c r="G937" s="602"/>
      <c r="H937" s="441">
        <v>23</v>
      </c>
      <c r="I937" s="1153"/>
      <c r="J937" s="415">
        <f t="shared" si="7"/>
        <v>858.5293019783503</v>
      </c>
      <c r="K937" s="437"/>
    </row>
    <row r="938" spans="1:11" ht="12.75" customHeight="1" x14ac:dyDescent="0.2">
      <c r="A938" s="349" t="s">
        <v>1498</v>
      </c>
      <c r="B938" s="347" t="s">
        <v>295</v>
      </c>
      <c r="C938" s="1148"/>
      <c r="D938" s="1151"/>
      <c r="E938" s="436">
        <v>6</v>
      </c>
      <c r="F938" s="178"/>
      <c r="G938" s="602"/>
      <c r="H938" s="441">
        <v>18.350000000000001</v>
      </c>
      <c r="I938" s="1153"/>
      <c r="J938" s="415">
        <f t="shared" si="7"/>
        <v>684.95707353490127</v>
      </c>
      <c r="K938" s="437"/>
    </row>
    <row r="939" spans="1:11" x14ac:dyDescent="0.2">
      <c r="A939" s="349" t="s">
        <v>1499</v>
      </c>
      <c r="B939" s="347" t="s">
        <v>295</v>
      </c>
      <c r="C939" s="1148"/>
      <c r="D939" s="1151"/>
      <c r="E939" s="436">
        <v>7</v>
      </c>
      <c r="F939" s="178"/>
      <c r="G939" s="602"/>
      <c r="H939" s="441">
        <v>31</v>
      </c>
      <c r="I939" s="1153"/>
      <c r="J939" s="415">
        <f t="shared" si="7"/>
        <v>1157.1481896229939</v>
      </c>
      <c r="K939" s="437"/>
    </row>
    <row r="940" spans="1:11" x14ac:dyDescent="0.2">
      <c r="A940" s="349" t="s">
        <v>1500</v>
      </c>
      <c r="B940" s="347" t="s">
        <v>299</v>
      </c>
      <c r="C940" s="1148"/>
      <c r="D940" s="1151"/>
      <c r="E940" s="436">
        <v>8</v>
      </c>
      <c r="F940" s="178"/>
      <c r="G940" s="602"/>
      <c r="H940" s="441">
        <v>22.3</v>
      </c>
      <c r="I940" s="1153"/>
      <c r="J940" s="415">
        <f t="shared" si="7"/>
        <v>832.40014930944392</v>
      </c>
      <c r="K940" s="437"/>
    </row>
    <row r="941" spans="1:11" ht="12.75" customHeight="1" x14ac:dyDescent="0.2">
      <c r="A941" s="349" t="s">
        <v>1501</v>
      </c>
      <c r="B941" s="347" t="s">
        <v>295</v>
      </c>
      <c r="C941" s="1148"/>
      <c r="D941" s="1151"/>
      <c r="E941" s="425" t="s">
        <v>339</v>
      </c>
      <c r="F941" s="178"/>
      <c r="G941" s="602"/>
      <c r="H941" s="441">
        <v>22.3</v>
      </c>
      <c r="I941" s="1153"/>
      <c r="J941" s="415">
        <f>J939/H939*H941</f>
        <v>832.40014930944392</v>
      </c>
      <c r="K941" s="437"/>
    </row>
    <row r="942" spans="1:11" x14ac:dyDescent="0.2">
      <c r="A942" s="349" t="s">
        <v>1502</v>
      </c>
      <c r="B942" s="347" t="s">
        <v>295</v>
      </c>
      <c r="C942" s="1148"/>
      <c r="D942" s="1151"/>
      <c r="E942" s="436">
        <v>9</v>
      </c>
      <c r="F942" s="178"/>
      <c r="G942" s="602"/>
      <c r="H942" s="441">
        <v>34.4</v>
      </c>
      <c r="I942" s="1153"/>
      <c r="J942" s="415">
        <f>J941/H941*H942</f>
        <v>1284.0612168719672</v>
      </c>
      <c r="K942" s="437"/>
    </row>
    <row r="943" spans="1:11" x14ac:dyDescent="0.2">
      <c r="A943" s="349" t="s">
        <v>2568</v>
      </c>
      <c r="B943" s="347" t="s">
        <v>299</v>
      </c>
      <c r="C943" s="1149"/>
      <c r="D943" s="1152"/>
      <c r="E943" s="436">
        <v>13</v>
      </c>
      <c r="F943" s="178"/>
      <c r="G943" s="602"/>
      <c r="H943" s="441">
        <v>21.3</v>
      </c>
      <c r="I943" s="1146"/>
      <c r="J943" s="415">
        <f>J942/H942*H943</f>
        <v>795.07278835386353</v>
      </c>
      <c r="K943" s="437"/>
    </row>
    <row r="944" spans="1:11" x14ac:dyDescent="0.2">
      <c r="A944" s="348" t="s">
        <v>938</v>
      </c>
      <c r="B944" s="347"/>
      <c r="C944" s="1157" t="s">
        <v>11200</v>
      </c>
      <c r="D944" s="1158">
        <v>12</v>
      </c>
      <c r="E944" s="436"/>
      <c r="F944" s="178"/>
      <c r="G944" s="602"/>
      <c r="H944" s="441">
        <f>734.5-734.5</f>
        <v>0</v>
      </c>
      <c r="I944" s="1159">
        <v>1949</v>
      </c>
      <c r="J944" s="415">
        <f>1212800-1212800</f>
        <v>0</v>
      </c>
      <c r="K944" s="437"/>
    </row>
    <row r="945" spans="1:11" ht="12.75" customHeight="1" x14ac:dyDescent="0.2">
      <c r="A945" s="349" t="s">
        <v>939</v>
      </c>
      <c r="B945" s="347" t="s">
        <v>295</v>
      </c>
      <c r="C945" s="1157"/>
      <c r="D945" s="1158"/>
      <c r="E945" s="436">
        <v>3</v>
      </c>
      <c r="F945" s="347"/>
      <c r="G945" s="602"/>
      <c r="H945" s="270">
        <v>78.599999999999994</v>
      </c>
      <c r="I945" s="1159"/>
      <c r="J945" s="415">
        <v>129783.63512593601</v>
      </c>
      <c r="K945" s="437"/>
    </row>
    <row r="946" spans="1:11" x14ac:dyDescent="0.2">
      <c r="A946" s="348" t="s">
        <v>942</v>
      </c>
      <c r="B946" s="347"/>
      <c r="C946" s="1157" t="s">
        <v>11201</v>
      </c>
      <c r="D946" s="1158">
        <v>23</v>
      </c>
      <c r="E946" s="436"/>
      <c r="F946" s="178"/>
      <c r="G946" s="602"/>
      <c r="H946" s="441">
        <f>1216.7-1216.7</f>
        <v>0</v>
      </c>
      <c r="I946" s="1159">
        <v>1957</v>
      </c>
      <c r="J946" s="415">
        <f>1925200-1925200</f>
        <v>0</v>
      </c>
      <c r="K946" s="437"/>
    </row>
    <row r="947" spans="1:11" ht="12.75" customHeight="1" x14ac:dyDescent="0.2">
      <c r="A947" s="349" t="s">
        <v>940</v>
      </c>
      <c r="B947" s="347" t="s">
        <v>295</v>
      </c>
      <c r="C947" s="1157"/>
      <c r="D947" s="1158"/>
      <c r="E947" s="436">
        <v>13</v>
      </c>
      <c r="F947" s="178"/>
      <c r="G947" s="602"/>
      <c r="H947" s="270">
        <v>43.7</v>
      </c>
      <c r="I947" s="1159"/>
      <c r="J947" s="415">
        <v>69147.069943289229</v>
      </c>
      <c r="K947" s="437"/>
    </row>
    <row r="948" spans="1:11" x14ac:dyDescent="0.2">
      <c r="A948" s="349" t="s">
        <v>941</v>
      </c>
      <c r="B948" s="347" t="s">
        <v>295</v>
      </c>
      <c r="C948" s="1157"/>
      <c r="D948" s="1158"/>
      <c r="E948" s="436">
        <v>7</v>
      </c>
      <c r="F948" s="178"/>
      <c r="G948" s="602"/>
      <c r="H948" s="270">
        <v>68</v>
      </c>
      <c r="I948" s="1159"/>
      <c r="J948" s="415">
        <v>107597.27130763541</v>
      </c>
      <c r="K948" s="437"/>
    </row>
    <row r="949" spans="1:11" ht="25.5" customHeight="1" x14ac:dyDescent="0.2">
      <c r="A949" s="348" t="s">
        <v>943</v>
      </c>
      <c r="B949" s="347" t="s">
        <v>295</v>
      </c>
      <c r="C949" s="405" t="s">
        <v>11202</v>
      </c>
      <c r="D949" s="537">
        <v>2</v>
      </c>
      <c r="E949" s="436">
        <v>2</v>
      </c>
      <c r="F949" s="178"/>
      <c r="G949" s="606"/>
      <c r="H949" s="441">
        <f>108.3-54.4</f>
        <v>53.9</v>
      </c>
      <c r="I949" s="536">
        <v>1949</v>
      </c>
      <c r="J949" s="415">
        <f>186600/108.3*53.9</f>
        <v>92869.252077562327</v>
      </c>
      <c r="K949" s="437"/>
    </row>
    <row r="950" spans="1:11" ht="25.5" x14ac:dyDescent="0.2">
      <c r="A950" s="351" t="s">
        <v>944</v>
      </c>
      <c r="B950" s="347" t="s">
        <v>307</v>
      </c>
      <c r="C950" s="405" t="s">
        <v>11203</v>
      </c>
      <c r="D950" s="537">
        <v>8</v>
      </c>
      <c r="E950" s="436"/>
      <c r="F950" s="178"/>
      <c r="G950" s="602"/>
      <c r="H950" s="441">
        <v>108.7</v>
      </c>
      <c r="I950" s="536">
        <v>1949</v>
      </c>
      <c r="J950" s="415">
        <f>186.6*1000</f>
        <v>186600</v>
      </c>
      <c r="K950" s="437"/>
    </row>
    <row r="951" spans="1:11" ht="22.5" customHeight="1" x14ac:dyDescent="0.2">
      <c r="A951" s="348" t="s">
        <v>945</v>
      </c>
      <c r="B951" s="347"/>
      <c r="C951" s="1147" t="s">
        <v>11204</v>
      </c>
      <c r="D951" s="1150">
        <v>11</v>
      </c>
      <c r="E951" s="436"/>
      <c r="F951" s="178"/>
      <c r="G951" s="602"/>
      <c r="H951" s="441">
        <f>2503.4-2503.4</f>
        <v>0</v>
      </c>
      <c r="I951" s="1145">
        <v>1963</v>
      </c>
      <c r="J951" s="415">
        <f>4781700-4781700</f>
        <v>0</v>
      </c>
      <c r="K951" s="437"/>
    </row>
    <row r="952" spans="1:11" ht="24" x14ac:dyDescent="0.2">
      <c r="A952" s="349" t="s">
        <v>10116</v>
      </c>
      <c r="B952" s="178" t="s">
        <v>5162</v>
      </c>
      <c r="C952" s="1148"/>
      <c r="D952" s="1151"/>
      <c r="E952" s="436">
        <v>46</v>
      </c>
      <c r="F952" s="178" t="s">
        <v>10117</v>
      </c>
      <c r="G952" s="602" t="s">
        <v>512</v>
      </c>
      <c r="H952" s="437">
        <v>30.2</v>
      </c>
      <c r="I952" s="1153"/>
      <c r="J952" s="415">
        <v>991710</v>
      </c>
      <c r="K952" s="437">
        <v>563123.09</v>
      </c>
    </row>
    <row r="953" spans="1:11" x14ac:dyDescent="0.2">
      <c r="A953" s="349" t="s">
        <v>10278</v>
      </c>
      <c r="B953" s="347" t="s">
        <v>295</v>
      </c>
      <c r="C953" s="1148"/>
      <c r="D953" s="1151"/>
      <c r="E953" s="347">
        <v>40</v>
      </c>
      <c r="F953" s="347" t="s">
        <v>10279</v>
      </c>
      <c r="G953" s="602" t="s">
        <v>127</v>
      </c>
      <c r="H953" s="347">
        <v>56.4</v>
      </c>
      <c r="I953" s="1153"/>
      <c r="J953" s="423"/>
      <c r="K953" s="463">
        <v>1060481.8700000001</v>
      </c>
    </row>
    <row r="954" spans="1:11" x14ac:dyDescent="0.2">
      <c r="A954" s="349" t="s">
        <v>10736</v>
      </c>
      <c r="B954" s="347" t="s">
        <v>295</v>
      </c>
      <c r="C954" s="1148"/>
      <c r="D954" s="1151"/>
      <c r="E954" s="347">
        <v>56</v>
      </c>
      <c r="F954" s="347" t="s">
        <v>10738</v>
      </c>
      <c r="G954" s="602" t="s">
        <v>507</v>
      </c>
      <c r="H954" s="347">
        <v>31.1</v>
      </c>
      <c r="I954" s="1153"/>
      <c r="J954" s="423">
        <v>1086665.1000000001</v>
      </c>
      <c r="K954" s="463">
        <v>616403.86</v>
      </c>
    </row>
    <row r="955" spans="1:11" ht="24" x14ac:dyDescent="0.2">
      <c r="A955" s="349" t="s">
        <v>10737</v>
      </c>
      <c r="B955" s="178" t="s">
        <v>10681</v>
      </c>
      <c r="C955" s="1148"/>
      <c r="D955" s="1151"/>
      <c r="E955" s="347">
        <v>1</v>
      </c>
      <c r="F955" s="347" t="s">
        <v>11205</v>
      </c>
      <c r="G955" s="602" t="s">
        <v>11206</v>
      </c>
      <c r="H955" s="347">
        <v>29.6</v>
      </c>
      <c r="I955" s="1153"/>
      <c r="J955" s="423">
        <v>1034253.6</v>
      </c>
      <c r="K955" s="463">
        <v>565479.23</v>
      </c>
    </row>
    <row r="956" spans="1:11" ht="25.5" x14ac:dyDescent="0.2">
      <c r="A956" s="348" t="s">
        <v>946</v>
      </c>
      <c r="B956" s="347" t="s">
        <v>295</v>
      </c>
      <c r="C956" s="405" t="s">
        <v>11207</v>
      </c>
      <c r="D956" s="537">
        <v>15</v>
      </c>
      <c r="E956" s="436">
        <v>1</v>
      </c>
      <c r="F956" s="38" t="s">
        <v>11987</v>
      </c>
      <c r="G956" s="615" t="s">
        <v>137</v>
      </c>
      <c r="H956" s="415">
        <v>42</v>
      </c>
      <c r="I956" s="582">
        <v>1948</v>
      </c>
      <c r="J956" s="415">
        <f>178300/121.9*43.5</f>
        <v>63626.333059885146</v>
      </c>
      <c r="K956" s="437">
        <v>441724.08</v>
      </c>
    </row>
    <row r="957" spans="1:11" ht="24" customHeight="1" x14ac:dyDescent="0.2">
      <c r="A957" s="348" t="s">
        <v>947</v>
      </c>
      <c r="B957" s="347" t="s">
        <v>295</v>
      </c>
      <c r="C957" s="405" t="s">
        <v>11208</v>
      </c>
      <c r="D957" s="537">
        <v>8</v>
      </c>
      <c r="E957" s="436">
        <v>1</v>
      </c>
      <c r="F957" s="178" t="s">
        <v>354</v>
      </c>
      <c r="G957" s="602"/>
      <c r="H957" s="415">
        <f>101-51</f>
        <v>50</v>
      </c>
      <c r="I957" s="536">
        <v>1965</v>
      </c>
      <c r="J957" s="415">
        <f>114100/101*50</f>
        <v>56485.148514851484</v>
      </c>
      <c r="K957" s="437">
        <v>570773</v>
      </c>
    </row>
    <row r="958" spans="1:11" x14ac:dyDescent="0.2">
      <c r="A958" s="348" t="s">
        <v>948</v>
      </c>
      <c r="B958" s="347"/>
      <c r="C958" s="1157" t="s">
        <v>11209</v>
      </c>
      <c r="D958" s="1158">
        <v>10</v>
      </c>
      <c r="E958" s="436"/>
      <c r="F958" s="178"/>
      <c r="G958" s="602"/>
      <c r="H958" s="415">
        <f>102.5-102.5</f>
        <v>0</v>
      </c>
      <c r="I958" s="1159">
        <v>1965</v>
      </c>
      <c r="J958" s="415">
        <f>114100-114100</f>
        <v>0</v>
      </c>
      <c r="K958" s="437"/>
    </row>
    <row r="959" spans="1:11" ht="12.75" customHeight="1" x14ac:dyDescent="0.2">
      <c r="A959" s="349" t="s">
        <v>1503</v>
      </c>
      <c r="B959" s="347" t="s">
        <v>295</v>
      </c>
      <c r="C959" s="1157"/>
      <c r="D959" s="1158"/>
      <c r="E959" s="436">
        <v>1</v>
      </c>
      <c r="F959" s="178" t="s">
        <v>355</v>
      </c>
      <c r="G959" s="602"/>
      <c r="H959" s="415">
        <v>50.8</v>
      </c>
      <c r="I959" s="1159"/>
      <c r="J959" s="415">
        <v>56549.07317073171</v>
      </c>
      <c r="K959" s="437">
        <v>579905.37</v>
      </c>
    </row>
    <row r="960" spans="1:11" x14ac:dyDescent="0.2">
      <c r="A960" s="349" t="s">
        <v>1504</v>
      </c>
      <c r="B960" s="347" t="s">
        <v>295</v>
      </c>
      <c r="C960" s="1157"/>
      <c r="D960" s="1158"/>
      <c r="E960" s="436">
        <v>2</v>
      </c>
      <c r="F960" s="178" t="s">
        <v>356</v>
      </c>
      <c r="G960" s="602"/>
      <c r="H960" s="415">
        <v>51.7</v>
      </c>
      <c r="I960" s="1159"/>
      <c r="J960" s="415">
        <v>57550.926829268297</v>
      </c>
      <c r="K960" s="437">
        <v>590179.28</v>
      </c>
    </row>
    <row r="961" spans="1:11" x14ac:dyDescent="0.2">
      <c r="A961" s="348" t="s">
        <v>949</v>
      </c>
      <c r="B961" s="347"/>
      <c r="C961" s="1157" t="s">
        <v>11210</v>
      </c>
      <c r="D961" s="1158">
        <v>11</v>
      </c>
      <c r="E961" s="436"/>
      <c r="F961" s="178"/>
      <c r="G961" s="602"/>
      <c r="H961" s="415">
        <f>120.1-120.1</f>
        <v>0</v>
      </c>
      <c r="I961" s="1159">
        <v>1949</v>
      </c>
      <c r="J961" s="415">
        <f>216300-216300</f>
        <v>0</v>
      </c>
      <c r="K961" s="437"/>
    </row>
    <row r="962" spans="1:11" ht="12.75" customHeight="1" x14ac:dyDescent="0.2">
      <c r="A962" s="349" t="s">
        <v>1505</v>
      </c>
      <c r="B962" s="347" t="s">
        <v>295</v>
      </c>
      <c r="C962" s="1157"/>
      <c r="D962" s="1158"/>
      <c r="E962" s="436">
        <v>1</v>
      </c>
      <c r="F962" s="178" t="s">
        <v>452</v>
      </c>
      <c r="G962" s="602"/>
      <c r="H962" s="415">
        <v>60</v>
      </c>
      <c r="I962" s="1159"/>
      <c r="J962" s="415">
        <v>108059.95004163198</v>
      </c>
      <c r="K962" s="437">
        <v>631034.4</v>
      </c>
    </row>
    <row r="963" spans="1:11" x14ac:dyDescent="0.2">
      <c r="A963" s="349" t="s">
        <v>1506</v>
      </c>
      <c r="B963" s="347" t="s">
        <v>295</v>
      </c>
      <c r="C963" s="1157"/>
      <c r="D963" s="1158"/>
      <c r="E963" s="436">
        <v>2</v>
      </c>
      <c r="F963" s="178" t="s">
        <v>453</v>
      </c>
      <c r="G963" s="602"/>
      <c r="H963" s="415">
        <v>60.1</v>
      </c>
      <c r="I963" s="1159"/>
      <c r="J963" s="415">
        <v>108240.04995836804</v>
      </c>
      <c r="K963" s="437">
        <v>632086.12</v>
      </c>
    </row>
    <row r="964" spans="1:11" ht="25.5" x14ac:dyDescent="0.2">
      <c r="A964" s="348" t="s">
        <v>950</v>
      </c>
      <c r="B964" s="347" t="s">
        <v>295</v>
      </c>
      <c r="C964" s="405" t="s">
        <v>11211</v>
      </c>
      <c r="D964" s="537">
        <v>18</v>
      </c>
      <c r="E964" s="436">
        <v>1</v>
      </c>
      <c r="F964" s="178" t="s">
        <v>454</v>
      </c>
      <c r="G964" s="602"/>
      <c r="H964" s="415">
        <f>136.7-67.7</f>
        <v>68.999999999999986</v>
      </c>
      <c r="I964" s="536">
        <v>1949</v>
      </c>
      <c r="J964" s="415">
        <f>216300/136.7*69</f>
        <v>109178.4930504755</v>
      </c>
      <c r="K964" s="437">
        <v>725689.56</v>
      </c>
    </row>
    <row r="965" spans="1:11" ht="25.5" customHeight="1" x14ac:dyDescent="0.2">
      <c r="A965" s="348" t="s">
        <v>951</v>
      </c>
      <c r="B965" s="347"/>
      <c r="C965" s="1157" t="s">
        <v>11212</v>
      </c>
      <c r="D965" s="1158">
        <v>8</v>
      </c>
      <c r="E965" s="436"/>
      <c r="F965" s="178"/>
      <c r="G965" s="602"/>
      <c r="H965" s="415">
        <f>116.7-116.7</f>
        <v>0</v>
      </c>
      <c r="I965" s="1159">
        <v>1950</v>
      </c>
      <c r="J965" s="415">
        <f>211100-211100</f>
        <v>0</v>
      </c>
      <c r="K965" s="437"/>
    </row>
    <row r="966" spans="1:11" ht="12.75" customHeight="1" x14ac:dyDescent="0.2">
      <c r="A966" s="349" t="s">
        <v>1507</v>
      </c>
      <c r="B966" s="347" t="s">
        <v>295</v>
      </c>
      <c r="C966" s="1157"/>
      <c r="D966" s="1158"/>
      <c r="E966" s="436">
        <v>1</v>
      </c>
      <c r="F966" s="178" t="s">
        <v>455</v>
      </c>
      <c r="G966" s="602"/>
      <c r="H966" s="415">
        <v>44.8</v>
      </c>
      <c r="I966" s="1159"/>
      <c r="J966" s="415">
        <v>81039.245929734359</v>
      </c>
      <c r="K966" s="437">
        <v>481686.46</v>
      </c>
    </row>
    <row r="967" spans="1:11" ht="39" customHeight="1" x14ac:dyDescent="0.2">
      <c r="A967" s="348" t="s">
        <v>952</v>
      </c>
      <c r="B967" s="347" t="s">
        <v>295</v>
      </c>
      <c r="C967" s="405" t="s">
        <v>11213</v>
      </c>
      <c r="D967" s="537">
        <v>2</v>
      </c>
      <c r="E967" s="436">
        <v>15</v>
      </c>
      <c r="F967" s="178"/>
      <c r="G967" s="602"/>
      <c r="H967" s="441">
        <f>1510.8-1469.8</f>
        <v>41</v>
      </c>
      <c r="I967" s="536">
        <v>1962</v>
      </c>
      <c r="J967" s="415">
        <f>4559856/1510.8*41</f>
        <v>123745.09928514695</v>
      </c>
      <c r="K967" s="437"/>
    </row>
    <row r="968" spans="1:11" ht="25.5" customHeight="1" x14ac:dyDescent="0.2">
      <c r="A968" s="348" t="s">
        <v>953</v>
      </c>
      <c r="B968" s="347"/>
      <c r="C968" s="1157" t="s">
        <v>11214</v>
      </c>
      <c r="D968" s="1158">
        <v>4</v>
      </c>
      <c r="E968" s="436"/>
      <c r="F968" s="178"/>
      <c r="G968" s="602"/>
      <c r="H968" s="441">
        <f>2030-2030</f>
        <v>0</v>
      </c>
      <c r="I968" s="1159">
        <v>1964</v>
      </c>
      <c r="J968" s="415">
        <f>4843904-4843904</f>
        <v>0</v>
      </c>
      <c r="K968" s="437"/>
    </row>
    <row r="969" spans="1:11" ht="12.75" customHeight="1" x14ac:dyDescent="0.2">
      <c r="A969" s="349" t="s">
        <v>1508</v>
      </c>
      <c r="B969" s="347" t="s">
        <v>295</v>
      </c>
      <c r="C969" s="1157"/>
      <c r="D969" s="1158"/>
      <c r="E969" s="425">
        <v>14</v>
      </c>
      <c r="F969" s="178"/>
      <c r="G969" s="602"/>
      <c r="H969" s="441">
        <v>30.5</v>
      </c>
      <c r="I969" s="1159"/>
      <c r="J969" s="415">
        <v>72777.867980295559</v>
      </c>
      <c r="K969" s="437"/>
    </row>
    <row r="970" spans="1:11" x14ac:dyDescent="0.2">
      <c r="A970" s="349" t="s">
        <v>1509</v>
      </c>
      <c r="B970" s="347" t="s">
        <v>295</v>
      </c>
      <c r="C970" s="1157"/>
      <c r="D970" s="1158"/>
      <c r="E970" s="425">
        <v>15</v>
      </c>
      <c r="F970" s="178"/>
      <c r="G970" s="602"/>
      <c r="H970" s="441">
        <v>39.9</v>
      </c>
      <c r="I970" s="1159"/>
      <c r="J970" s="415">
        <v>95207.768275862065</v>
      </c>
      <c r="K970" s="437"/>
    </row>
    <row r="971" spans="1:11" x14ac:dyDescent="0.2">
      <c r="A971" s="349" t="s">
        <v>1510</v>
      </c>
      <c r="B971" s="347" t="s">
        <v>295</v>
      </c>
      <c r="C971" s="1157"/>
      <c r="D971" s="1158"/>
      <c r="E971" s="425">
        <v>32</v>
      </c>
      <c r="F971" s="178"/>
      <c r="G971" s="602"/>
      <c r="H971" s="441">
        <v>53.4</v>
      </c>
      <c r="I971" s="1159"/>
      <c r="J971" s="415">
        <v>127420.92295566501</v>
      </c>
      <c r="K971" s="437"/>
    </row>
    <row r="972" spans="1:11" x14ac:dyDescent="0.2">
      <c r="A972" s="349" t="s">
        <v>1511</v>
      </c>
      <c r="B972" s="347" t="s">
        <v>295</v>
      </c>
      <c r="C972" s="1157"/>
      <c r="D972" s="1158"/>
      <c r="E972" s="425">
        <v>35</v>
      </c>
      <c r="F972" s="178" t="s">
        <v>4093</v>
      </c>
      <c r="G972" s="602"/>
      <c r="H972" s="441">
        <f>86.4-55</f>
        <v>31.400000000000006</v>
      </c>
      <c r="I972" s="1159"/>
      <c r="J972" s="415">
        <v>206164.18995073892</v>
      </c>
      <c r="K972" s="437">
        <v>599866.48</v>
      </c>
    </row>
    <row r="973" spans="1:11" x14ac:dyDescent="0.2">
      <c r="A973" s="349" t="s">
        <v>1512</v>
      </c>
      <c r="B973" s="347" t="s">
        <v>295</v>
      </c>
      <c r="C973" s="1157"/>
      <c r="D973" s="1158"/>
      <c r="E973" s="425">
        <v>36</v>
      </c>
      <c r="F973" s="178"/>
      <c r="G973" s="602"/>
      <c r="H973" s="441">
        <v>55</v>
      </c>
      <c r="I973" s="1159"/>
      <c r="J973" s="415"/>
      <c r="K973" s="437"/>
    </row>
    <row r="974" spans="1:11" x14ac:dyDescent="0.2">
      <c r="A974" s="349" t="s">
        <v>4094</v>
      </c>
      <c r="B974" s="347" t="s">
        <v>295</v>
      </c>
      <c r="C974" s="1157"/>
      <c r="D974" s="1158"/>
      <c r="E974" s="425">
        <v>37</v>
      </c>
      <c r="F974" s="178"/>
      <c r="G974" s="602"/>
      <c r="H974" s="441">
        <v>30.3</v>
      </c>
      <c r="I974" s="1159"/>
      <c r="J974" s="415">
        <v>72300.636059113298</v>
      </c>
      <c r="K974" s="437"/>
    </row>
    <row r="975" spans="1:11" x14ac:dyDescent="0.2">
      <c r="A975" s="348" t="s">
        <v>954</v>
      </c>
      <c r="B975" s="347"/>
      <c r="C975" s="1157" t="s">
        <v>11215</v>
      </c>
      <c r="D975" s="1158">
        <v>6</v>
      </c>
      <c r="E975" s="425"/>
      <c r="F975" s="178"/>
      <c r="G975" s="602"/>
      <c r="H975" s="441">
        <f>1947.4-1947.4</f>
        <v>0</v>
      </c>
      <c r="I975" s="1159">
        <v>1965</v>
      </c>
      <c r="J975" s="415">
        <f>4991340-4991340</f>
        <v>0</v>
      </c>
      <c r="K975" s="437"/>
    </row>
    <row r="976" spans="1:11" x14ac:dyDescent="0.2">
      <c r="A976" s="834" t="s">
        <v>955</v>
      </c>
      <c r="B976" s="833" t="s">
        <v>295</v>
      </c>
      <c r="C976" s="1157"/>
      <c r="D976" s="1158"/>
      <c r="E976" s="425">
        <v>36</v>
      </c>
      <c r="F976" s="178"/>
      <c r="G976" s="859"/>
      <c r="H976" s="270">
        <v>55.1</v>
      </c>
      <c r="I976" s="1159"/>
      <c r="J976" s="837">
        <v>141225.65163808153</v>
      </c>
      <c r="K976" s="437"/>
    </row>
    <row r="977" spans="1:11" ht="25.5" customHeight="1" x14ac:dyDescent="0.2">
      <c r="A977" s="863" t="s">
        <v>14261</v>
      </c>
      <c r="B977" s="347" t="s">
        <v>295</v>
      </c>
      <c r="C977" s="1157"/>
      <c r="D977" s="1158"/>
      <c r="E977" s="425">
        <v>33</v>
      </c>
      <c r="F977" s="178" t="s">
        <v>14262</v>
      </c>
      <c r="G977" s="602"/>
      <c r="H977" s="270">
        <v>29.3</v>
      </c>
      <c r="I977" s="1159"/>
      <c r="J977" s="415">
        <v>934176.47</v>
      </c>
      <c r="K977" s="437">
        <v>559748.02</v>
      </c>
    </row>
    <row r="978" spans="1:11" ht="25.5" customHeight="1" x14ac:dyDescent="0.2">
      <c r="A978" s="348" t="s">
        <v>14097</v>
      </c>
      <c r="B978" s="833"/>
      <c r="C978" s="1157" t="s">
        <v>14099</v>
      </c>
      <c r="D978" s="1150">
        <v>8</v>
      </c>
      <c r="E978" s="425"/>
      <c r="F978" s="178"/>
      <c r="G978" s="844"/>
      <c r="H978" s="270"/>
      <c r="I978" s="1145">
        <v>1966</v>
      </c>
      <c r="J978" s="837"/>
      <c r="K978" s="437"/>
    </row>
    <row r="979" spans="1:11" ht="25.5" customHeight="1" x14ac:dyDescent="0.2">
      <c r="A979" s="834" t="s">
        <v>14098</v>
      </c>
      <c r="B979" s="833" t="s">
        <v>295</v>
      </c>
      <c r="C979" s="1157"/>
      <c r="D979" s="1152"/>
      <c r="E979" s="425">
        <v>26</v>
      </c>
      <c r="F979" s="178" t="s">
        <v>14100</v>
      </c>
      <c r="G979" s="844" t="s">
        <v>512</v>
      </c>
      <c r="H979" s="270">
        <v>30.9</v>
      </c>
      <c r="I979" s="1146"/>
      <c r="J979" s="837">
        <v>692939</v>
      </c>
      <c r="K979" s="437">
        <v>612439.85</v>
      </c>
    </row>
    <row r="980" spans="1:11" ht="22.5" customHeight="1" x14ac:dyDescent="0.2">
      <c r="A980" s="348" t="s">
        <v>956</v>
      </c>
      <c r="B980" s="347"/>
      <c r="C980" s="1157" t="s">
        <v>11216</v>
      </c>
      <c r="D980" s="1158">
        <v>10</v>
      </c>
      <c r="E980" s="425"/>
      <c r="F980" s="268" t="s">
        <v>11217</v>
      </c>
      <c r="G980" s="617"/>
      <c r="H980" s="441">
        <f>4281.9-4281.9</f>
        <v>0</v>
      </c>
      <c r="I980" s="1159">
        <v>1973</v>
      </c>
      <c r="J980" s="415">
        <f>13720404-13720404</f>
        <v>0</v>
      </c>
      <c r="K980" s="437"/>
    </row>
    <row r="981" spans="1:11" ht="17.25" customHeight="1" x14ac:dyDescent="0.2">
      <c r="A981" s="349" t="s">
        <v>957</v>
      </c>
      <c r="B981" s="347" t="s">
        <v>295</v>
      </c>
      <c r="C981" s="1157"/>
      <c r="D981" s="1158"/>
      <c r="E981" s="425">
        <v>19</v>
      </c>
      <c r="F981" s="178"/>
      <c r="G981" s="602"/>
      <c r="H981" s="270">
        <v>60.3</v>
      </c>
      <c r="I981" s="1159"/>
      <c r="J981" s="415">
        <v>193218.04834302529</v>
      </c>
      <c r="K981" s="437"/>
    </row>
    <row r="982" spans="1:11" ht="12.75" customHeight="1" x14ac:dyDescent="0.2">
      <c r="A982" s="348" t="s">
        <v>958</v>
      </c>
      <c r="B982" s="347"/>
      <c r="C982" s="1147" t="s">
        <v>11218</v>
      </c>
      <c r="D982" s="1150">
        <v>12</v>
      </c>
      <c r="E982" s="425"/>
      <c r="F982" s="178"/>
      <c r="G982" s="602"/>
      <c r="H982" s="441">
        <f>4468.9-4468.9</f>
        <v>0</v>
      </c>
      <c r="I982" s="1145">
        <v>1975</v>
      </c>
      <c r="J982" s="415">
        <f>11980036-11980036</f>
        <v>0</v>
      </c>
      <c r="K982" s="437"/>
    </row>
    <row r="983" spans="1:11" ht="12.75" customHeight="1" x14ac:dyDescent="0.2">
      <c r="A983" s="349" t="s">
        <v>959</v>
      </c>
      <c r="B983" s="347" t="s">
        <v>295</v>
      </c>
      <c r="C983" s="1148"/>
      <c r="D983" s="1151"/>
      <c r="E983" s="425">
        <v>58</v>
      </c>
      <c r="F983" s="178" t="s">
        <v>10280</v>
      </c>
      <c r="G983" s="602"/>
      <c r="H983" s="270">
        <v>42.1</v>
      </c>
      <c r="I983" s="1153"/>
      <c r="J983" s="415">
        <v>112859.87952292511</v>
      </c>
      <c r="K983" s="437"/>
    </row>
    <row r="984" spans="1:11" ht="25.5" x14ac:dyDescent="0.2">
      <c r="A984" s="349" t="s">
        <v>10281</v>
      </c>
      <c r="B984" s="865" t="s">
        <v>14329</v>
      </c>
      <c r="C984" s="1148"/>
      <c r="D984" s="1151"/>
      <c r="E984" s="425">
        <v>87</v>
      </c>
      <c r="F984" s="38" t="s">
        <v>10282</v>
      </c>
      <c r="G984" s="602" t="s">
        <v>512</v>
      </c>
      <c r="H984" s="415">
        <v>38</v>
      </c>
      <c r="I984" s="1153"/>
      <c r="J984" s="415"/>
      <c r="K984" s="437">
        <v>753162.28</v>
      </c>
    </row>
    <row r="985" spans="1:11" ht="12.75" customHeight="1" x14ac:dyDescent="0.2">
      <c r="A985" s="349" t="s">
        <v>10739</v>
      </c>
      <c r="B985" s="347" t="s">
        <v>10681</v>
      </c>
      <c r="C985" s="1148"/>
      <c r="D985" s="1151"/>
      <c r="E985" s="425">
        <v>1</v>
      </c>
      <c r="F985" s="178" t="s">
        <v>11219</v>
      </c>
      <c r="G985" s="602" t="s">
        <v>11220</v>
      </c>
      <c r="H985" s="415">
        <v>39</v>
      </c>
      <c r="I985" s="1153"/>
      <c r="J985" s="415">
        <v>1153053</v>
      </c>
      <c r="K985" s="437">
        <v>722253.8</v>
      </c>
    </row>
    <row r="986" spans="1:11" ht="25.5" customHeight="1" x14ac:dyDescent="0.2">
      <c r="A986" s="349" t="s">
        <v>10762</v>
      </c>
      <c r="B986" s="347" t="s">
        <v>295</v>
      </c>
      <c r="C986" s="1148"/>
      <c r="D986" s="1151"/>
      <c r="E986" s="425">
        <v>60</v>
      </c>
      <c r="F986" s="178" t="s">
        <v>10764</v>
      </c>
      <c r="G986" s="602" t="s">
        <v>507</v>
      </c>
      <c r="H986" s="415">
        <v>46.7</v>
      </c>
      <c r="I986" s="1153"/>
      <c r="J986" s="415">
        <v>778000</v>
      </c>
      <c r="K986" s="437">
        <v>898291.33</v>
      </c>
    </row>
    <row r="987" spans="1:11" ht="24" customHeight="1" x14ac:dyDescent="0.2">
      <c r="A987" s="349" t="s">
        <v>10763</v>
      </c>
      <c r="B987" s="347" t="s">
        <v>295</v>
      </c>
      <c r="C987" s="1148"/>
      <c r="D987" s="1151"/>
      <c r="E987" s="425">
        <v>84</v>
      </c>
      <c r="F987" s="178" t="s">
        <v>10765</v>
      </c>
      <c r="G987" s="602" t="s">
        <v>137</v>
      </c>
      <c r="H987" s="415">
        <v>38.700000000000003</v>
      </c>
      <c r="I987" s="1153"/>
      <c r="J987" s="415">
        <v>1147287.73</v>
      </c>
      <c r="K987" s="437">
        <v>739325.88</v>
      </c>
    </row>
    <row r="988" spans="1:11" ht="25.5" customHeight="1" x14ac:dyDescent="0.2">
      <c r="A988" s="348" t="s">
        <v>960</v>
      </c>
      <c r="B988" s="347"/>
      <c r="C988" s="1147" t="s">
        <v>11221</v>
      </c>
      <c r="D988" s="1150">
        <v>14</v>
      </c>
      <c r="E988" s="425"/>
      <c r="F988" s="178"/>
      <c r="G988" s="602"/>
      <c r="H988" s="415">
        <f>3387.6-3387.6</f>
        <v>0</v>
      </c>
      <c r="I988" s="1145">
        <v>1978</v>
      </c>
      <c r="J988" s="415">
        <f>8885356-8885356</f>
        <v>0</v>
      </c>
      <c r="K988" s="437"/>
    </row>
    <row r="989" spans="1:11" ht="12.75" customHeight="1" x14ac:dyDescent="0.2">
      <c r="A989" s="349" t="s">
        <v>1513</v>
      </c>
      <c r="B989" s="347" t="s">
        <v>295</v>
      </c>
      <c r="C989" s="1148"/>
      <c r="D989" s="1151"/>
      <c r="E989" s="425">
        <v>22</v>
      </c>
      <c r="F989" s="541"/>
      <c r="G989" s="602"/>
      <c r="H989" s="271">
        <v>45</v>
      </c>
      <c r="I989" s="1153"/>
      <c r="J989" s="415">
        <v>118030.76514346441</v>
      </c>
      <c r="K989" s="437"/>
    </row>
    <row r="990" spans="1:11" ht="12.75" customHeight="1" x14ac:dyDescent="0.2">
      <c r="A990" s="349" t="s">
        <v>1514</v>
      </c>
      <c r="B990" s="347" t="s">
        <v>295</v>
      </c>
      <c r="C990" s="1148"/>
      <c r="D990" s="1151"/>
      <c r="E990" s="425">
        <v>67</v>
      </c>
      <c r="F990" s="541"/>
      <c r="G990" s="602"/>
      <c r="H990" s="271">
        <v>45.6</v>
      </c>
      <c r="I990" s="1153"/>
      <c r="J990" s="415">
        <v>119604.5086787106</v>
      </c>
      <c r="K990" s="437"/>
    </row>
    <row r="991" spans="1:11" ht="12.75" customHeight="1" x14ac:dyDescent="0.2">
      <c r="A991" s="349" t="s">
        <v>9161</v>
      </c>
      <c r="B991" s="347" t="s">
        <v>295</v>
      </c>
      <c r="C991" s="1148"/>
      <c r="D991" s="1151"/>
      <c r="E991" s="425">
        <v>37</v>
      </c>
      <c r="F991" s="178" t="s">
        <v>9174</v>
      </c>
      <c r="G991" s="602" t="s">
        <v>137</v>
      </c>
      <c r="H991" s="271">
        <v>28.1</v>
      </c>
      <c r="I991" s="1153"/>
      <c r="J991" s="415">
        <v>851032.66</v>
      </c>
      <c r="K991" s="437">
        <v>536823.18000000005</v>
      </c>
    </row>
    <row r="992" spans="1:11" x14ac:dyDescent="0.2">
      <c r="A992" s="349" t="s">
        <v>10652</v>
      </c>
      <c r="B992" s="347" t="s">
        <v>295</v>
      </c>
      <c r="C992" s="1148"/>
      <c r="D992" s="1151"/>
      <c r="E992" s="425">
        <v>33</v>
      </c>
      <c r="F992" s="38" t="s">
        <v>10653</v>
      </c>
      <c r="G992" s="602" t="s">
        <v>127</v>
      </c>
      <c r="H992" s="437">
        <v>44.9</v>
      </c>
      <c r="I992" s="1153"/>
      <c r="J992" s="415">
        <v>1153053</v>
      </c>
      <c r="K992" s="437">
        <v>831517.84</v>
      </c>
    </row>
    <row r="993" spans="1:11" x14ac:dyDescent="0.2">
      <c r="A993" s="349" t="s">
        <v>10740</v>
      </c>
      <c r="B993" s="347" t="s">
        <v>295</v>
      </c>
      <c r="C993" s="1148"/>
      <c r="D993" s="1151"/>
      <c r="E993" s="425">
        <v>27</v>
      </c>
      <c r="F993" s="38" t="s">
        <v>11222</v>
      </c>
      <c r="G993" s="602" t="s">
        <v>128</v>
      </c>
      <c r="H993" s="437">
        <f>45.4-45.4</f>
        <v>0</v>
      </c>
      <c r="I993" s="1153"/>
      <c r="J993" s="415">
        <f>1153053-1153053</f>
        <v>0</v>
      </c>
      <c r="K993" s="437"/>
    </row>
    <row r="994" spans="1:11" x14ac:dyDescent="0.2">
      <c r="A994" s="349" t="s">
        <v>10911</v>
      </c>
      <c r="B994" s="347" t="s">
        <v>295</v>
      </c>
      <c r="C994" s="1149"/>
      <c r="D994" s="1152"/>
      <c r="E994" s="425">
        <v>43</v>
      </c>
      <c r="F994" s="38" t="s">
        <v>10912</v>
      </c>
      <c r="G994" s="602" t="s">
        <v>128</v>
      </c>
      <c r="H994" s="437">
        <v>44.2</v>
      </c>
      <c r="I994" s="1146"/>
      <c r="J994" s="415">
        <v>614000</v>
      </c>
      <c r="K994" s="437">
        <v>850202.91</v>
      </c>
    </row>
    <row r="995" spans="1:11" x14ac:dyDescent="0.2">
      <c r="A995" s="348" t="s">
        <v>961</v>
      </c>
      <c r="B995" s="347"/>
      <c r="C995" s="1157" t="s">
        <v>11223</v>
      </c>
      <c r="D995" s="1158">
        <v>16</v>
      </c>
      <c r="E995" s="436"/>
      <c r="F995" s="541"/>
      <c r="G995" s="602"/>
      <c r="H995" s="441">
        <f>2933.6-2933.6</f>
        <v>0</v>
      </c>
      <c r="I995" s="1159">
        <v>1961</v>
      </c>
      <c r="J995" s="415">
        <f>6907516-6907516</f>
        <v>0</v>
      </c>
      <c r="K995" s="437"/>
    </row>
    <row r="996" spans="1:11" ht="12.75" customHeight="1" x14ac:dyDescent="0.2">
      <c r="A996" s="349" t="s">
        <v>962</v>
      </c>
      <c r="B996" s="347" t="s">
        <v>295</v>
      </c>
      <c r="C996" s="1157"/>
      <c r="D996" s="1158"/>
      <c r="E996" s="445">
        <v>12</v>
      </c>
      <c r="F996" s="541"/>
      <c r="G996" s="602"/>
      <c r="H996" s="270">
        <v>42.2</v>
      </c>
      <c r="I996" s="1159"/>
      <c r="J996" s="415">
        <v>99365.003817834746</v>
      </c>
      <c r="K996" s="437"/>
    </row>
    <row r="997" spans="1:11" x14ac:dyDescent="0.2">
      <c r="A997" s="349" t="s">
        <v>963</v>
      </c>
      <c r="B997" s="347" t="s">
        <v>295</v>
      </c>
      <c r="C997" s="1157"/>
      <c r="D997" s="1158"/>
      <c r="E997" s="445">
        <v>18</v>
      </c>
      <c r="F997" s="541"/>
      <c r="G997" s="602"/>
      <c r="H997" s="270">
        <v>18.100000000000001</v>
      </c>
      <c r="I997" s="1159"/>
      <c r="J997" s="415">
        <v>42618.639078265616</v>
      </c>
      <c r="K997" s="437"/>
    </row>
    <row r="998" spans="1:11" ht="12.75" customHeight="1" x14ac:dyDescent="0.2">
      <c r="A998" s="349" t="s">
        <v>964</v>
      </c>
      <c r="B998" s="347" t="s">
        <v>295</v>
      </c>
      <c r="C998" s="1157"/>
      <c r="D998" s="1158"/>
      <c r="E998" s="445">
        <v>23</v>
      </c>
      <c r="F998" s="541"/>
      <c r="G998" s="602"/>
      <c r="H998" s="270">
        <v>11.4</v>
      </c>
      <c r="I998" s="1159"/>
      <c r="J998" s="415">
        <v>26842.678756476682</v>
      </c>
      <c r="K998" s="437"/>
    </row>
    <row r="999" spans="1:11" x14ac:dyDescent="0.2">
      <c r="A999" s="349" t="s">
        <v>965</v>
      </c>
      <c r="B999" s="347" t="s">
        <v>295</v>
      </c>
      <c r="C999" s="1157"/>
      <c r="D999" s="1158"/>
      <c r="E999" s="445">
        <v>24</v>
      </c>
      <c r="F999" s="541"/>
      <c r="G999" s="602"/>
      <c r="H999" s="270">
        <v>37.700000000000003</v>
      </c>
      <c r="I999" s="1159"/>
      <c r="J999" s="415">
        <v>88769.209571857107</v>
      </c>
      <c r="K999" s="437"/>
    </row>
    <row r="1000" spans="1:11" x14ac:dyDescent="0.2">
      <c r="A1000" s="349" t="s">
        <v>966</v>
      </c>
      <c r="B1000" s="347" t="s">
        <v>295</v>
      </c>
      <c r="C1000" s="1157"/>
      <c r="D1000" s="1158"/>
      <c r="E1000" s="445">
        <v>25</v>
      </c>
      <c r="F1000" s="541"/>
      <c r="G1000" s="602"/>
      <c r="H1000" s="270">
        <v>21.7</v>
      </c>
      <c r="I1000" s="1159"/>
      <c r="J1000" s="415">
        <v>51095.274475047721</v>
      </c>
      <c r="K1000" s="437"/>
    </row>
    <row r="1001" spans="1:11" x14ac:dyDescent="0.2">
      <c r="A1001" s="349" t="s">
        <v>967</v>
      </c>
      <c r="B1001" s="347" t="s">
        <v>295</v>
      </c>
      <c r="C1001" s="1157"/>
      <c r="D1001" s="1158"/>
      <c r="E1001" s="445">
        <v>31</v>
      </c>
      <c r="F1001" s="541" t="s">
        <v>10283</v>
      </c>
      <c r="G1001" s="602"/>
      <c r="H1001" s="270">
        <v>42.2</v>
      </c>
      <c r="I1001" s="1159"/>
      <c r="J1001" s="415">
        <v>99365.003817834746</v>
      </c>
      <c r="K1001" s="437">
        <v>806190.07</v>
      </c>
    </row>
    <row r="1002" spans="1:11" x14ac:dyDescent="0.2">
      <c r="A1002" s="349" t="s">
        <v>1515</v>
      </c>
      <c r="B1002" s="347" t="s">
        <v>295</v>
      </c>
      <c r="C1002" s="1157"/>
      <c r="D1002" s="1158"/>
      <c r="E1002" s="445">
        <v>34</v>
      </c>
      <c r="F1002" s="541"/>
      <c r="G1002" s="602"/>
      <c r="H1002" s="270">
        <v>31.1</v>
      </c>
      <c r="I1002" s="1159"/>
      <c r="J1002" s="415">
        <v>73228.711344423238</v>
      </c>
      <c r="K1002" s="437"/>
    </row>
    <row r="1003" spans="1:11" ht="38.25" x14ac:dyDescent="0.2">
      <c r="A1003" s="590" t="s">
        <v>13224</v>
      </c>
      <c r="B1003" s="432" t="s">
        <v>295</v>
      </c>
      <c r="C1003" s="920" t="s">
        <v>13225</v>
      </c>
      <c r="D1003" s="712">
        <v>18</v>
      </c>
      <c r="E1003" s="672">
        <v>6</v>
      </c>
      <c r="F1003" s="624" t="s">
        <v>13226</v>
      </c>
      <c r="G1003" s="432" t="s">
        <v>512</v>
      </c>
      <c r="H1003" s="753">
        <v>39.4</v>
      </c>
      <c r="I1003" s="713">
        <v>1962</v>
      </c>
      <c r="J1003" s="435">
        <v>731358</v>
      </c>
      <c r="K1003" s="443">
        <v>455137.41</v>
      </c>
    </row>
    <row r="1004" spans="1:11" ht="12.75" customHeight="1" x14ac:dyDescent="0.2">
      <c r="A1004" s="348" t="s">
        <v>968</v>
      </c>
      <c r="B1004" s="347"/>
      <c r="C1004" s="1147" t="s">
        <v>11224</v>
      </c>
      <c r="D1004" s="1150">
        <v>20</v>
      </c>
      <c r="E1004" s="436"/>
      <c r="F1004" s="541"/>
      <c r="G1004" s="602"/>
      <c r="H1004" s="441">
        <f>954.3-954.3</f>
        <v>0</v>
      </c>
      <c r="I1004" s="1145">
        <v>1962</v>
      </c>
      <c r="J1004" s="415">
        <f>2822112-2822112</f>
        <v>0</v>
      </c>
      <c r="K1004" s="437"/>
    </row>
    <row r="1005" spans="1:11" ht="12.75" customHeight="1" x14ac:dyDescent="0.2">
      <c r="A1005" s="349" t="s">
        <v>970</v>
      </c>
      <c r="B1005" s="347" t="s">
        <v>295</v>
      </c>
      <c r="C1005" s="1148"/>
      <c r="D1005" s="1151"/>
      <c r="E1005" s="436">
        <v>1</v>
      </c>
      <c r="F1005" s="42" t="s">
        <v>11784</v>
      </c>
      <c r="G1005" s="602" t="s">
        <v>137</v>
      </c>
      <c r="H1005" s="441">
        <f>31.3-31.3</f>
        <v>0</v>
      </c>
      <c r="I1005" s="1153"/>
      <c r="J1005" s="415">
        <f>92562.1980509274-92562.1980509274</f>
        <v>0</v>
      </c>
      <c r="K1005" s="437"/>
    </row>
    <row r="1006" spans="1:11" x14ac:dyDescent="0.2">
      <c r="A1006" s="349" t="s">
        <v>971</v>
      </c>
      <c r="B1006" s="347" t="s">
        <v>295</v>
      </c>
      <c r="C1006" s="1148"/>
      <c r="D1006" s="1151"/>
      <c r="E1006" s="436">
        <v>5</v>
      </c>
      <c r="F1006" s="541"/>
      <c r="G1006" s="602"/>
      <c r="H1006" s="441">
        <v>31.3</v>
      </c>
      <c r="I1006" s="1153"/>
      <c r="J1006" s="415">
        <v>92562.198050927385</v>
      </c>
      <c r="K1006" s="437"/>
    </row>
    <row r="1007" spans="1:11" x14ac:dyDescent="0.2">
      <c r="A1007" s="403" t="s">
        <v>13043</v>
      </c>
      <c r="B1007" s="432" t="s">
        <v>295</v>
      </c>
      <c r="C1007" s="1149"/>
      <c r="D1007" s="1152"/>
      <c r="E1007" s="672">
        <v>3</v>
      </c>
      <c r="F1007" s="624" t="s">
        <v>13044</v>
      </c>
      <c r="G1007" s="432" t="s">
        <v>137</v>
      </c>
      <c r="H1007" s="754">
        <v>31.6</v>
      </c>
      <c r="I1007" s="1146"/>
      <c r="J1007" s="435">
        <v>658569.12</v>
      </c>
      <c r="K1007" s="443">
        <v>447614.63</v>
      </c>
    </row>
    <row r="1008" spans="1:11" x14ac:dyDescent="0.2">
      <c r="A1008" s="348" t="s">
        <v>969</v>
      </c>
      <c r="B1008" s="347"/>
      <c r="C1008" s="1147" t="s">
        <v>11225</v>
      </c>
      <c r="D1008" s="1150">
        <v>22</v>
      </c>
      <c r="E1008" s="436"/>
      <c r="F1008" s="541"/>
      <c r="G1008" s="602"/>
      <c r="H1008" s="441">
        <f>1802.6-1802.6</f>
        <v>0</v>
      </c>
      <c r="I1008" s="1145">
        <v>1963</v>
      </c>
      <c r="J1008" s="415">
        <f>4223328-4223328</f>
        <v>0</v>
      </c>
      <c r="K1008" s="437"/>
    </row>
    <row r="1009" spans="1:11" ht="12.75" customHeight="1" x14ac:dyDescent="0.2">
      <c r="A1009" s="349" t="s">
        <v>972</v>
      </c>
      <c r="B1009" s="347" t="s">
        <v>295</v>
      </c>
      <c r="C1009" s="1148"/>
      <c r="D1009" s="1151"/>
      <c r="E1009" s="445">
        <v>3</v>
      </c>
      <c r="F1009" s="541"/>
      <c r="G1009" s="602"/>
      <c r="H1009" s="441">
        <v>28.92</v>
      </c>
      <c r="I1009" s="1153"/>
      <c r="J1009" s="415">
        <v>67756.932075890392</v>
      </c>
      <c r="K1009" s="437"/>
    </row>
    <row r="1010" spans="1:11" x14ac:dyDescent="0.2">
      <c r="A1010" s="349" t="s">
        <v>973</v>
      </c>
      <c r="B1010" s="347" t="s">
        <v>295</v>
      </c>
      <c r="C1010" s="1148"/>
      <c r="D1010" s="1151"/>
      <c r="E1010" s="445">
        <v>20</v>
      </c>
      <c r="F1010" s="541"/>
      <c r="G1010" s="602"/>
      <c r="H1010" s="441">
        <v>9.6999999999999993</v>
      </c>
      <c r="I1010" s="1153"/>
      <c r="J1010" s="415">
        <v>22726.218573172086</v>
      </c>
      <c r="K1010" s="437"/>
    </row>
    <row r="1011" spans="1:11" x14ac:dyDescent="0.2">
      <c r="A1011" s="349" t="s">
        <v>974</v>
      </c>
      <c r="B1011" s="347" t="s">
        <v>295</v>
      </c>
      <c r="C1011" s="1148"/>
      <c r="D1011" s="1151"/>
      <c r="E1011" s="445">
        <v>21</v>
      </c>
      <c r="F1011" s="541"/>
      <c r="G1011" s="602"/>
      <c r="H1011" s="441">
        <v>11.5</v>
      </c>
      <c r="I1011" s="1153"/>
      <c r="J1011" s="415">
        <v>26943.455009430825</v>
      </c>
      <c r="K1011" s="437"/>
    </row>
    <row r="1012" spans="1:11" x14ac:dyDescent="0.2">
      <c r="A1012" s="349" t="s">
        <v>975</v>
      </c>
      <c r="B1012" s="347" t="s">
        <v>295</v>
      </c>
      <c r="C1012" s="1148"/>
      <c r="D1012" s="1151"/>
      <c r="E1012" s="445">
        <v>23</v>
      </c>
      <c r="F1012" s="541"/>
      <c r="G1012" s="602"/>
      <c r="H1012" s="441">
        <v>28.4</v>
      </c>
      <c r="I1012" s="1153"/>
      <c r="J1012" s="415">
        <v>66538.619327637862</v>
      </c>
      <c r="K1012" s="437"/>
    </row>
    <row r="1013" spans="1:11" ht="12.75" customHeight="1" x14ac:dyDescent="0.2">
      <c r="A1013" s="349" t="s">
        <v>976</v>
      </c>
      <c r="B1013" s="347" t="s">
        <v>295</v>
      </c>
      <c r="C1013" s="1148"/>
      <c r="D1013" s="1151"/>
      <c r="E1013" s="445">
        <v>24</v>
      </c>
      <c r="F1013" s="541"/>
      <c r="G1013" s="602"/>
      <c r="H1013" s="441">
        <v>11.6</v>
      </c>
      <c r="I1013" s="1153"/>
      <c r="J1013" s="415">
        <v>27177.745922556311</v>
      </c>
      <c r="K1013" s="437"/>
    </row>
    <row r="1014" spans="1:11" x14ac:dyDescent="0.2">
      <c r="A1014" s="349" t="s">
        <v>977</v>
      </c>
      <c r="B1014" s="347" t="s">
        <v>295</v>
      </c>
      <c r="C1014" s="1148"/>
      <c r="D1014" s="1151"/>
      <c r="E1014" s="445">
        <v>26</v>
      </c>
      <c r="F1014" s="541"/>
      <c r="G1014" s="602"/>
      <c r="H1014" s="441">
        <v>11.6</v>
      </c>
      <c r="I1014" s="1153"/>
      <c r="J1014" s="415">
        <v>27177.745922556311</v>
      </c>
      <c r="K1014" s="437"/>
    </row>
    <row r="1015" spans="1:11" x14ac:dyDescent="0.2">
      <c r="A1015" s="349" t="s">
        <v>1516</v>
      </c>
      <c r="B1015" s="347" t="s">
        <v>295</v>
      </c>
      <c r="C1015" s="1148"/>
      <c r="D1015" s="1151"/>
      <c r="E1015" s="445">
        <v>28</v>
      </c>
      <c r="F1015" s="541"/>
      <c r="G1015" s="602"/>
      <c r="H1015" s="441">
        <v>8</v>
      </c>
      <c r="I1015" s="1153"/>
      <c r="J1015" s="415">
        <v>18743.273050038835</v>
      </c>
      <c r="K1015" s="437"/>
    </row>
    <row r="1016" spans="1:11" ht="12.75" customHeight="1" x14ac:dyDescent="0.2">
      <c r="A1016" s="349" t="s">
        <v>1517</v>
      </c>
      <c r="B1016" s="347" t="s">
        <v>295</v>
      </c>
      <c r="C1016" s="1148"/>
      <c r="D1016" s="1151"/>
      <c r="E1016" s="445">
        <v>30</v>
      </c>
      <c r="F1016" s="541"/>
      <c r="G1016" s="602"/>
      <c r="H1016" s="441">
        <v>11.4</v>
      </c>
      <c r="I1016" s="1153"/>
      <c r="J1016" s="415">
        <v>26709.16409630534</v>
      </c>
      <c r="K1016" s="437"/>
    </row>
    <row r="1017" spans="1:11" x14ac:dyDescent="0.2">
      <c r="A1017" s="349" t="s">
        <v>1518</v>
      </c>
      <c r="B1017" s="347" t="s">
        <v>295</v>
      </c>
      <c r="C1017" s="1148"/>
      <c r="D1017" s="1151"/>
      <c r="E1017" s="445">
        <v>31</v>
      </c>
      <c r="F1017" s="541"/>
      <c r="G1017" s="602"/>
      <c r="H1017" s="441">
        <v>5.0999999999999996</v>
      </c>
      <c r="I1017" s="1153"/>
      <c r="J1017" s="415">
        <v>11948.836569399757</v>
      </c>
      <c r="K1017" s="437"/>
    </row>
    <row r="1018" spans="1:11" x14ac:dyDescent="0.2">
      <c r="A1018" s="349" t="s">
        <v>1519</v>
      </c>
      <c r="B1018" s="347" t="s">
        <v>295</v>
      </c>
      <c r="C1018" s="1148"/>
      <c r="D1018" s="1151"/>
      <c r="E1018" s="445" t="s">
        <v>4088</v>
      </c>
      <c r="F1018" s="541"/>
      <c r="G1018" s="602"/>
      <c r="H1018" s="441">
        <v>26.2</v>
      </c>
      <c r="I1018" s="1153"/>
      <c r="J1018" s="415">
        <v>61384.21923887718</v>
      </c>
      <c r="K1018" s="437"/>
    </row>
    <row r="1019" spans="1:11" x14ac:dyDescent="0.2">
      <c r="A1019" s="349" t="s">
        <v>1520</v>
      </c>
      <c r="B1019" s="347" t="s">
        <v>295</v>
      </c>
      <c r="C1019" s="1148"/>
      <c r="D1019" s="1151"/>
      <c r="E1019" s="445">
        <v>38</v>
      </c>
      <c r="F1019" s="541"/>
      <c r="G1019" s="602"/>
      <c r="H1019" s="441">
        <v>16.100000000000001</v>
      </c>
      <c r="I1019" s="1153"/>
      <c r="J1019" s="415">
        <v>37720.837013203156</v>
      </c>
      <c r="K1019" s="437"/>
    </row>
    <row r="1020" spans="1:11" x14ac:dyDescent="0.2">
      <c r="A1020" s="349" t="s">
        <v>1521</v>
      </c>
      <c r="B1020" s="347" t="s">
        <v>295</v>
      </c>
      <c r="C1020" s="1148"/>
      <c r="D1020" s="1151"/>
      <c r="E1020" s="445">
        <v>39</v>
      </c>
      <c r="F1020" s="541"/>
      <c r="G1020" s="602"/>
      <c r="H1020" s="441">
        <v>18.8</v>
      </c>
      <c r="I1020" s="1153"/>
      <c r="J1020" s="415">
        <v>44046.691667591265</v>
      </c>
      <c r="K1020" s="437"/>
    </row>
    <row r="1021" spans="1:11" x14ac:dyDescent="0.2">
      <c r="A1021" s="349" t="s">
        <v>1522</v>
      </c>
      <c r="B1021" s="347" t="s">
        <v>295</v>
      </c>
      <c r="C1021" s="1148"/>
      <c r="D1021" s="1151"/>
      <c r="E1021" s="445">
        <v>40</v>
      </c>
      <c r="F1021" s="541"/>
      <c r="G1021" s="602"/>
      <c r="H1021" s="441">
        <v>11.8</v>
      </c>
      <c r="I1021" s="1153"/>
      <c r="J1021" s="415">
        <v>27646.327748807285</v>
      </c>
      <c r="K1021" s="437"/>
    </row>
    <row r="1022" spans="1:11" x14ac:dyDescent="0.2">
      <c r="A1022" s="349" t="s">
        <v>1523</v>
      </c>
      <c r="B1022" s="347" t="s">
        <v>295</v>
      </c>
      <c r="C1022" s="1148"/>
      <c r="D1022" s="1151"/>
      <c r="E1022" s="445">
        <v>42</v>
      </c>
      <c r="F1022" s="541"/>
      <c r="G1022" s="602"/>
      <c r="H1022" s="441">
        <v>16.5</v>
      </c>
      <c r="I1022" s="1153"/>
      <c r="J1022" s="415">
        <v>38658.000665705098</v>
      </c>
      <c r="K1022" s="437"/>
    </row>
    <row r="1023" spans="1:11" ht="12.75" customHeight="1" x14ac:dyDescent="0.2">
      <c r="A1023" s="349" t="s">
        <v>1524</v>
      </c>
      <c r="B1023" s="347" t="s">
        <v>295</v>
      </c>
      <c r="C1023" s="1148"/>
      <c r="D1023" s="1151"/>
      <c r="E1023" s="445" t="s">
        <v>10021</v>
      </c>
      <c r="F1023" s="541"/>
      <c r="G1023" s="602"/>
      <c r="H1023" s="441">
        <v>49.2</v>
      </c>
      <c r="I1023" s="1153"/>
      <c r="J1023" s="415">
        <v>115271.12925773884</v>
      </c>
      <c r="K1023" s="437"/>
    </row>
    <row r="1024" spans="1:11" x14ac:dyDescent="0.2">
      <c r="A1024" s="349" t="s">
        <v>1525</v>
      </c>
      <c r="B1024" s="347" t="s">
        <v>295</v>
      </c>
      <c r="C1024" s="1148"/>
      <c r="D1024" s="1151"/>
      <c r="E1024" s="445">
        <v>44</v>
      </c>
      <c r="F1024" s="541"/>
      <c r="G1024" s="602"/>
      <c r="H1024" s="441">
        <v>16</v>
      </c>
      <c r="I1024" s="1153"/>
      <c r="J1024" s="415">
        <v>37486.54610007767</v>
      </c>
      <c r="K1024" s="437"/>
    </row>
    <row r="1025" spans="1:11" x14ac:dyDescent="0.2">
      <c r="A1025" s="349" t="s">
        <v>1526</v>
      </c>
      <c r="B1025" s="347" t="s">
        <v>295</v>
      </c>
      <c r="C1025" s="1148"/>
      <c r="D1025" s="1151"/>
      <c r="E1025" s="445">
        <v>46</v>
      </c>
      <c r="F1025" s="541"/>
      <c r="G1025" s="602"/>
      <c r="H1025" s="441">
        <v>11</v>
      </c>
      <c r="I1025" s="1153"/>
      <c r="J1025" s="415">
        <v>25772.000443803398</v>
      </c>
      <c r="K1025" s="437"/>
    </row>
    <row r="1026" spans="1:11" ht="12.75" customHeight="1" x14ac:dyDescent="0.2">
      <c r="A1026" s="349" t="s">
        <v>1527</v>
      </c>
      <c r="B1026" s="347" t="s">
        <v>295</v>
      </c>
      <c r="C1026" s="1148"/>
      <c r="D1026" s="1151"/>
      <c r="E1026" s="445">
        <v>48</v>
      </c>
      <c r="F1026" s="541"/>
      <c r="G1026" s="602"/>
      <c r="H1026" s="441">
        <v>13.3</v>
      </c>
      <c r="I1026" s="1153"/>
      <c r="J1026" s="415">
        <v>31160.691445689565</v>
      </c>
      <c r="K1026" s="437"/>
    </row>
    <row r="1027" spans="1:11" x14ac:dyDescent="0.2">
      <c r="A1027" s="349" t="s">
        <v>1528</v>
      </c>
      <c r="B1027" s="347" t="s">
        <v>295</v>
      </c>
      <c r="C1027" s="1148"/>
      <c r="D1027" s="1151"/>
      <c r="E1027" s="445">
        <v>49</v>
      </c>
      <c r="F1027" s="541"/>
      <c r="G1027" s="602"/>
      <c r="H1027" s="441">
        <v>17.5</v>
      </c>
      <c r="I1027" s="1153"/>
      <c r="J1027" s="415">
        <v>41000.909796959953</v>
      </c>
      <c r="K1027" s="437"/>
    </row>
    <row r="1028" spans="1:11" ht="12.75" customHeight="1" x14ac:dyDescent="0.2">
      <c r="A1028" s="349" t="s">
        <v>1529</v>
      </c>
      <c r="B1028" s="347" t="s">
        <v>295</v>
      </c>
      <c r="C1028" s="1148"/>
      <c r="D1028" s="1151"/>
      <c r="E1028" s="445">
        <v>50</v>
      </c>
      <c r="F1028" s="541"/>
      <c r="G1028" s="602"/>
      <c r="H1028" s="441">
        <v>17.899999999999999</v>
      </c>
      <c r="I1028" s="1153"/>
      <c r="J1028" s="415">
        <v>41938.073449461888</v>
      </c>
      <c r="K1028" s="437"/>
    </row>
    <row r="1029" spans="1:11" ht="12.75" customHeight="1" x14ac:dyDescent="0.2">
      <c r="A1029" s="349" t="s">
        <v>1530</v>
      </c>
      <c r="B1029" s="347" t="s">
        <v>295</v>
      </c>
      <c r="C1029" s="1148"/>
      <c r="D1029" s="1151"/>
      <c r="E1029" s="445">
        <v>52</v>
      </c>
      <c r="F1029" s="541"/>
      <c r="G1029" s="602"/>
      <c r="H1029" s="441">
        <v>25.5</v>
      </c>
      <c r="I1029" s="1153"/>
      <c r="J1029" s="415">
        <v>59744.182846998789</v>
      </c>
      <c r="K1029" s="437"/>
    </row>
    <row r="1030" spans="1:11" x14ac:dyDescent="0.2">
      <c r="A1030" s="349" t="s">
        <v>1531</v>
      </c>
      <c r="B1030" s="347" t="s">
        <v>295</v>
      </c>
      <c r="C1030" s="1148"/>
      <c r="D1030" s="1151"/>
      <c r="E1030" s="445" t="s">
        <v>4089</v>
      </c>
      <c r="F1030" s="541"/>
      <c r="G1030" s="602"/>
      <c r="H1030" s="441">
        <v>36.299999999999997</v>
      </c>
      <c r="I1030" s="1153"/>
      <c r="J1030" s="415">
        <v>85047.601464551204</v>
      </c>
      <c r="K1030" s="437"/>
    </row>
    <row r="1031" spans="1:11" ht="12.75" customHeight="1" x14ac:dyDescent="0.2">
      <c r="A1031" s="349" t="s">
        <v>1532</v>
      </c>
      <c r="B1031" s="347" t="s">
        <v>295</v>
      </c>
      <c r="C1031" s="1148"/>
      <c r="D1031" s="1151"/>
      <c r="E1031" s="445" t="s">
        <v>4090</v>
      </c>
      <c r="F1031" s="541"/>
      <c r="G1031" s="602"/>
      <c r="H1031" s="441">
        <v>37.799999999999997</v>
      </c>
      <c r="I1031" s="1153"/>
      <c r="J1031" s="415">
        <v>88561.965161433487</v>
      </c>
      <c r="K1031" s="437"/>
    </row>
    <row r="1032" spans="1:11" x14ac:dyDescent="0.2">
      <c r="A1032" s="349" t="s">
        <v>9905</v>
      </c>
      <c r="B1032" s="347" t="s">
        <v>295</v>
      </c>
      <c r="C1032" s="1148"/>
      <c r="D1032" s="1151"/>
      <c r="E1032" s="445" t="s">
        <v>11226</v>
      </c>
      <c r="F1032" s="541"/>
      <c r="G1032" s="602"/>
      <c r="H1032" s="441">
        <f>34.7-12.2</f>
        <v>22.500000000000004</v>
      </c>
      <c r="I1032" s="1153"/>
      <c r="J1032" s="415">
        <f>81298.9468545435/34.7*H1032</f>
        <v>52715.455453234266</v>
      </c>
      <c r="K1032" s="437"/>
    </row>
    <row r="1033" spans="1:11" x14ac:dyDescent="0.2">
      <c r="A1033" s="349" t="s">
        <v>1533</v>
      </c>
      <c r="B1033" s="347" t="s">
        <v>295</v>
      </c>
      <c r="C1033" s="1148"/>
      <c r="D1033" s="1151"/>
      <c r="E1033" s="445" t="s">
        <v>4091</v>
      </c>
      <c r="F1033" s="541"/>
      <c r="G1033" s="602"/>
      <c r="H1033" s="441">
        <v>30.4</v>
      </c>
      <c r="I1033" s="1153"/>
      <c r="J1033" s="415">
        <v>71224.437590147572</v>
      </c>
      <c r="K1033" s="437"/>
    </row>
    <row r="1034" spans="1:11" x14ac:dyDescent="0.2">
      <c r="A1034" s="349" t="s">
        <v>1534</v>
      </c>
      <c r="B1034" s="347" t="s">
        <v>295</v>
      </c>
      <c r="C1034" s="1148"/>
      <c r="D1034" s="1151"/>
      <c r="E1034" s="445" t="s">
        <v>10022</v>
      </c>
      <c r="F1034" s="541"/>
      <c r="G1034" s="602"/>
      <c r="H1034" s="441">
        <v>27.9</v>
      </c>
      <c r="I1034" s="1153"/>
      <c r="J1034" s="415">
        <v>65367.164762010434</v>
      </c>
      <c r="K1034" s="437"/>
    </row>
    <row r="1035" spans="1:11" x14ac:dyDescent="0.2">
      <c r="A1035" s="349" t="s">
        <v>1535</v>
      </c>
      <c r="B1035" s="347" t="s">
        <v>295</v>
      </c>
      <c r="C1035" s="1148"/>
      <c r="D1035" s="1151"/>
      <c r="E1035" s="445" t="s">
        <v>4092</v>
      </c>
      <c r="F1035" s="541"/>
      <c r="G1035" s="602"/>
      <c r="H1035" s="441">
        <v>29</v>
      </c>
      <c r="I1035" s="1153"/>
      <c r="J1035" s="415">
        <v>67944.364806390775</v>
      </c>
      <c r="K1035" s="437"/>
    </row>
    <row r="1036" spans="1:11" ht="12.75" customHeight="1" x14ac:dyDescent="0.2">
      <c r="A1036" s="349" t="s">
        <v>10284</v>
      </c>
      <c r="B1036" s="347" t="s">
        <v>299</v>
      </c>
      <c r="C1036" s="1149"/>
      <c r="D1036" s="1152"/>
      <c r="E1036" s="445">
        <v>22</v>
      </c>
      <c r="F1036" s="541"/>
      <c r="G1036" s="602"/>
      <c r="H1036" s="415">
        <v>11.2</v>
      </c>
      <c r="I1036" s="1146"/>
      <c r="J1036" s="437">
        <v>26240.58</v>
      </c>
      <c r="K1036" s="437"/>
    </row>
    <row r="1037" spans="1:11" x14ac:dyDescent="0.2">
      <c r="A1037" s="348" t="s">
        <v>978</v>
      </c>
      <c r="B1037" s="347"/>
      <c r="C1037" s="1157" t="s">
        <v>11227</v>
      </c>
      <c r="D1037" s="1150">
        <v>23</v>
      </c>
      <c r="E1037" s="425"/>
      <c r="F1037" s="541"/>
      <c r="G1037" s="602"/>
      <c r="H1037" s="441">
        <f>1893.7-1893.7</f>
        <v>0</v>
      </c>
      <c r="I1037" s="1159">
        <v>1992</v>
      </c>
      <c r="J1037" s="415">
        <f>7397056-7397056</f>
        <v>0</v>
      </c>
      <c r="K1037" s="437"/>
    </row>
    <row r="1038" spans="1:11" ht="27" customHeight="1" x14ac:dyDescent="0.2">
      <c r="A1038" s="349" t="s">
        <v>1536</v>
      </c>
      <c r="B1038" s="347" t="s">
        <v>295</v>
      </c>
      <c r="C1038" s="1157"/>
      <c r="D1038" s="1152"/>
      <c r="E1038" s="425">
        <v>27</v>
      </c>
      <c r="F1038" s="541"/>
      <c r="G1038" s="465"/>
      <c r="H1038" s="466">
        <v>81.3</v>
      </c>
      <c r="I1038" s="1159"/>
      <c r="J1038" s="415">
        <v>317569.12541585258</v>
      </c>
      <c r="K1038" s="437"/>
    </row>
    <row r="1039" spans="1:11" x14ac:dyDescent="0.2">
      <c r="A1039" s="348" t="s">
        <v>979</v>
      </c>
      <c r="B1039" s="347"/>
      <c r="C1039" s="1157" t="s">
        <v>11228</v>
      </c>
      <c r="D1039" s="1158">
        <v>1</v>
      </c>
      <c r="E1039" s="425"/>
      <c r="F1039" s="541"/>
      <c r="G1039" s="602"/>
      <c r="H1039" s="441">
        <f>1484-1484</f>
        <v>0</v>
      </c>
      <c r="I1039" s="1159">
        <v>1962</v>
      </c>
      <c r="J1039" s="415">
        <f>4547064-4547064</f>
        <v>0</v>
      </c>
      <c r="K1039" s="437"/>
    </row>
    <row r="1040" spans="1:11" ht="12.75" customHeight="1" x14ac:dyDescent="0.2">
      <c r="A1040" s="349" t="s">
        <v>980</v>
      </c>
      <c r="B1040" s="347" t="s">
        <v>295</v>
      </c>
      <c r="C1040" s="1157"/>
      <c r="D1040" s="1158"/>
      <c r="E1040" s="425">
        <v>3</v>
      </c>
      <c r="F1040" s="541"/>
      <c r="G1040" s="602"/>
      <c r="H1040" s="441">
        <v>39.9</v>
      </c>
      <c r="I1040" s="1159"/>
      <c r="J1040" s="415">
        <v>122255.96603773584</v>
      </c>
      <c r="K1040" s="437"/>
    </row>
    <row r="1041" spans="1:11" x14ac:dyDescent="0.2">
      <c r="A1041" s="349" t="s">
        <v>1537</v>
      </c>
      <c r="B1041" s="347" t="s">
        <v>295</v>
      </c>
      <c r="C1041" s="1157"/>
      <c r="D1041" s="1158"/>
      <c r="E1041" s="425">
        <v>19</v>
      </c>
      <c r="F1041" s="541" t="s">
        <v>10285</v>
      </c>
      <c r="G1041" s="602" t="s">
        <v>512</v>
      </c>
      <c r="H1041" s="415">
        <v>40.5</v>
      </c>
      <c r="I1041" s="1159"/>
      <c r="J1041" s="415">
        <v>124094.40161725067</v>
      </c>
      <c r="K1041" s="437">
        <v>555681.39</v>
      </c>
    </row>
    <row r="1042" spans="1:11" x14ac:dyDescent="0.2">
      <c r="A1042" s="349" t="s">
        <v>1538</v>
      </c>
      <c r="B1042" s="347" t="s">
        <v>295</v>
      </c>
      <c r="C1042" s="1157"/>
      <c r="D1042" s="1158"/>
      <c r="E1042" s="425">
        <v>28</v>
      </c>
      <c r="F1042" s="541"/>
      <c r="G1042" s="602"/>
      <c r="H1042" s="441">
        <v>52.6</v>
      </c>
      <c r="I1042" s="1159"/>
      <c r="J1042" s="415">
        <v>161169.5191374663</v>
      </c>
      <c r="K1042" s="437"/>
    </row>
    <row r="1043" spans="1:11" ht="25.5" customHeight="1" x14ac:dyDescent="0.2">
      <c r="A1043" s="348" t="s">
        <v>981</v>
      </c>
      <c r="B1043" s="347"/>
      <c r="C1043" s="1147" t="s">
        <v>11229</v>
      </c>
      <c r="D1043" s="1150">
        <v>2</v>
      </c>
      <c r="E1043" s="425"/>
      <c r="F1043" s="541"/>
      <c r="G1043" s="602"/>
      <c r="H1043" s="441">
        <f>2768.8-2768.8</f>
        <v>0</v>
      </c>
      <c r="I1043" s="1145">
        <v>1988</v>
      </c>
      <c r="J1043" s="415">
        <f>15974092-15974092</f>
        <v>0</v>
      </c>
      <c r="K1043" s="437"/>
    </row>
    <row r="1044" spans="1:11" x14ac:dyDescent="0.2">
      <c r="A1044" s="349" t="s">
        <v>10286</v>
      </c>
      <c r="B1044" s="347" t="s">
        <v>295</v>
      </c>
      <c r="C1044" s="1149"/>
      <c r="D1044" s="1152"/>
      <c r="E1044" s="421">
        <v>15</v>
      </c>
      <c r="F1044" s="42" t="s">
        <v>10287</v>
      </c>
      <c r="G1044" s="602" t="s">
        <v>512</v>
      </c>
      <c r="H1044" s="415">
        <v>25.8</v>
      </c>
      <c r="I1044" s="1146"/>
      <c r="J1044" s="415">
        <v>852870.6</v>
      </c>
      <c r="K1044" s="437">
        <v>550007.74</v>
      </c>
    </row>
    <row r="1045" spans="1:11" ht="12.75" customHeight="1" x14ac:dyDescent="0.2">
      <c r="A1045" s="348" t="s">
        <v>982</v>
      </c>
      <c r="B1045" s="347"/>
      <c r="C1045" s="1147" t="s">
        <v>11230</v>
      </c>
      <c r="D1045" s="1150" t="s">
        <v>3053</v>
      </c>
      <c r="E1045" s="436"/>
      <c r="F1045" s="541"/>
      <c r="G1045" s="602"/>
      <c r="H1045" s="441">
        <f>2708.7-2708.7</f>
        <v>0</v>
      </c>
      <c r="I1045" s="1145">
        <v>1991</v>
      </c>
      <c r="J1045" s="415">
        <f>11724688-11724688</f>
        <v>0</v>
      </c>
      <c r="K1045" s="437"/>
    </row>
    <row r="1046" spans="1:11" x14ac:dyDescent="0.2">
      <c r="A1046" s="349" t="s">
        <v>983</v>
      </c>
      <c r="B1046" s="347" t="s">
        <v>295</v>
      </c>
      <c r="C1046" s="1148"/>
      <c r="D1046" s="1151"/>
      <c r="E1046" s="421">
        <v>9</v>
      </c>
      <c r="F1046" s="347"/>
      <c r="G1046" s="602"/>
      <c r="H1046" s="466">
        <v>78.8</v>
      </c>
      <c r="I1046" s="1153"/>
      <c r="J1046" s="415">
        <v>341088.12877025886</v>
      </c>
      <c r="K1046" s="437"/>
    </row>
    <row r="1047" spans="1:11" x14ac:dyDescent="0.2">
      <c r="A1047" s="349" t="s">
        <v>1539</v>
      </c>
      <c r="B1047" s="347" t="s">
        <v>295</v>
      </c>
      <c r="C1047" s="1148"/>
      <c r="D1047" s="1151"/>
      <c r="E1047" s="421">
        <v>24</v>
      </c>
      <c r="F1047" s="347"/>
      <c r="G1047" s="602"/>
      <c r="H1047" s="466">
        <v>26.5</v>
      </c>
      <c r="I1047" s="1153"/>
      <c r="J1047" s="415">
        <v>114706.03315243477</v>
      </c>
      <c r="K1047" s="437"/>
    </row>
    <row r="1048" spans="1:11" x14ac:dyDescent="0.2">
      <c r="A1048" s="349" t="s">
        <v>1540</v>
      </c>
      <c r="B1048" s="347" t="s">
        <v>295</v>
      </c>
      <c r="C1048" s="1148"/>
      <c r="D1048" s="1151"/>
      <c r="E1048" s="421">
        <v>46</v>
      </c>
      <c r="F1048" s="347" t="s">
        <v>49</v>
      </c>
      <c r="G1048" s="602"/>
      <c r="H1048" s="466">
        <v>80.099999999999994</v>
      </c>
      <c r="I1048" s="1153"/>
      <c r="J1048" s="415">
        <v>346715.2171890575</v>
      </c>
      <c r="K1048" s="437">
        <v>1789211.02</v>
      </c>
    </row>
    <row r="1049" spans="1:11" x14ac:dyDescent="0.2">
      <c r="A1049" s="349" t="s">
        <v>13299</v>
      </c>
      <c r="B1049" s="347" t="s">
        <v>295</v>
      </c>
      <c r="C1049" s="1149"/>
      <c r="D1049" s="1152"/>
      <c r="E1049" s="421">
        <v>39</v>
      </c>
      <c r="F1049" s="44" t="s">
        <v>13300</v>
      </c>
      <c r="G1049" s="465" t="s">
        <v>127</v>
      </c>
      <c r="H1049" s="473">
        <v>25.2</v>
      </c>
      <c r="I1049" s="1146"/>
      <c r="J1049" s="415">
        <v>589545.71</v>
      </c>
      <c r="K1049" s="437">
        <v>546901.87</v>
      </c>
    </row>
    <row r="1050" spans="1:11" ht="12.75" customHeight="1" x14ac:dyDescent="0.2">
      <c r="A1050" s="348" t="s">
        <v>984</v>
      </c>
      <c r="B1050" s="347"/>
      <c r="C1050" s="1147" t="s">
        <v>11231</v>
      </c>
      <c r="D1050" s="1150">
        <v>4</v>
      </c>
      <c r="E1050" s="436"/>
      <c r="F1050" s="541"/>
      <c r="G1050" s="602"/>
      <c r="H1050" s="441">
        <f>4102.5-4102.5</f>
        <v>0</v>
      </c>
      <c r="I1050" s="1145">
        <v>1984</v>
      </c>
      <c r="J1050" s="415">
        <f>14904156-14904156</f>
        <v>0</v>
      </c>
      <c r="K1050" s="437"/>
    </row>
    <row r="1051" spans="1:11" ht="12.75" customHeight="1" x14ac:dyDescent="0.2">
      <c r="A1051" s="349" t="s">
        <v>985</v>
      </c>
      <c r="B1051" s="347" t="s">
        <v>295</v>
      </c>
      <c r="C1051" s="1148"/>
      <c r="D1051" s="1151"/>
      <c r="E1051" s="421">
        <v>4</v>
      </c>
      <c r="F1051" s="465"/>
      <c r="G1051" s="465"/>
      <c r="H1051" s="466">
        <v>64.099999999999994</v>
      </c>
      <c r="I1051" s="1153"/>
      <c r="J1051" s="415">
        <v>232871.76102376598</v>
      </c>
      <c r="K1051" s="437"/>
    </row>
    <row r="1052" spans="1:11" x14ac:dyDescent="0.2">
      <c r="A1052" s="349" t="s">
        <v>986</v>
      </c>
      <c r="B1052" s="347" t="s">
        <v>295</v>
      </c>
      <c r="C1052" s="1148"/>
      <c r="D1052" s="1151"/>
      <c r="E1052" s="421">
        <v>12</v>
      </c>
      <c r="F1052" s="465"/>
      <c r="G1052" s="465"/>
      <c r="H1052" s="466">
        <v>26.6</v>
      </c>
      <c r="I1052" s="1153"/>
      <c r="J1052" s="415">
        <v>96636.331407678241</v>
      </c>
      <c r="K1052" s="437"/>
    </row>
    <row r="1053" spans="1:11" x14ac:dyDescent="0.2">
      <c r="A1053" s="349" t="s">
        <v>1541</v>
      </c>
      <c r="B1053" s="347" t="s">
        <v>295</v>
      </c>
      <c r="C1053" s="1148"/>
      <c r="D1053" s="1151"/>
      <c r="E1053" s="421">
        <v>43</v>
      </c>
      <c r="F1053" s="465" t="s">
        <v>10288</v>
      </c>
      <c r="G1053" s="465"/>
      <c r="H1053" s="466">
        <v>65.900000000000006</v>
      </c>
      <c r="I1053" s="1153"/>
      <c r="J1053" s="415">
        <v>239411.0616453382</v>
      </c>
      <c r="K1053" s="437"/>
    </row>
    <row r="1054" spans="1:11" ht="17.25" customHeight="1" x14ac:dyDescent="0.2">
      <c r="A1054" s="349" t="s">
        <v>1542</v>
      </c>
      <c r="B1054" s="347" t="s">
        <v>295</v>
      </c>
      <c r="C1054" s="1148"/>
      <c r="D1054" s="1151"/>
      <c r="E1054" s="421">
        <v>70</v>
      </c>
      <c r="F1054" s="44" t="s">
        <v>50</v>
      </c>
      <c r="G1054" s="465"/>
      <c r="H1054" s="466">
        <v>79.599999999999994</v>
      </c>
      <c r="I1054" s="1153"/>
      <c r="J1054" s="415">
        <v>289182.40526508214</v>
      </c>
      <c r="K1054" s="437">
        <v>1633457.79</v>
      </c>
    </row>
    <row r="1055" spans="1:11" ht="17.25" customHeight="1" x14ac:dyDescent="0.2">
      <c r="A1055" s="403" t="s">
        <v>13045</v>
      </c>
      <c r="B1055" s="432" t="s">
        <v>295</v>
      </c>
      <c r="C1055" s="1149"/>
      <c r="D1055" s="1152"/>
      <c r="E1055" s="675">
        <v>18</v>
      </c>
      <c r="F1055" s="434" t="s">
        <v>13046</v>
      </c>
      <c r="G1055" s="677" t="s">
        <v>128</v>
      </c>
      <c r="H1055" s="490">
        <v>26.2</v>
      </c>
      <c r="I1055" s="1146"/>
      <c r="J1055" s="435">
        <v>1188327.2</v>
      </c>
      <c r="K1055" s="443">
        <v>558534.99</v>
      </c>
    </row>
    <row r="1056" spans="1:11" ht="17.25" customHeight="1" x14ac:dyDescent="0.2">
      <c r="A1056" s="348" t="s">
        <v>987</v>
      </c>
      <c r="B1056" s="347"/>
      <c r="C1056" s="1157" t="s">
        <v>11232</v>
      </c>
      <c r="D1056" s="1158">
        <v>6</v>
      </c>
      <c r="E1056" s="436"/>
      <c r="F1056" s="541"/>
      <c r="G1056" s="602"/>
      <c r="H1056" s="467">
        <f>4936.9-4936.9</f>
        <v>0</v>
      </c>
      <c r="I1056" s="1159">
        <v>1987</v>
      </c>
      <c r="J1056" s="415">
        <f>24606888-24606888</f>
        <v>0</v>
      </c>
      <c r="K1056" s="437"/>
    </row>
    <row r="1057" spans="1:11" ht="23.25" customHeight="1" x14ac:dyDescent="0.2">
      <c r="A1057" s="349" t="s">
        <v>1543</v>
      </c>
      <c r="B1057" s="347" t="s">
        <v>295</v>
      </c>
      <c r="C1057" s="1157"/>
      <c r="D1057" s="1158"/>
      <c r="E1057" s="421">
        <v>10</v>
      </c>
      <c r="F1057" s="465" t="s">
        <v>10289</v>
      </c>
      <c r="G1057" s="465"/>
      <c r="H1057" s="466">
        <v>61.3</v>
      </c>
      <c r="I1057" s="1159"/>
      <c r="J1057" s="415">
        <v>305536.31517754059</v>
      </c>
      <c r="K1057" s="437"/>
    </row>
    <row r="1058" spans="1:11" ht="28.5" customHeight="1" x14ac:dyDescent="0.2">
      <c r="A1058" s="348" t="s">
        <v>988</v>
      </c>
      <c r="B1058" s="347"/>
      <c r="C1058" s="1157" t="s">
        <v>11233</v>
      </c>
      <c r="D1058" s="1158">
        <v>7</v>
      </c>
      <c r="E1058" s="425"/>
      <c r="F1058" s="541"/>
      <c r="G1058" s="602"/>
      <c r="H1058" s="467">
        <f>2006.2-2006.2</f>
        <v>0</v>
      </c>
      <c r="I1058" s="1159">
        <v>1962</v>
      </c>
      <c r="J1058" s="415">
        <f>5015284-5015284</f>
        <v>0</v>
      </c>
      <c r="K1058" s="437"/>
    </row>
    <row r="1059" spans="1:11" ht="12.75" customHeight="1" x14ac:dyDescent="0.2">
      <c r="A1059" s="349" t="s">
        <v>989</v>
      </c>
      <c r="B1059" s="347" t="s">
        <v>295</v>
      </c>
      <c r="C1059" s="1157"/>
      <c r="D1059" s="1158"/>
      <c r="E1059" s="421">
        <v>17</v>
      </c>
      <c r="F1059" s="465"/>
      <c r="G1059" s="465"/>
      <c r="H1059" s="466">
        <v>54.5</v>
      </c>
      <c r="I1059" s="1159"/>
      <c r="J1059" s="415">
        <v>136244.13219021034</v>
      </c>
      <c r="K1059" s="437"/>
    </row>
    <row r="1060" spans="1:11" ht="16.5" customHeight="1" x14ac:dyDescent="0.2">
      <c r="A1060" s="348" t="s">
        <v>990</v>
      </c>
      <c r="B1060" s="347"/>
      <c r="C1060" s="1147" t="s">
        <v>11234</v>
      </c>
      <c r="D1060" s="1150">
        <v>8</v>
      </c>
      <c r="E1060" s="425"/>
      <c r="F1060" s="541"/>
      <c r="G1060" s="602"/>
      <c r="H1060" s="467">
        <f>2760.5-2760.5</f>
        <v>0</v>
      </c>
      <c r="I1060" s="1145">
        <v>1989</v>
      </c>
      <c r="J1060" s="415">
        <f>17497324-17497324</f>
        <v>0</v>
      </c>
      <c r="K1060" s="437"/>
    </row>
    <row r="1061" spans="1:11" ht="12.75" customHeight="1" x14ac:dyDescent="0.2">
      <c r="A1061" s="349" t="s">
        <v>993</v>
      </c>
      <c r="B1061" s="347" t="s">
        <v>295</v>
      </c>
      <c r="C1061" s="1148"/>
      <c r="D1061" s="1151"/>
      <c r="E1061" s="421">
        <v>2</v>
      </c>
      <c r="F1061" s="465"/>
      <c r="G1061" s="465"/>
      <c r="H1061" s="466">
        <v>55</v>
      </c>
      <c r="I1061" s="1153"/>
      <c r="J1061" s="415">
        <v>348615.40300670167</v>
      </c>
      <c r="K1061" s="437"/>
    </row>
    <row r="1062" spans="1:11" ht="21" customHeight="1" x14ac:dyDescent="0.2">
      <c r="A1062" s="347" t="s">
        <v>10795</v>
      </c>
      <c r="B1062" s="520" t="s">
        <v>10681</v>
      </c>
      <c r="C1062" s="1149"/>
      <c r="D1062" s="1152"/>
      <c r="E1062" s="468">
        <v>28</v>
      </c>
      <c r="F1062" s="465" t="s">
        <v>10796</v>
      </c>
      <c r="G1062" s="588" t="s">
        <v>137</v>
      </c>
      <c r="H1062" s="469">
        <v>39.5</v>
      </c>
      <c r="I1062" s="1146"/>
      <c r="J1062" s="415">
        <v>1147287.73</v>
      </c>
      <c r="K1062" s="437">
        <v>790687.21</v>
      </c>
    </row>
    <row r="1063" spans="1:11" ht="22.5" customHeight="1" x14ac:dyDescent="0.2">
      <c r="A1063" s="348" t="s">
        <v>991</v>
      </c>
      <c r="B1063" s="347"/>
      <c r="C1063" s="1147" t="s">
        <v>11235</v>
      </c>
      <c r="D1063" s="1150">
        <v>10</v>
      </c>
      <c r="E1063" s="425"/>
      <c r="F1063" s="541"/>
      <c r="G1063" s="602"/>
      <c r="H1063" s="467">
        <f>5134.6-5134.6</f>
        <v>0</v>
      </c>
      <c r="I1063" s="1145">
        <v>1973</v>
      </c>
      <c r="J1063" s="415">
        <f>11785040-11785040</f>
        <v>0</v>
      </c>
      <c r="K1063" s="437"/>
    </row>
    <row r="1064" spans="1:11" ht="12.75" customHeight="1" x14ac:dyDescent="0.2">
      <c r="A1064" s="349" t="s">
        <v>994</v>
      </c>
      <c r="B1064" s="347" t="s">
        <v>295</v>
      </c>
      <c r="C1064" s="1148"/>
      <c r="D1064" s="1151"/>
      <c r="E1064" s="421">
        <v>26</v>
      </c>
      <c r="F1064" s="465"/>
      <c r="G1064" s="465"/>
      <c r="H1064" s="466">
        <v>44.3</v>
      </c>
      <c r="I1064" s="1153"/>
      <c r="J1064" s="415">
        <v>101678.27523078719</v>
      </c>
      <c r="K1064" s="437"/>
    </row>
    <row r="1065" spans="1:11" ht="15" customHeight="1" x14ac:dyDescent="0.2">
      <c r="A1065" s="349" t="s">
        <v>995</v>
      </c>
      <c r="B1065" s="347" t="s">
        <v>295</v>
      </c>
      <c r="C1065" s="1148"/>
      <c r="D1065" s="1151"/>
      <c r="E1065" s="421">
        <v>52</v>
      </c>
      <c r="F1065" s="465"/>
      <c r="G1065" s="465"/>
      <c r="H1065" s="466">
        <v>30.2</v>
      </c>
      <c r="I1065" s="1153"/>
      <c r="J1065" s="415">
        <v>69315.663927082918</v>
      </c>
      <c r="K1065" s="437"/>
    </row>
    <row r="1066" spans="1:11" ht="14.25" customHeight="1" x14ac:dyDescent="0.2">
      <c r="A1066" s="349" t="s">
        <v>3309</v>
      </c>
      <c r="B1066" s="347" t="s">
        <v>11006</v>
      </c>
      <c r="C1066" s="1148"/>
      <c r="D1066" s="1151"/>
      <c r="E1066" s="421">
        <v>38</v>
      </c>
      <c r="F1066" s="470" t="s">
        <v>10023</v>
      </c>
      <c r="G1066" s="470" t="s">
        <v>10024</v>
      </c>
      <c r="H1066" s="466">
        <f>46.8</f>
        <v>46.8</v>
      </c>
      <c r="I1066" s="1153"/>
      <c r="J1066" s="415">
        <v>870000</v>
      </c>
      <c r="K1066" s="437">
        <v>866704.57</v>
      </c>
    </row>
    <row r="1067" spans="1:11" ht="25.5" customHeight="1" x14ac:dyDescent="0.2">
      <c r="A1067" s="432" t="s">
        <v>10741</v>
      </c>
      <c r="B1067" s="432" t="s">
        <v>10681</v>
      </c>
      <c r="C1067" s="1149"/>
      <c r="D1067" s="1152"/>
      <c r="E1067" s="471">
        <v>14</v>
      </c>
      <c r="F1067" s="470" t="s">
        <v>10742</v>
      </c>
      <c r="G1067" s="604"/>
      <c r="H1067" s="472">
        <v>38.200000000000003</v>
      </c>
      <c r="I1067" s="1146"/>
      <c r="J1067" s="415">
        <v>757234.73</v>
      </c>
      <c r="K1067" s="437">
        <v>728413.26</v>
      </c>
    </row>
    <row r="1068" spans="1:11" ht="22.5" customHeight="1" x14ac:dyDescent="0.2">
      <c r="A1068" s="351" t="s">
        <v>13338</v>
      </c>
      <c r="B1068" s="347" t="s">
        <v>295</v>
      </c>
      <c r="C1068" s="1147" t="s">
        <v>13510</v>
      </c>
      <c r="D1068" s="1150">
        <v>10</v>
      </c>
      <c r="E1068" s="436">
        <v>4</v>
      </c>
      <c r="F1068" s="178" t="s">
        <v>13341</v>
      </c>
      <c r="G1068" s="347" t="s">
        <v>137</v>
      </c>
      <c r="H1068" s="415">
        <v>42.6</v>
      </c>
      <c r="I1068" s="1145">
        <v>1959</v>
      </c>
      <c r="J1068" s="415">
        <v>1955000</v>
      </c>
      <c r="K1068" s="437">
        <v>546491.97</v>
      </c>
    </row>
    <row r="1069" spans="1:11" ht="19.5" customHeight="1" x14ac:dyDescent="0.2">
      <c r="A1069" s="347" t="s">
        <v>13339</v>
      </c>
      <c r="B1069" s="347" t="s">
        <v>295</v>
      </c>
      <c r="C1069" s="1148"/>
      <c r="D1069" s="1151"/>
      <c r="E1069" s="436">
        <v>1</v>
      </c>
      <c r="F1069" s="178" t="s">
        <v>13342</v>
      </c>
      <c r="G1069" s="347" t="s">
        <v>137</v>
      </c>
      <c r="H1069" s="415">
        <v>43.2</v>
      </c>
      <c r="I1069" s="1153"/>
      <c r="J1069" s="415">
        <v>1983000</v>
      </c>
      <c r="K1069" s="437">
        <v>543926.28</v>
      </c>
    </row>
    <row r="1070" spans="1:11" ht="21" customHeight="1" x14ac:dyDescent="0.2">
      <c r="A1070" s="347" t="s">
        <v>13340</v>
      </c>
      <c r="B1070" s="347" t="s">
        <v>295</v>
      </c>
      <c r="C1070" s="1149"/>
      <c r="D1070" s="1152"/>
      <c r="E1070" s="436">
        <v>7</v>
      </c>
      <c r="F1070" s="178" t="s">
        <v>13343</v>
      </c>
      <c r="G1070" s="347" t="s">
        <v>512</v>
      </c>
      <c r="H1070" s="415">
        <v>56.7</v>
      </c>
      <c r="I1070" s="1146"/>
      <c r="J1070" s="415">
        <v>2601000</v>
      </c>
      <c r="K1070" s="437">
        <v>727373.12</v>
      </c>
    </row>
    <row r="1071" spans="1:11" ht="24.75" customHeight="1" x14ac:dyDescent="0.2">
      <c r="A1071" s="348" t="s">
        <v>992</v>
      </c>
      <c r="B1071" s="347"/>
      <c r="C1071" s="1147" t="s">
        <v>11236</v>
      </c>
      <c r="D1071" s="1150">
        <v>9</v>
      </c>
      <c r="E1071" s="425"/>
      <c r="F1071" s="541"/>
      <c r="G1071" s="602"/>
      <c r="H1071" s="467">
        <f>420-420</f>
        <v>0</v>
      </c>
      <c r="I1071" s="1145">
        <v>1961</v>
      </c>
      <c r="J1071" s="415">
        <f>609752-609752</f>
        <v>0</v>
      </c>
      <c r="K1071" s="437"/>
    </row>
    <row r="1072" spans="1:11" ht="12.75" customHeight="1" x14ac:dyDescent="0.2">
      <c r="A1072" s="349" t="s">
        <v>996</v>
      </c>
      <c r="B1072" s="347" t="s">
        <v>295</v>
      </c>
      <c r="C1072" s="1163"/>
      <c r="D1072" s="1151"/>
      <c r="E1072" s="421">
        <v>3</v>
      </c>
      <c r="F1072" s="422"/>
      <c r="G1072" s="465"/>
      <c r="H1072" s="466">
        <v>43.8</v>
      </c>
      <c r="I1072" s="1153"/>
      <c r="J1072" s="415">
        <v>63588.422857142854</v>
      </c>
      <c r="K1072" s="437"/>
    </row>
    <row r="1073" spans="1:11" ht="16.5" customHeight="1" x14ac:dyDescent="0.2">
      <c r="A1073" s="349" t="s">
        <v>997</v>
      </c>
      <c r="B1073" s="347" t="s">
        <v>295</v>
      </c>
      <c r="C1073" s="1163"/>
      <c r="D1073" s="1151"/>
      <c r="E1073" s="421">
        <v>8</v>
      </c>
      <c r="F1073" s="422"/>
      <c r="G1073" s="465"/>
      <c r="H1073" s="466">
        <v>45.4</v>
      </c>
      <c r="I1073" s="1153"/>
      <c r="J1073" s="415">
        <v>65911.287619047624</v>
      </c>
      <c r="K1073" s="437"/>
    </row>
    <row r="1074" spans="1:11" ht="16.5" customHeight="1" x14ac:dyDescent="0.2">
      <c r="A1074" s="432" t="s">
        <v>13315</v>
      </c>
      <c r="B1074" s="432" t="s">
        <v>295</v>
      </c>
      <c r="C1074" s="1163"/>
      <c r="D1074" s="1151"/>
      <c r="E1074" s="421">
        <v>6</v>
      </c>
      <c r="F1074" s="38" t="s">
        <v>13319</v>
      </c>
      <c r="G1074" s="461" t="s">
        <v>512</v>
      </c>
      <c r="H1074" s="473">
        <v>60.2</v>
      </c>
      <c r="I1074" s="1153"/>
      <c r="J1074" s="415">
        <v>240000</v>
      </c>
      <c r="K1074" s="437">
        <v>755415.49</v>
      </c>
    </row>
    <row r="1075" spans="1:11" ht="16.5" customHeight="1" x14ac:dyDescent="0.2">
      <c r="A1075" s="432" t="s">
        <v>13316</v>
      </c>
      <c r="B1075" s="432" t="s">
        <v>295</v>
      </c>
      <c r="C1075" s="1163"/>
      <c r="D1075" s="1151"/>
      <c r="E1075" s="421">
        <v>5</v>
      </c>
      <c r="F1075" s="38" t="s">
        <v>13320</v>
      </c>
      <c r="G1075" s="461" t="s">
        <v>512</v>
      </c>
      <c r="H1075" s="473">
        <v>43.3</v>
      </c>
      <c r="I1075" s="1153"/>
      <c r="J1075" s="415">
        <v>1772000</v>
      </c>
      <c r="K1075" s="437">
        <v>320200.46999999997</v>
      </c>
    </row>
    <row r="1076" spans="1:11" ht="16.5" customHeight="1" x14ac:dyDescent="0.2">
      <c r="A1076" s="432" t="s">
        <v>13317</v>
      </c>
      <c r="B1076" s="432" t="s">
        <v>295</v>
      </c>
      <c r="C1076" s="1163"/>
      <c r="D1076" s="1151"/>
      <c r="E1076" s="478" t="s">
        <v>13321</v>
      </c>
      <c r="F1076" s="38" t="s">
        <v>13322</v>
      </c>
      <c r="G1076" s="347" t="s">
        <v>137</v>
      </c>
      <c r="H1076" s="473">
        <v>26</v>
      </c>
      <c r="I1076" s="1153"/>
      <c r="J1076" s="415">
        <v>881000</v>
      </c>
      <c r="K1076" s="437">
        <v>331112.86</v>
      </c>
    </row>
    <row r="1077" spans="1:11" ht="16.5" customHeight="1" x14ac:dyDescent="0.2">
      <c r="A1077" s="432" t="s">
        <v>13318</v>
      </c>
      <c r="B1077" s="432" t="s">
        <v>295</v>
      </c>
      <c r="C1077" s="1163"/>
      <c r="D1077" s="1151"/>
      <c r="E1077" s="421">
        <v>4</v>
      </c>
      <c r="F1077" s="38" t="s">
        <v>13323</v>
      </c>
      <c r="G1077" s="347" t="s">
        <v>137</v>
      </c>
      <c r="H1077" s="473">
        <v>42.6</v>
      </c>
      <c r="I1077" s="1153"/>
      <c r="J1077" s="415">
        <v>1828694</v>
      </c>
      <c r="K1077" s="437">
        <v>749291.4</v>
      </c>
    </row>
    <row r="1078" spans="1:11" ht="16.5" customHeight="1" x14ac:dyDescent="0.2">
      <c r="A1078" s="591" t="s">
        <v>14383</v>
      </c>
      <c r="B1078" s="432" t="s">
        <v>295</v>
      </c>
      <c r="C1078" s="1163"/>
      <c r="D1078" s="1151"/>
      <c r="E1078" s="884">
        <v>1</v>
      </c>
      <c r="F1078" s="890" t="s">
        <v>14386</v>
      </c>
      <c r="G1078" s="869" t="s">
        <v>137</v>
      </c>
      <c r="H1078" s="877">
        <v>43.4</v>
      </c>
      <c r="I1078" s="1153"/>
      <c r="J1078" s="870">
        <v>2300000</v>
      </c>
      <c r="K1078" s="872">
        <v>556754.73</v>
      </c>
    </row>
    <row r="1079" spans="1:11" ht="16.5" customHeight="1" x14ac:dyDescent="0.2">
      <c r="A1079" s="591" t="s">
        <v>14384</v>
      </c>
      <c r="B1079" s="432" t="s">
        <v>295</v>
      </c>
      <c r="C1079" s="1163"/>
      <c r="D1079" s="1151"/>
      <c r="E1079" s="891" t="s">
        <v>14387</v>
      </c>
      <c r="F1079" s="890" t="s">
        <v>14388</v>
      </c>
      <c r="G1079" s="869" t="s">
        <v>137</v>
      </c>
      <c r="H1079" s="877">
        <v>28</v>
      </c>
      <c r="I1079" s="1153"/>
      <c r="J1079" s="870">
        <v>1377000</v>
      </c>
      <c r="K1079" s="872">
        <v>356583.08</v>
      </c>
    </row>
    <row r="1080" spans="1:11" ht="16.5" customHeight="1" x14ac:dyDescent="0.2">
      <c r="A1080" s="591" t="s">
        <v>14385</v>
      </c>
      <c r="B1080" s="432" t="s">
        <v>295</v>
      </c>
      <c r="C1080" s="1164"/>
      <c r="D1080" s="1152"/>
      <c r="E1080" s="891" t="s">
        <v>5177</v>
      </c>
      <c r="F1080" s="890" t="s">
        <v>14389</v>
      </c>
      <c r="G1080" s="869" t="s">
        <v>512</v>
      </c>
      <c r="H1080" s="877">
        <v>44</v>
      </c>
      <c r="I1080" s="1146"/>
      <c r="J1080" s="870">
        <v>2865000</v>
      </c>
      <c r="K1080" s="872">
        <v>564451.80000000005</v>
      </c>
    </row>
    <row r="1081" spans="1:11" ht="16.5" customHeight="1" x14ac:dyDescent="0.2">
      <c r="A1081" s="432" t="s">
        <v>14073</v>
      </c>
      <c r="B1081" s="432" t="s">
        <v>295</v>
      </c>
      <c r="C1081" s="1165" t="s">
        <v>14390</v>
      </c>
      <c r="D1081" s="1150">
        <v>10</v>
      </c>
      <c r="E1081" s="421">
        <v>4</v>
      </c>
      <c r="F1081" s="38" t="s">
        <v>13341</v>
      </c>
      <c r="G1081" s="833" t="s">
        <v>137</v>
      </c>
      <c r="H1081" s="473">
        <v>42.6</v>
      </c>
      <c r="I1081" s="1145">
        <v>1959</v>
      </c>
      <c r="J1081" s="837">
        <v>1955000</v>
      </c>
      <c r="K1081" s="437">
        <v>546491.97</v>
      </c>
    </row>
    <row r="1082" spans="1:11" ht="16.5" customHeight="1" x14ac:dyDescent="0.2">
      <c r="A1082" s="432" t="s">
        <v>14074</v>
      </c>
      <c r="B1082" s="432" t="s">
        <v>295</v>
      </c>
      <c r="C1082" s="1166"/>
      <c r="D1082" s="1151"/>
      <c r="E1082" s="421">
        <v>1</v>
      </c>
      <c r="F1082" s="38" t="s">
        <v>13342</v>
      </c>
      <c r="G1082" s="833" t="s">
        <v>137</v>
      </c>
      <c r="H1082" s="473">
        <v>43.2</v>
      </c>
      <c r="I1082" s="1153"/>
      <c r="J1082" s="837">
        <v>1983000</v>
      </c>
      <c r="K1082" s="437">
        <v>543926.28</v>
      </c>
    </row>
    <row r="1083" spans="1:11" ht="16.5" customHeight="1" x14ac:dyDescent="0.2">
      <c r="A1083" s="432" t="s">
        <v>14075</v>
      </c>
      <c r="B1083" s="432" t="s">
        <v>295</v>
      </c>
      <c r="C1083" s="1166"/>
      <c r="D1083" s="1151"/>
      <c r="E1083" s="421">
        <v>7</v>
      </c>
      <c r="F1083" s="38" t="s">
        <v>13343</v>
      </c>
      <c r="G1083" s="833" t="s">
        <v>512</v>
      </c>
      <c r="H1083" s="473">
        <v>56.7</v>
      </c>
      <c r="I1083" s="1153"/>
      <c r="J1083" s="837">
        <v>2601000</v>
      </c>
      <c r="K1083" s="437">
        <v>727373.12</v>
      </c>
    </row>
    <row r="1084" spans="1:11" ht="16.5" customHeight="1" x14ac:dyDescent="0.2">
      <c r="A1084" s="432" t="s">
        <v>14076</v>
      </c>
      <c r="B1084" s="432" t="s">
        <v>295</v>
      </c>
      <c r="C1084" s="1166"/>
      <c r="D1084" s="1151"/>
      <c r="E1084" s="421">
        <v>3</v>
      </c>
      <c r="F1084" s="38" t="s">
        <v>14077</v>
      </c>
      <c r="G1084" s="833" t="s">
        <v>137</v>
      </c>
      <c r="H1084" s="473">
        <v>43.8</v>
      </c>
      <c r="I1084" s="1153"/>
      <c r="J1084" s="837">
        <v>2010000</v>
      </c>
      <c r="K1084" s="437">
        <v>561886.11</v>
      </c>
    </row>
    <row r="1085" spans="1:11" ht="16.5" customHeight="1" x14ac:dyDescent="0.2">
      <c r="A1085" s="432" t="s">
        <v>14391</v>
      </c>
      <c r="B1085" s="432" t="s">
        <v>295</v>
      </c>
      <c r="C1085" s="1166"/>
      <c r="D1085" s="1151"/>
      <c r="E1085" s="889">
        <v>2</v>
      </c>
      <c r="F1085" s="869" t="s">
        <v>14395</v>
      </c>
      <c r="G1085" s="869" t="s">
        <v>137</v>
      </c>
      <c r="H1085" s="870">
        <v>55.1</v>
      </c>
      <c r="I1085" s="1153"/>
      <c r="J1085" s="870">
        <v>2982000</v>
      </c>
      <c r="K1085" s="872">
        <v>691418.49</v>
      </c>
    </row>
    <row r="1086" spans="1:11" ht="16.5" customHeight="1" x14ac:dyDescent="0.2">
      <c r="A1086" s="432" t="s">
        <v>14392</v>
      </c>
      <c r="B1086" s="432" t="s">
        <v>295</v>
      </c>
      <c r="C1086" s="1166"/>
      <c r="D1086" s="1151"/>
      <c r="E1086" s="889">
        <v>5</v>
      </c>
      <c r="F1086" s="869" t="s">
        <v>14396</v>
      </c>
      <c r="G1086" s="869" t="s">
        <v>512</v>
      </c>
      <c r="H1086" s="870">
        <v>43.2</v>
      </c>
      <c r="I1086" s="1153"/>
      <c r="J1086" s="870">
        <v>2432000</v>
      </c>
      <c r="K1086" s="872">
        <v>554189.04</v>
      </c>
    </row>
    <row r="1087" spans="1:11" ht="16.5" customHeight="1" x14ac:dyDescent="0.2">
      <c r="A1087" s="432" t="s">
        <v>14393</v>
      </c>
      <c r="B1087" s="432" t="s">
        <v>295</v>
      </c>
      <c r="C1087" s="1166"/>
      <c r="D1087" s="1151"/>
      <c r="E1087" s="889">
        <v>8</v>
      </c>
      <c r="F1087" s="869" t="s">
        <v>14397</v>
      </c>
      <c r="G1087" s="869" t="s">
        <v>512</v>
      </c>
      <c r="H1087" s="870">
        <v>42.6</v>
      </c>
      <c r="I1087" s="1153"/>
      <c r="J1087" s="870">
        <v>2411000</v>
      </c>
      <c r="K1087" s="872">
        <v>546491.97</v>
      </c>
    </row>
    <row r="1088" spans="1:11" ht="16.5" customHeight="1" x14ac:dyDescent="0.2">
      <c r="A1088" s="432" t="s">
        <v>14394</v>
      </c>
      <c r="B1088" s="432" t="s">
        <v>295</v>
      </c>
      <c r="C1088" s="1167"/>
      <c r="D1088" s="1152"/>
      <c r="E1088" s="889">
        <v>6</v>
      </c>
      <c r="F1088" s="869" t="s">
        <v>14398</v>
      </c>
      <c r="G1088" s="869" t="s">
        <v>512</v>
      </c>
      <c r="H1088" s="870">
        <v>48</v>
      </c>
      <c r="I1088" s="1146"/>
      <c r="J1088" s="870">
        <v>2703000</v>
      </c>
      <c r="K1088" s="872">
        <v>602324.64</v>
      </c>
    </row>
    <row r="1089" spans="1:11" ht="16.5" customHeight="1" x14ac:dyDescent="0.2">
      <c r="A1089" s="348" t="s">
        <v>998</v>
      </c>
      <c r="B1089" s="347"/>
      <c r="C1089" s="1157" t="s">
        <v>11237</v>
      </c>
      <c r="D1089" s="1158">
        <v>11</v>
      </c>
      <c r="E1089" s="436"/>
      <c r="F1089" s="178"/>
      <c r="G1089" s="602"/>
      <c r="H1089" s="441">
        <f>394.3-394.3</f>
        <v>0</v>
      </c>
      <c r="I1089" s="1159">
        <v>1959</v>
      </c>
      <c r="J1089" s="415">
        <f>896800-896800</f>
        <v>0</v>
      </c>
      <c r="K1089" s="437"/>
    </row>
    <row r="1090" spans="1:11" ht="24" customHeight="1" x14ac:dyDescent="0.2">
      <c r="A1090" s="349" t="s">
        <v>999</v>
      </c>
      <c r="B1090" s="347" t="s">
        <v>295</v>
      </c>
      <c r="C1090" s="1157"/>
      <c r="D1090" s="1158"/>
      <c r="E1090" s="421">
        <v>6</v>
      </c>
      <c r="F1090" s="422"/>
      <c r="G1090" s="465"/>
      <c r="H1090" s="466">
        <v>62.9</v>
      </c>
      <c r="I1090" s="1159"/>
      <c r="J1090" s="415">
        <v>143060.41085467901</v>
      </c>
      <c r="K1090" s="437"/>
    </row>
    <row r="1091" spans="1:11" ht="18" customHeight="1" x14ac:dyDescent="0.2">
      <c r="A1091" s="419" t="s">
        <v>1000</v>
      </c>
      <c r="B1091" s="347"/>
      <c r="C1091" s="1147" t="s">
        <v>11238</v>
      </c>
      <c r="D1091" s="1150">
        <v>12</v>
      </c>
      <c r="E1091" s="421"/>
      <c r="F1091" s="422"/>
      <c r="G1091" s="465"/>
      <c r="H1091" s="469">
        <f>632.3-632.3</f>
        <v>0</v>
      </c>
      <c r="I1091" s="1145">
        <v>1961</v>
      </c>
      <c r="J1091" s="415">
        <f>1835980-1835980</f>
        <v>0</v>
      </c>
      <c r="K1091" s="437"/>
    </row>
    <row r="1092" spans="1:11" ht="24" customHeight="1" x14ac:dyDescent="0.2">
      <c r="A1092" s="349" t="s">
        <v>9158</v>
      </c>
      <c r="B1092" s="432" t="s">
        <v>5162</v>
      </c>
      <c r="C1092" s="1148"/>
      <c r="D1092" s="1151"/>
      <c r="E1092" s="436">
        <v>16</v>
      </c>
      <c r="F1092" s="178" t="s">
        <v>9173</v>
      </c>
      <c r="G1092" s="601" t="s">
        <v>512</v>
      </c>
      <c r="H1092" s="540">
        <v>54.8</v>
      </c>
      <c r="I1092" s="1153"/>
      <c r="J1092" s="415">
        <v>1063227</v>
      </c>
      <c r="K1092" s="437">
        <v>687653.96</v>
      </c>
    </row>
    <row r="1093" spans="1:11" ht="24" customHeight="1" x14ac:dyDescent="0.2">
      <c r="A1093" s="432" t="s">
        <v>13041</v>
      </c>
      <c r="B1093" s="432" t="s">
        <v>295</v>
      </c>
      <c r="C1093" s="1149"/>
      <c r="D1093" s="1152"/>
      <c r="E1093" s="672">
        <v>10</v>
      </c>
      <c r="F1093" s="432" t="s">
        <v>13042</v>
      </c>
      <c r="G1093" s="755" t="s">
        <v>137</v>
      </c>
      <c r="H1093" s="756">
        <v>39.700000000000003</v>
      </c>
      <c r="I1093" s="1146"/>
      <c r="J1093" s="435">
        <v>1489264.26</v>
      </c>
      <c r="K1093" s="443">
        <v>509289.47</v>
      </c>
    </row>
    <row r="1094" spans="1:11" ht="25.5" customHeight="1" x14ac:dyDescent="0.2">
      <c r="A1094" s="348" t="s">
        <v>1001</v>
      </c>
      <c r="B1094" s="347"/>
      <c r="C1094" s="1157" t="s">
        <v>11239</v>
      </c>
      <c r="D1094" s="1158">
        <v>13</v>
      </c>
      <c r="E1094" s="436"/>
      <c r="F1094" s="178"/>
      <c r="G1094" s="602"/>
      <c r="H1094" s="467">
        <f>629.3-629.3</f>
        <v>0</v>
      </c>
      <c r="I1094" s="1159">
        <v>1961</v>
      </c>
      <c r="J1094" s="415">
        <f>1875832-1875832</f>
        <v>0</v>
      </c>
      <c r="K1094" s="437"/>
    </row>
    <row r="1095" spans="1:11" ht="12.75" customHeight="1" x14ac:dyDescent="0.2">
      <c r="A1095" s="349" t="s">
        <v>1544</v>
      </c>
      <c r="B1095" s="347" t="s">
        <v>295</v>
      </c>
      <c r="C1095" s="1157"/>
      <c r="D1095" s="1158"/>
      <c r="E1095" s="436">
        <v>1</v>
      </c>
      <c r="F1095" s="178"/>
      <c r="G1095" s="602"/>
      <c r="H1095" s="466">
        <v>55.5</v>
      </c>
      <c r="I1095" s="1159"/>
      <c r="J1095" s="415">
        <v>165435.68409343716</v>
      </c>
      <c r="K1095" s="437"/>
    </row>
    <row r="1096" spans="1:11" ht="25.5" customHeight="1" x14ac:dyDescent="0.2">
      <c r="A1096" s="349" t="s">
        <v>1545</v>
      </c>
      <c r="B1096" s="347" t="s">
        <v>295</v>
      </c>
      <c r="C1096" s="1157"/>
      <c r="D1096" s="1158"/>
      <c r="E1096" s="436">
        <v>16</v>
      </c>
      <c r="F1096" s="178"/>
      <c r="G1096" s="602"/>
      <c r="H1096" s="466">
        <v>56</v>
      </c>
      <c r="I1096" s="1159"/>
      <c r="J1096" s="415">
        <v>166926.09566184651</v>
      </c>
      <c r="K1096" s="437"/>
    </row>
    <row r="1097" spans="1:11" ht="25.5" customHeight="1" x14ac:dyDescent="0.2">
      <c r="A1097" s="347" t="s">
        <v>13290</v>
      </c>
      <c r="B1097" s="347" t="s">
        <v>295</v>
      </c>
      <c r="C1097" s="405" t="s">
        <v>13289</v>
      </c>
      <c r="D1097" s="767">
        <v>16</v>
      </c>
      <c r="E1097" s="436">
        <v>16</v>
      </c>
      <c r="F1097" s="465" t="s">
        <v>13291</v>
      </c>
      <c r="G1097" s="347" t="s">
        <v>512</v>
      </c>
      <c r="H1097" s="474">
        <v>41.3</v>
      </c>
      <c r="I1097" s="770">
        <v>1961</v>
      </c>
      <c r="J1097" s="415">
        <v>960518.42</v>
      </c>
      <c r="K1097" s="437">
        <v>529814.98</v>
      </c>
    </row>
    <row r="1098" spans="1:11" ht="37.5" customHeight="1" x14ac:dyDescent="0.2">
      <c r="A1098" s="348" t="s">
        <v>1002</v>
      </c>
      <c r="B1098" s="347" t="s">
        <v>295</v>
      </c>
      <c r="C1098" s="405" t="s">
        <v>11240</v>
      </c>
      <c r="D1098" s="537">
        <v>2</v>
      </c>
      <c r="E1098" s="436">
        <v>2</v>
      </c>
      <c r="F1098" s="178" t="s">
        <v>51</v>
      </c>
      <c r="G1098" s="602"/>
      <c r="H1098" s="441">
        <f>72.8-36</f>
        <v>36.799999999999997</v>
      </c>
      <c r="I1098" s="536">
        <v>1960</v>
      </c>
      <c r="J1098" s="415">
        <f>200200/72.8*36.8</f>
        <v>101199.99999999999</v>
      </c>
      <c r="K1098" s="437"/>
    </row>
    <row r="1099" spans="1:11" ht="39.75" customHeight="1" x14ac:dyDescent="0.2">
      <c r="A1099" s="348" t="s">
        <v>1003</v>
      </c>
      <c r="B1099" s="347" t="s">
        <v>295</v>
      </c>
      <c r="C1099" s="1180" t="s">
        <v>11241</v>
      </c>
      <c r="D1099" s="1150">
        <v>4</v>
      </c>
      <c r="E1099" s="436">
        <v>1</v>
      </c>
      <c r="F1099" s="178" t="s">
        <v>52</v>
      </c>
      <c r="G1099" s="609" t="s">
        <v>53</v>
      </c>
      <c r="H1099" s="441">
        <f>73.1-36.2</f>
        <v>36.899999999999991</v>
      </c>
      <c r="I1099" s="1145">
        <v>1960</v>
      </c>
      <c r="J1099" s="415">
        <f>187000/73.1*36.9</f>
        <v>94395.348837209312</v>
      </c>
      <c r="K1099" s="437">
        <v>442997.78</v>
      </c>
    </row>
    <row r="1100" spans="1:11" ht="24.75" customHeight="1" x14ac:dyDescent="0.2">
      <c r="A1100" s="834" t="s">
        <v>14642</v>
      </c>
      <c r="B1100" s="1019" t="s">
        <v>295</v>
      </c>
      <c r="C1100" s="1181"/>
      <c r="D1100" s="1152"/>
      <c r="E1100" s="436">
        <v>2</v>
      </c>
      <c r="F1100" s="178" t="s">
        <v>14644</v>
      </c>
      <c r="G1100" s="609" t="s">
        <v>53</v>
      </c>
      <c r="H1100" s="441">
        <v>36.200000000000003</v>
      </c>
      <c r="I1100" s="1146"/>
      <c r="J1100" s="837">
        <v>92604.65</v>
      </c>
      <c r="K1100" s="437">
        <v>347654.66</v>
      </c>
    </row>
    <row r="1101" spans="1:11" ht="24.75" customHeight="1" x14ac:dyDescent="0.2">
      <c r="A1101" s="348" t="s">
        <v>1004</v>
      </c>
      <c r="B1101" s="347"/>
      <c r="C1101" s="1157" t="s">
        <v>11242</v>
      </c>
      <c r="D1101" s="1158">
        <v>5</v>
      </c>
      <c r="E1101" s="436"/>
      <c r="F1101" s="178"/>
      <c r="G1101" s="609" t="s">
        <v>53</v>
      </c>
      <c r="H1101" s="441">
        <f>71-71</f>
        <v>0</v>
      </c>
      <c r="I1101" s="1159">
        <v>1960</v>
      </c>
      <c r="J1101" s="415">
        <f>176500-176500</f>
        <v>0</v>
      </c>
      <c r="K1101" s="437"/>
    </row>
    <row r="1102" spans="1:11" ht="16.5" customHeight="1" x14ac:dyDescent="0.2">
      <c r="A1102" s="349" t="s">
        <v>1546</v>
      </c>
      <c r="B1102" s="347" t="s">
        <v>295</v>
      </c>
      <c r="C1102" s="1157"/>
      <c r="D1102" s="1158"/>
      <c r="E1102" s="436">
        <v>2</v>
      </c>
      <c r="F1102" s="178" t="s">
        <v>54</v>
      </c>
      <c r="G1102" s="609" t="s">
        <v>137</v>
      </c>
      <c r="H1102" s="441">
        <v>35.5</v>
      </c>
      <c r="I1102" s="1159"/>
      <c r="J1102" s="415">
        <v>88250</v>
      </c>
      <c r="K1102" s="437">
        <v>426190.28</v>
      </c>
    </row>
    <row r="1103" spans="1:11" ht="12.75" customHeight="1" x14ac:dyDescent="0.2">
      <c r="A1103" s="348" t="s">
        <v>1005</v>
      </c>
      <c r="B1103" s="347"/>
      <c r="C1103" s="1157" t="s">
        <v>11243</v>
      </c>
      <c r="D1103" s="1158">
        <v>9</v>
      </c>
      <c r="E1103" s="436"/>
      <c r="F1103" s="178"/>
      <c r="G1103" s="609" t="s">
        <v>53</v>
      </c>
      <c r="H1103" s="441">
        <f>71.2-71.2</f>
        <v>0</v>
      </c>
      <c r="I1103" s="1159">
        <v>1960</v>
      </c>
      <c r="J1103" s="415">
        <f>188100-188100</f>
        <v>0</v>
      </c>
      <c r="K1103" s="437"/>
    </row>
    <row r="1104" spans="1:11" ht="25.5" customHeight="1" x14ac:dyDescent="0.2">
      <c r="A1104" s="349" t="s">
        <v>1547</v>
      </c>
      <c r="B1104" s="347" t="s">
        <v>295</v>
      </c>
      <c r="C1104" s="1157"/>
      <c r="D1104" s="1158"/>
      <c r="E1104" s="436">
        <v>2</v>
      </c>
      <c r="F1104" s="178" t="s">
        <v>84</v>
      </c>
      <c r="G1104" s="609" t="s">
        <v>137</v>
      </c>
      <c r="H1104" s="441">
        <v>35.6</v>
      </c>
      <c r="I1104" s="1159"/>
      <c r="J1104" s="415">
        <f>188400/2</f>
        <v>94200</v>
      </c>
      <c r="K1104" s="437">
        <v>427390.82</v>
      </c>
    </row>
    <row r="1105" spans="1:11" ht="38.25" x14ac:dyDescent="0.2">
      <c r="A1105" s="348" t="s">
        <v>1006</v>
      </c>
      <c r="B1105" s="347" t="s">
        <v>295</v>
      </c>
      <c r="C1105" s="405" t="s">
        <v>11244</v>
      </c>
      <c r="D1105" s="537">
        <v>11</v>
      </c>
      <c r="E1105" s="436">
        <v>2</v>
      </c>
      <c r="F1105" s="178"/>
      <c r="G1105" s="602"/>
      <c r="H1105" s="441">
        <f>70.1-35.4</f>
        <v>34.699999999999996</v>
      </c>
      <c r="I1105" s="536">
        <v>1960</v>
      </c>
      <c r="J1105" s="415">
        <f>201200/70.1*34.7</f>
        <v>99595.435092724685</v>
      </c>
      <c r="K1105" s="437">
        <v>416585.99</v>
      </c>
    </row>
    <row r="1106" spans="1:11" x14ac:dyDescent="0.2">
      <c r="A1106" s="348" t="s">
        <v>1007</v>
      </c>
      <c r="B1106" s="347"/>
      <c r="C1106" s="1157" t="s">
        <v>11245</v>
      </c>
      <c r="D1106" s="1158">
        <v>14</v>
      </c>
      <c r="E1106" s="436"/>
      <c r="F1106" s="178"/>
      <c r="G1106" s="602"/>
      <c r="H1106" s="441">
        <f>70-70</f>
        <v>0</v>
      </c>
      <c r="I1106" s="1159">
        <v>1960</v>
      </c>
      <c r="J1106" s="415">
        <f>165300-165300</f>
        <v>0</v>
      </c>
      <c r="K1106" s="437"/>
    </row>
    <row r="1107" spans="1:11" ht="12.75" customHeight="1" x14ac:dyDescent="0.2">
      <c r="A1107" s="349" t="s">
        <v>1548</v>
      </c>
      <c r="B1107" s="347" t="s">
        <v>295</v>
      </c>
      <c r="C1107" s="1157"/>
      <c r="D1107" s="1158"/>
      <c r="E1107" s="436">
        <v>1</v>
      </c>
      <c r="F1107" s="178" t="s">
        <v>146</v>
      </c>
      <c r="G1107" s="602"/>
      <c r="H1107" s="441">
        <v>35.799999999999997</v>
      </c>
      <c r="I1107" s="1159"/>
      <c r="J1107" s="415">
        <v>84539.142857142855</v>
      </c>
      <c r="K1107" s="437">
        <v>429791.89</v>
      </c>
    </row>
    <row r="1108" spans="1:11" x14ac:dyDescent="0.2">
      <c r="A1108" s="349" t="s">
        <v>1549</v>
      </c>
      <c r="B1108" s="347" t="s">
        <v>295</v>
      </c>
      <c r="C1108" s="1157"/>
      <c r="D1108" s="1158"/>
      <c r="E1108" s="436">
        <v>2</v>
      </c>
      <c r="F1108" s="178" t="s">
        <v>147</v>
      </c>
      <c r="G1108" s="602"/>
      <c r="H1108" s="441">
        <v>34.200000000000003</v>
      </c>
      <c r="I1108" s="1159"/>
      <c r="J1108" s="415">
        <v>80760.857142857159</v>
      </c>
      <c r="K1108" s="437">
        <v>410583.31</v>
      </c>
    </row>
    <row r="1109" spans="1:11" ht="12.75" customHeight="1" x14ac:dyDescent="0.2">
      <c r="A1109" s="348" t="s">
        <v>1008</v>
      </c>
      <c r="B1109" s="347"/>
      <c r="C1109" s="1157" t="s">
        <v>11246</v>
      </c>
      <c r="D1109" s="1158">
        <v>15</v>
      </c>
      <c r="E1109" s="436"/>
      <c r="F1109" s="178"/>
      <c r="G1109" s="602"/>
      <c r="H1109" s="441">
        <f>72.1-72.1</f>
        <v>0</v>
      </c>
      <c r="I1109" s="1159">
        <v>1960</v>
      </c>
      <c r="J1109" s="415">
        <f>197600-197600</f>
        <v>0</v>
      </c>
      <c r="K1109" s="437"/>
    </row>
    <row r="1110" spans="1:11" ht="12.75" customHeight="1" x14ac:dyDescent="0.2">
      <c r="A1110" s="349" t="s">
        <v>1009</v>
      </c>
      <c r="B1110" s="347" t="s">
        <v>295</v>
      </c>
      <c r="C1110" s="1157"/>
      <c r="D1110" s="1158"/>
      <c r="E1110" s="436">
        <v>1</v>
      </c>
      <c r="F1110" s="178" t="s">
        <v>148</v>
      </c>
      <c r="G1110" s="602"/>
      <c r="H1110" s="441">
        <v>36.700000000000003</v>
      </c>
      <c r="I1110" s="1159"/>
      <c r="J1110" s="415">
        <v>100581.41470180306</v>
      </c>
      <c r="K1110" s="437">
        <v>440596.71</v>
      </c>
    </row>
    <row r="1111" spans="1:11" x14ac:dyDescent="0.2">
      <c r="A1111" s="349" t="s">
        <v>1010</v>
      </c>
      <c r="B1111" s="347" t="s">
        <v>295</v>
      </c>
      <c r="C1111" s="1157"/>
      <c r="D1111" s="1158"/>
      <c r="E1111" s="436">
        <v>2</v>
      </c>
      <c r="F1111" s="178" t="s">
        <v>149</v>
      </c>
      <c r="G1111" s="602"/>
      <c r="H1111" s="441">
        <v>35.4</v>
      </c>
      <c r="I1111" s="1159"/>
      <c r="J1111" s="415">
        <v>97018.585298196951</v>
      </c>
      <c r="K1111" s="437">
        <v>424989.74</v>
      </c>
    </row>
    <row r="1112" spans="1:11" x14ac:dyDescent="0.2">
      <c r="A1112" s="348" t="s">
        <v>1012</v>
      </c>
      <c r="B1112" s="347"/>
      <c r="C1112" s="1157" t="s">
        <v>11247</v>
      </c>
      <c r="D1112" s="1158">
        <v>17</v>
      </c>
      <c r="E1112" s="436"/>
      <c r="F1112" s="178"/>
      <c r="G1112" s="602"/>
      <c r="H1112" s="441">
        <f>72.2-72.2</f>
        <v>0</v>
      </c>
      <c r="I1112" s="1159">
        <v>1960</v>
      </c>
      <c r="J1112" s="415">
        <f>200700-200700</f>
        <v>0</v>
      </c>
      <c r="K1112" s="437"/>
    </row>
    <row r="1113" spans="1:11" ht="25.5" customHeight="1" x14ac:dyDescent="0.2">
      <c r="A1113" s="349" t="s">
        <v>1011</v>
      </c>
      <c r="B1113" s="347" t="s">
        <v>295</v>
      </c>
      <c r="C1113" s="1157"/>
      <c r="D1113" s="1158"/>
      <c r="E1113" s="436">
        <v>1</v>
      </c>
      <c r="F1113" s="178" t="s">
        <v>150</v>
      </c>
      <c r="G1113" s="602"/>
      <c r="H1113" s="441">
        <v>35.700000000000003</v>
      </c>
      <c r="I1113" s="1159"/>
      <c r="J1113" s="415">
        <v>99238.088642659277</v>
      </c>
      <c r="K1113" s="437">
        <v>428591.35</v>
      </c>
    </row>
    <row r="1114" spans="1:11" ht="36.75" customHeight="1" x14ac:dyDescent="0.2">
      <c r="A1114" s="834" t="s">
        <v>14070</v>
      </c>
      <c r="B1114" s="833" t="s">
        <v>295</v>
      </c>
      <c r="C1114" s="1147" t="s">
        <v>14071</v>
      </c>
      <c r="D1114" s="1150">
        <v>20</v>
      </c>
      <c r="E1114" s="436">
        <v>1</v>
      </c>
      <c r="F1114" s="178" t="s">
        <v>14072</v>
      </c>
      <c r="G1114" s="838" t="s">
        <v>137</v>
      </c>
      <c r="H1114" s="441">
        <v>35.299999999999997</v>
      </c>
      <c r="I1114" s="1145">
        <v>1960</v>
      </c>
      <c r="J1114" s="837">
        <v>1519000</v>
      </c>
      <c r="K1114" s="437">
        <v>423789.21</v>
      </c>
    </row>
    <row r="1115" spans="1:11" ht="36.75" customHeight="1" x14ac:dyDescent="0.2">
      <c r="A1115" s="834" t="s">
        <v>14401</v>
      </c>
      <c r="B1115" s="833" t="s">
        <v>295</v>
      </c>
      <c r="C1115" s="1149"/>
      <c r="D1115" s="1152"/>
      <c r="E1115" s="888">
        <v>2</v>
      </c>
      <c r="F1115" s="869" t="s">
        <v>14402</v>
      </c>
      <c r="G1115" s="869" t="s">
        <v>137</v>
      </c>
      <c r="H1115" s="870">
        <v>34.6</v>
      </c>
      <c r="I1115" s="1146"/>
      <c r="J1115" s="870">
        <v>1958000</v>
      </c>
      <c r="K1115" s="872">
        <v>415385.46</v>
      </c>
    </row>
    <row r="1116" spans="1:11" ht="38.25" x14ac:dyDescent="0.2">
      <c r="A1116" s="348" t="s">
        <v>1013</v>
      </c>
      <c r="B1116" s="347" t="s">
        <v>295</v>
      </c>
      <c r="C1116" s="405" t="s">
        <v>11248</v>
      </c>
      <c r="D1116" s="537">
        <v>22</v>
      </c>
      <c r="E1116" s="436">
        <v>2</v>
      </c>
      <c r="F1116" s="178" t="s">
        <v>151</v>
      </c>
      <c r="G1116" s="602"/>
      <c r="H1116" s="441">
        <f>71.6-36.2</f>
        <v>35.399999999999991</v>
      </c>
      <c r="I1116" s="536">
        <v>1960</v>
      </c>
      <c r="J1116" s="415">
        <f>184336-91911</f>
        <v>92425</v>
      </c>
      <c r="K1116" s="437">
        <v>426190.28</v>
      </c>
    </row>
    <row r="1117" spans="1:11" ht="38.25" x14ac:dyDescent="0.2">
      <c r="A1117" s="348" t="s">
        <v>1014</v>
      </c>
      <c r="B1117" s="347" t="s">
        <v>295</v>
      </c>
      <c r="C1117" s="405" t="s">
        <v>11249</v>
      </c>
      <c r="D1117" s="537">
        <v>23</v>
      </c>
      <c r="E1117" s="436">
        <v>1</v>
      </c>
      <c r="F1117" s="178"/>
      <c r="G1117" s="602"/>
      <c r="H1117" s="441">
        <f>72.8-36.5</f>
        <v>36.299999999999997</v>
      </c>
      <c r="I1117" s="536">
        <v>1960</v>
      </c>
      <c r="J1117" s="415">
        <f>181200/72.8*36.3</f>
        <v>90351.0989010989</v>
      </c>
      <c r="K1117" s="437"/>
    </row>
    <row r="1118" spans="1:11" x14ac:dyDescent="0.2">
      <c r="A1118" s="348" t="s">
        <v>1015</v>
      </c>
      <c r="B1118" s="347"/>
      <c r="C1118" s="1157" t="s">
        <v>11250</v>
      </c>
      <c r="D1118" s="1158">
        <v>24</v>
      </c>
      <c r="E1118" s="436"/>
      <c r="F1118" s="178"/>
      <c r="G1118" s="602"/>
      <c r="H1118" s="441">
        <f>71.7-71.7</f>
        <v>0</v>
      </c>
      <c r="I1118" s="1159">
        <v>1960</v>
      </c>
      <c r="J1118" s="415">
        <f>172700-172700</f>
        <v>0</v>
      </c>
      <c r="K1118" s="437"/>
    </row>
    <row r="1119" spans="1:11" ht="27" customHeight="1" x14ac:dyDescent="0.2">
      <c r="A1119" s="349" t="s">
        <v>1550</v>
      </c>
      <c r="B1119" s="347" t="s">
        <v>295</v>
      </c>
      <c r="C1119" s="1157"/>
      <c r="D1119" s="1158"/>
      <c r="E1119" s="436">
        <v>1</v>
      </c>
      <c r="F1119" s="178" t="s">
        <v>152</v>
      </c>
      <c r="G1119" s="602"/>
      <c r="H1119" s="441">
        <v>35.9</v>
      </c>
      <c r="I1119" s="1159"/>
      <c r="J1119" s="415">
        <v>86470.432357043232</v>
      </c>
      <c r="K1119" s="437">
        <v>430992.42</v>
      </c>
    </row>
    <row r="1120" spans="1:11" ht="16.5" customHeight="1" x14ac:dyDescent="0.2">
      <c r="A1120" s="348" t="s">
        <v>1016</v>
      </c>
      <c r="B1120" s="347"/>
      <c r="C1120" s="1147" t="s">
        <v>11251</v>
      </c>
      <c r="D1120" s="1150">
        <v>25</v>
      </c>
      <c r="E1120" s="436"/>
      <c r="F1120" s="178"/>
      <c r="G1120" s="602"/>
      <c r="H1120" s="441">
        <f>73.3-73.3</f>
        <v>0</v>
      </c>
      <c r="I1120" s="1145">
        <v>1960</v>
      </c>
      <c r="J1120" s="415">
        <f>181200-181200</f>
        <v>0</v>
      </c>
      <c r="K1120" s="437"/>
    </row>
    <row r="1121" spans="1:11" ht="15.75" customHeight="1" x14ac:dyDescent="0.2">
      <c r="A1121" s="349" t="s">
        <v>1551</v>
      </c>
      <c r="B1121" s="347" t="s">
        <v>295</v>
      </c>
      <c r="C1121" s="1148"/>
      <c r="D1121" s="1151"/>
      <c r="E1121" s="436">
        <v>2</v>
      </c>
      <c r="F1121" s="178" t="s">
        <v>153</v>
      </c>
      <c r="G1121" s="602"/>
      <c r="H1121" s="441">
        <v>34.700000000000003</v>
      </c>
      <c r="I1121" s="1153"/>
      <c r="J1121" s="415">
        <v>85779.536152796703</v>
      </c>
      <c r="K1121" s="437">
        <v>416585.99</v>
      </c>
    </row>
    <row r="1122" spans="1:11" ht="21" customHeight="1" x14ac:dyDescent="0.2">
      <c r="A1122" s="349" t="s">
        <v>13324</v>
      </c>
      <c r="B1122" s="347" t="s">
        <v>295</v>
      </c>
      <c r="C1122" s="1149"/>
      <c r="D1122" s="1152"/>
      <c r="E1122" s="436">
        <v>1</v>
      </c>
      <c r="F1122" s="178" t="s">
        <v>13325</v>
      </c>
      <c r="G1122" s="347" t="s">
        <v>137</v>
      </c>
      <c r="H1122" s="415">
        <v>36.799999999999997</v>
      </c>
      <c r="I1122" s="1146"/>
      <c r="J1122" s="415">
        <v>1369000</v>
      </c>
      <c r="K1122" s="437">
        <v>441797.25</v>
      </c>
    </row>
    <row r="1123" spans="1:11" ht="41.25" customHeight="1" x14ac:dyDescent="0.2">
      <c r="A1123" s="348" t="s">
        <v>1017</v>
      </c>
      <c r="B1123" s="347" t="s">
        <v>295</v>
      </c>
      <c r="C1123" s="405" t="s">
        <v>11252</v>
      </c>
      <c r="D1123" s="537">
        <v>26</v>
      </c>
      <c r="E1123" s="436">
        <v>2</v>
      </c>
      <c r="F1123" s="178" t="s">
        <v>154</v>
      </c>
      <c r="G1123" s="602"/>
      <c r="H1123" s="441">
        <f>72.4-36.9</f>
        <v>35.500000000000007</v>
      </c>
      <c r="I1123" s="536">
        <v>1960</v>
      </c>
      <c r="J1123" s="415">
        <f>185976-94786</f>
        <v>91190</v>
      </c>
      <c r="K1123" s="437">
        <v>426190.28</v>
      </c>
    </row>
    <row r="1124" spans="1:11" ht="38.25" customHeight="1" x14ac:dyDescent="0.2">
      <c r="A1124" s="348" t="s">
        <v>1018</v>
      </c>
      <c r="B1124" s="347" t="s">
        <v>295</v>
      </c>
      <c r="C1124" s="405" t="s">
        <v>11253</v>
      </c>
      <c r="D1124" s="537">
        <v>29</v>
      </c>
      <c r="E1124" s="436">
        <v>2</v>
      </c>
      <c r="F1124" s="178" t="s">
        <v>155</v>
      </c>
      <c r="G1124" s="602"/>
      <c r="H1124" s="441">
        <f>76.7-38.4</f>
        <v>38.300000000000004</v>
      </c>
      <c r="I1124" s="536">
        <v>1960</v>
      </c>
      <c r="J1124" s="415">
        <f>171700/76.7*38.3</f>
        <v>85738.070404172089</v>
      </c>
      <c r="K1124" s="437">
        <v>459805.29</v>
      </c>
    </row>
    <row r="1125" spans="1:11" ht="38.25" x14ac:dyDescent="0.2">
      <c r="A1125" s="348" t="s">
        <v>1019</v>
      </c>
      <c r="B1125" s="347" t="s">
        <v>295</v>
      </c>
      <c r="C1125" s="405" t="s">
        <v>11254</v>
      </c>
      <c r="D1125" s="537">
        <v>31</v>
      </c>
      <c r="E1125" s="436">
        <v>1</v>
      </c>
      <c r="F1125" s="178"/>
      <c r="G1125" s="602"/>
      <c r="H1125" s="441">
        <f>73-35.3</f>
        <v>37.700000000000003</v>
      </c>
      <c r="I1125" s="536">
        <v>1960</v>
      </c>
      <c r="J1125" s="415">
        <f>176464-85331</f>
        <v>91133</v>
      </c>
      <c r="K1125" s="437"/>
    </row>
    <row r="1126" spans="1:11" ht="36.75" customHeight="1" x14ac:dyDescent="0.2">
      <c r="A1126" s="348" t="s">
        <v>1020</v>
      </c>
      <c r="B1126" s="347" t="s">
        <v>295</v>
      </c>
      <c r="C1126" s="405" t="s">
        <v>11255</v>
      </c>
      <c r="D1126" s="537">
        <v>33</v>
      </c>
      <c r="E1126" s="436">
        <v>1</v>
      </c>
      <c r="F1126" s="178" t="s">
        <v>156</v>
      </c>
      <c r="G1126" s="602"/>
      <c r="H1126" s="441">
        <f>71-35.8</f>
        <v>35.200000000000003</v>
      </c>
      <c r="I1126" s="536">
        <v>1960</v>
      </c>
      <c r="J1126" s="415">
        <f>171100/71*35.2</f>
        <v>84827.04225352114</v>
      </c>
      <c r="K1126" s="437">
        <v>422588.67</v>
      </c>
    </row>
    <row r="1127" spans="1:11" ht="36.75" customHeight="1" x14ac:dyDescent="0.2">
      <c r="A1127" s="348" t="s">
        <v>14649</v>
      </c>
      <c r="B1127" s="1019" t="s">
        <v>295</v>
      </c>
      <c r="C1127" s="1018" t="s">
        <v>11255</v>
      </c>
      <c r="D1127" s="1016">
        <v>34</v>
      </c>
      <c r="E1127" s="436">
        <v>2</v>
      </c>
      <c r="F1127" s="178" t="s">
        <v>14643</v>
      </c>
      <c r="G1127" s="1020"/>
      <c r="H1127" s="441">
        <v>36.1</v>
      </c>
      <c r="I1127" s="1017">
        <v>1960</v>
      </c>
      <c r="J1127" s="837">
        <v>104754.91</v>
      </c>
      <c r="K1127" s="437">
        <v>346694.29</v>
      </c>
    </row>
    <row r="1128" spans="1:11" ht="12.75" customHeight="1" x14ac:dyDescent="0.2">
      <c r="A1128" s="348" t="s">
        <v>1021</v>
      </c>
      <c r="B1128" s="347"/>
      <c r="C1128" s="1147" t="s">
        <v>11256</v>
      </c>
      <c r="D1128" s="1150">
        <v>35</v>
      </c>
      <c r="E1128" s="436"/>
      <c r="F1128" s="178"/>
      <c r="G1128" s="602"/>
      <c r="H1128" s="441">
        <f>71-71</f>
        <v>0</v>
      </c>
      <c r="I1128" s="1145">
        <v>1960</v>
      </c>
      <c r="J1128" s="415">
        <f>165300-165300</f>
        <v>0</v>
      </c>
      <c r="K1128" s="437"/>
    </row>
    <row r="1129" spans="1:11" ht="24" customHeight="1" x14ac:dyDescent="0.2">
      <c r="A1129" s="349" t="s">
        <v>1552</v>
      </c>
      <c r="B1129" s="347" t="s">
        <v>295</v>
      </c>
      <c r="C1129" s="1148"/>
      <c r="D1129" s="1151"/>
      <c r="E1129" s="436">
        <v>1</v>
      </c>
      <c r="F1129" s="178" t="s">
        <v>157</v>
      </c>
      <c r="G1129" s="602"/>
      <c r="H1129" s="441">
        <v>35.799999999999997</v>
      </c>
      <c r="I1129" s="1153"/>
      <c r="J1129" s="415">
        <v>83348.450704225397</v>
      </c>
      <c r="K1129" s="437">
        <v>429791.89</v>
      </c>
    </row>
    <row r="1130" spans="1:11" ht="24" customHeight="1" x14ac:dyDescent="0.2">
      <c r="A1130" s="863" t="s">
        <v>14399</v>
      </c>
      <c r="B1130" s="833" t="s">
        <v>295</v>
      </c>
      <c r="C1130" s="1149"/>
      <c r="D1130" s="1152"/>
      <c r="E1130" s="889">
        <v>2</v>
      </c>
      <c r="F1130" s="869" t="s">
        <v>14400</v>
      </c>
      <c r="G1130" s="869" t="s">
        <v>137</v>
      </c>
      <c r="H1130" s="870">
        <v>35.200000000000003</v>
      </c>
      <c r="I1130" s="1146"/>
      <c r="J1130" s="870">
        <v>1992000</v>
      </c>
      <c r="K1130" s="872">
        <v>422588.67</v>
      </c>
    </row>
    <row r="1131" spans="1:11" ht="12.75" customHeight="1" x14ac:dyDescent="0.2">
      <c r="A1131" s="348" t="s">
        <v>1022</v>
      </c>
      <c r="B1131" s="347"/>
      <c r="C1131" s="1147" t="s">
        <v>11257</v>
      </c>
      <c r="D1131" s="1150">
        <v>15</v>
      </c>
      <c r="E1131" s="436"/>
      <c r="F1131" s="541"/>
      <c r="G1131" s="602"/>
      <c r="H1131" s="441">
        <f>363.7-363.7</f>
        <v>0</v>
      </c>
      <c r="I1131" s="1145">
        <v>1985</v>
      </c>
      <c r="J1131" s="415">
        <f>1489400-1489400</f>
        <v>0</v>
      </c>
      <c r="K1131" s="437"/>
    </row>
    <row r="1132" spans="1:11" ht="15" customHeight="1" x14ac:dyDescent="0.2">
      <c r="A1132" s="349" t="s">
        <v>1553</v>
      </c>
      <c r="B1132" s="347" t="s">
        <v>295</v>
      </c>
      <c r="C1132" s="1148"/>
      <c r="D1132" s="1151"/>
      <c r="E1132" s="421">
        <v>2</v>
      </c>
      <c r="F1132" s="465"/>
      <c r="G1132" s="465"/>
      <c r="H1132" s="466">
        <v>42</v>
      </c>
      <c r="I1132" s="1153"/>
      <c r="J1132" s="415">
        <v>171995.60076986501</v>
      </c>
      <c r="K1132" s="437"/>
    </row>
    <row r="1133" spans="1:11" ht="14.25" customHeight="1" x14ac:dyDescent="0.2">
      <c r="A1133" s="420" t="s">
        <v>11733</v>
      </c>
      <c r="B1133" s="420" t="s">
        <v>295</v>
      </c>
      <c r="C1133" s="1148"/>
      <c r="D1133" s="1151"/>
      <c r="E1133" s="468">
        <v>4</v>
      </c>
      <c r="F1133" s="465" t="s">
        <v>11734</v>
      </c>
      <c r="G1133" s="588" t="s">
        <v>137</v>
      </c>
      <c r="H1133" s="469">
        <v>55.5</v>
      </c>
      <c r="I1133" s="1153"/>
      <c r="J1133" s="415">
        <v>792000</v>
      </c>
      <c r="K1133" s="437">
        <v>696437.86</v>
      </c>
    </row>
    <row r="1134" spans="1:11" ht="15" customHeight="1" x14ac:dyDescent="0.2">
      <c r="A1134" s="349" t="s">
        <v>13349</v>
      </c>
      <c r="B1134" s="347" t="s">
        <v>295</v>
      </c>
      <c r="C1134" s="1148"/>
      <c r="D1134" s="1151"/>
      <c r="E1134" s="468">
        <v>1</v>
      </c>
      <c r="F1134" s="588" t="s">
        <v>13353</v>
      </c>
      <c r="G1134" s="588" t="s">
        <v>137</v>
      </c>
      <c r="H1134" s="469">
        <v>41</v>
      </c>
      <c r="I1134" s="1153"/>
      <c r="J1134" s="415">
        <v>1908000</v>
      </c>
      <c r="K1134" s="437">
        <v>525966.44999999995</v>
      </c>
    </row>
    <row r="1135" spans="1:11" ht="15.75" customHeight="1" x14ac:dyDescent="0.2">
      <c r="A1135" s="349" t="s">
        <v>13350</v>
      </c>
      <c r="B1135" s="347" t="s">
        <v>295</v>
      </c>
      <c r="C1135" s="1148"/>
      <c r="D1135" s="1151"/>
      <c r="E1135" s="468">
        <v>3</v>
      </c>
      <c r="F1135" s="588" t="s">
        <v>13354</v>
      </c>
      <c r="G1135" s="588" t="s">
        <v>137</v>
      </c>
      <c r="H1135" s="469">
        <v>42.3</v>
      </c>
      <c r="I1135" s="1153"/>
      <c r="J1135" s="415">
        <v>1968000</v>
      </c>
      <c r="K1135" s="437">
        <v>542643.43000000005</v>
      </c>
    </row>
    <row r="1136" spans="1:11" ht="15" customHeight="1" x14ac:dyDescent="0.2">
      <c r="A1136" s="349" t="s">
        <v>13351</v>
      </c>
      <c r="B1136" s="347" t="s">
        <v>295</v>
      </c>
      <c r="C1136" s="1148"/>
      <c r="D1136" s="1151"/>
      <c r="E1136" s="468">
        <v>6</v>
      </c>
      <c r="F1136" s="588" t="s">
        <v>13355</v>
      </c>
      <c r="G1136" s="588" t="s">
        <v>512</v>
      </c>
      <c r="H1136" s="469">
        <v>40.5</v>
      </c>
      <c r="I1136" s="1153"/>
      <c r="J1136" s="415">
        <v>1884000</v>
      </c>
      <c r="K1136" s="437">
        <v>513881.82</v>
      </c>
    </row>
    <row r="1137" spans="1:11" ht="14.25" customHeight="1" x14ac:dyDescent="0.2">
      <c r="A1137" s="349" t="s">
        <v>13352</v>
      </c>
      <c r="B1137" s="347" t="s">
        <v>295</v>
      </c>
      <c r="C1137" s="1148"/>
      <c r="D1137" s="1151"/>
      <c r="E1137" s="468">
        <v>8</v>
      </c>
      <c r="F1137" s="588" t="s">
        <v>13356</v>
      </c>
      <c r="G1137" s="588" t="s">
        <v>512</v>
      </c>
      <c r="H1137" s="469">
        <v>53.2</v>
      </c>
      <c r="I1137" s="1153"/>
      <c r="J1137" s="415">
        <v>2484000</v>
      </c>
      <c r="K1137" s="437">
        <v>667576.48</v>
      </c>
    </row>
    <row r="1138" spans="1:11" ht="15" customHeight="1" x14ac:dyDescent="0.2">
      <c r="A1138" s="834" t="s">
        <v>14078</v>
      </c>
      <c r="B1138" s="833" t="s">
        <v>295</v>
      </c>
      <c r="C1138" s="1148"/>
      <c r="D1138" s="1151"/>
      <c r="E1138" s="468">
        <v>5</v>
      </c>
      <c r="F1138" s="588" t="s">
        <v>14080</v>
      </c>
      <c r="G1138" s="588" t="s">
        <v>512</v>
      </c>
      <c r="H1138" s="469">
        <v>41.3</v>
      </c>
      <c r="I1138" s="1153"/>
      <c r="J1138" s="837">
        <v>1922000</v>
      </c>
      <c r="K1138" s="437">
        <v>513881.82</v>
      </c>
    </row>
    <row r="1139" spans="1:11" ht="15" customHeight="1" x14ac:dyDescent="0.2">
      <c r="A1139" s="834" t="s">
        <v>14079</v>
      </c>
      <c r="B1139" s="833" t="s">
        <v>295</v>
      </c>
      <c r="C1139" s="1149"/>
      <c r="D1139" s="1152"/>
      <c r="E1139" s="468">
        <v>7</v>
      </c>
      <c r="F1139" s="588" t="s">
        <v>14081</v>
      </c>
      <c r="G1139" s="588" t="s">
        <v>512</v>
      </c>
      <c r="H1139" s="469">
        <v>43.3</v>
      </c>
      <c r="I1139" s="1146"/>
      <c r="J1139" s="837">
        <v>2484000</v>
      </c>
      <c r="K1139" s="437">
        <v>667576.48</v>
      </c>
    </row>
    <row r="1140" spans="1:11" ht="38.25" customHeight="1" x14ac:dyDescent="0.2">
      <c r="A1140" s="348" t="s">
        <v>1023</v>
      </c>
      <c r="B1140" s="347" t="s">
        <v>295</v>
      </c>
      <c r="C1140" s="1147" t="s">
        <v>11258</v>
      </c>
      <c r="D1140" s="1150">
        <v>11</v>
      </c>
      <c r="E1140" s="436">
        <v>1</v>
      </c>
      <c r="F1140" s="541" t="s">
        <v>83</v>
      </c>
      <c r="G1140" s="602"/>
      <c r="H1140" s="441">
        <f>57.7-29.5</f>
        <v>28.200000000000003</v>
      </c>
      <c r="I1140" s="1145">
        <v>1959</v>
      </c>
      <c r="J1140" s="415">
        <f>139700/57.7*28.2</f>
        <v>68276.256499133437</v>
      </c>
      <c r="K1140" s="437"/>
    </row>
    <row r="1141" spans="1:11" x14ac:dyDescent="0.2">
      <c r="A1141" s="348" t="s">
        <v>14380</v>
      </c>
      <c r="B1141" s="833" t="s">
        <v>295</v>
      </c>
      <c r="C1141" s="1149"/>
      <c r="D1141" s="1152"/>
      <c r="E1141" s="889">
        <v>4</v>
      </c>
      <c r="F1141" s="869" t="s">
        <v>203</v>
      </c>
      <c r="G1141" s="869" t="s">
        <v>137</v>
      </c>
      <c r="H1141" s="870">
        <v>29.5</v>
      </c>
      <c r="I1141" s="1146"/>
      <c r="J1141" s="870">
        <v>3044000</v>
      </c>
      <c r="K1141" s="872">
        <v>305714.11</v>
      </c>
    </row>
    <row r="1142" spans="1:11" ht="38.25" x14ac:dyDescent="0.2">
      <c r="A1142" s="348" t="s">
        <v>1024</v>
      </c>
      <c r="B1142" s="347" t="s">
        <v>295</v>
      </c>
      <c r="C1142" s="405" t="s">
        <v>11259</v>
      </c>
      <c r="D1142" s="537">
        <v>34</v>
      </c>
      <c r="E1142" s="436">
        <v>1</v>
      </c>
      <c r="F1142" s="541"/>
      <c r="G1142" s="602"/>
      <c r="H1142" s="441">
        <f>57.3-35.2</f>
        <v>22.099999999999994</v>
      </c>
      <c r="I1142" s="536">
        <v>1959</v>
      </c>
      <c r="J1142" s="415">
        <f>135100/57.3*22.1</f>
        <v>52106.631762652716</v>
      </c>
      <c r="K1142" s="437">
        <v>229026.5</v>
      </c>
    </row>
    <row r="1143" spans="1:11" ht="38.25" x14ac:dyDescent="0.2">
      <c r="A1143" s="348" t="s">
        <v>1025</v>
      </c>
      <c r="B1143" s="347" t="s">
        <v>9967</v>
      </c>
      <c r="C1143" s="405" t="s">
        <v>11260</v>
      </c>
      <c r="D1143" s="537">
        <v>7</v>
      </c>
      <c r="E1143" s="436"/>
      <c r="F1143" s="541" t="s">
        <v>10025</v>
      </c>
      <c r="G1143" s="602"/>
      <c r="H1143" s="441">
        <v>56.8</v>
      </c>
      <c r="I1143" s="536">
        <v>1959</v>
      </c>
      <c r="J1143" s="415">
        <v>144200</v>
      </c>
      <c r="K1143" s="437">
        <v>452531.85</v>
      </c>
    </row>
    <row r="1144" spans="1:11" ht="37.5" customHeight="1" x14ac:dyDescent="0.2">
      <c r="A1144" s="348" t="s">
        <v>1026</v>
      </c>
      <c r="B1144" s="347" t="s">
        <v>9967</v>
      </c>
      <c r="C1144" s="405" t="s">
        <v>11261</v>
      </c>
      <c r="D1144" s="537">
        <v>21</v>
      </c>
      <c r="E1144" s="436"/>
      <c r="F1144" s="532" t="s">
        <v>10026</v>
      </c>
      <c r="G1144" s="602"/>
      <c r="H1144" s="441">
        <v>56.2</v>
      </c>
      <c r="I1144" s="536">
        <v>1959</v>
      </c>
      <c r="J1144" s="415">
        <v>150700</v>
      </c>
      <c r="K1144" s="437">
        <v>447751.58</v>
      </c>
    </row>
    <row r="1145" spans="1:11" x14ac:dyDescent="0.2">
      <c r="A1145" s="351" t="s">
        <v>10913</v>
      </c>
      <c r="B1145" s="420"/>
      <c r="C1145" s="1147" t="s">
        <v>11886</v>
      </c>
      <c r="D1145" s="1150">
        <v>1</v>
      </c>
      <c r="E1145" s="436"/>
      <c r="F1145" s="532"/>
      <c r="G1145" s="602"/>
      <c r="H1145" s="415">
        <f>1209.8-1209.8</f>
        <v>0</v>
      </c>
      <c r="I1145" s="1145">
        <v>1966</v>
      </c>
      <c r="J1145" s="415">
        <f>3135024-3135024</f>
        <v>0</v>
      </c>
      <c r="K1145" s="437"/>
    </row>
    <row r="1146" spans="1:11" ht="27" customHeight="1" x14ac:dyDescent="0.2">
      <c r="A1146" s="347" t="s">
        <v>10914</v>
      </c>
      <c r="B1146" s="347" t="s">
        <v>295</v>
      </c>
      <c r="C1146" s="1149"/>
      <c r="D1146" s="1152"/>
      <c r="E1146" s="436">
        <v>18</v>
      </c>
      <c r="F1146" s="465" t="s">
        <v>10915</v>
      </c>
      <c r="G1146" s="602" t="s">
        <v>137</v>
      </c>
      <c r="H1146" s="415">
        <v>40.4</v>
      </c>
      <c r="I1146" s="1146"/>
      <c r="J1146" s="415">
        <v>748180</v>
      </c>
      <c r="K1146" s="437">
        <v>748180.86</v>
      </c>
    </row>
    <row r="1147" spans="1:11" ht="22.5" customHeight="1" x14ac:dyDescent="0.2">
      <c r="A1147" s="348" t="s">
        <v>1027</v>
      </c>
      <c r="B1147" s="347"/>
      <c r="C1147" s="1147" t="s">
        <v>11262</v>
      </c>
      <c r="D1147" s="1150">
        <v>2</v>
      </c>
      <c r="E1147" s="436"/>
      <c r="F1147" s="541"/>
      <c r="G1147" s="602"/>
      <c r="H1147" s="415">
        <f>3675.3-3675.3</f>
        <v>0</v>
      </c>
      <c r="I1147" s="1145">
        <v>1984</v>
      </c>
      <c r="J1147" s="415">
        <f>21274100-21274100</f>
        <v>0</v>
      </c>
      <c r="K1147" s="437"/>
    </row>
    <row r="1148" spans="1:11" ht="12.75" customHeight="1" x14ac:dyDescent="0.2">
      <c r="A1148" s="349" t="s">
        <v>1554</v>
      </c>
      <c r="B1148" s="347" t="s">
        <v>295</v>
      </c>
      <c r="C1148" s="1148"/>
      <c r="D1148" s="1151"/>
      <c r="E1148" s="421">
        <v>33</v>
      </c>
      <c r="F1148" s="465"/>
      <c r="G1148" s="465"/>
      <c r="H1148" s="473">
        <v>49.8</v>
      </c>
      <c r="I1148" s="1153"/>
      <c r="J1148" s="415">
        <v>288262.23165455874</v>
      </c>
      <c r="K1148" s="437"/>
    </row>
    <row r="1149" spans="1:11" x14ac:dyDescent="0.2">
      <c r="A1149" s="349" t="s">
        <v>1555</v>
      </c>
      <c r="B1149" s="347" t="s">
        <v>295</v>
      </c>
      <c r="C1149" s="1148"/>
      <c r="D1149" s="1151"/>
      <c r="E1149" s="421">
        <v>64</v>
      </c>
      <c r="F1149" s="44" t="s">
        <v>174</v>
      </c>
      <c r="G1149" s="465"/>
      <c r="H1149" s="473">
        <v>55.4</v>
      </c>
      <c r="I1149" s="1153"/>
      <c r="J1149" s="415">
        <v>320677.26172013162</v>
      </c>
      <c r="K1149" s="437">
        <v>1104582.3600000001</v>
      </c>
    </row>
    <row r="1150" spans="1:11" x14ac:dyDescent="0.2">
      <c r="A1150" s="433" t="s">
        <v>13038</v>
      </c>
      <c r="B1150" s="433" t="s">
        <v>295</v>
      </c>
      <c r="C1150" s="1148"/>
      <c r="D1150" s="1151"/>
      <c r="E1150" s="676">
        <v>14</v>
      </c>
      <c r="F1150" s="677" t="s">
        <v>13039</v>
      </c>
      <c r="G1150" s="677" t="s">
        <v>127</v>
      </c>
      <c r="H1150" s="490">
        <v>31.1</v>
      </c>
      <c r="I1150" s="1153"/>
      <c r="J1150" s="435">
        <v>1410571.6</v>
      </c>
      <c r="K1150" s="443">
        <v>665447.74</v>
      </c>
    </row>
    <row r="1151" spans="1:11" x14ac:dyDescent="0.2">
      <c r="A1151" s="433" t="s">
        <v>14103</v>
      </c>
      <c r="B1151" s="433" t="s">
        <v>295</v>
      </c>
      <c r="C1151" s="1149"/>
      <c r="D1151" s="1152"/>
      <c r="E1151" s="676">
        <v>32</v>
      </c>
      <c r="F1151" s="677" t="s">
        <v>14104</v>
      </c>
      <c r="G1151" s="677" t="s">
        <v>128</v>
      </c>
      <c r="H1151" s="490">
        <v>31.6</v>
      </c>
      <c r="I1151" s="1146"/>
      <c r="J1151" s="435">
        <v>713416.11</v>
      </c>
      <c r="K1151" s="443">
        <v>673652.88</v>
      </c>
    </row>
    <row r="1152" spans="1:11" ht="40.5" customHeight="1" x14ac:dyDescent="0.2">
      <c r="A1152" s="351" t="s">
        <v>1028</v>
      </c>
      <c r="B1152" s="347" t="s">
        <v>295</v>
      </c>
      <c r="C1152" s="405" t="s">
        <v>11263</v>
      </c>
      <c r="D1152" s="537">
        <v>15</v>
      </c>
      <c r="E1152" s="436">
        <v>3</v>
      </c>
      <c r="F1152" s="541" t="s">
        <v>270</v>
      </c>
      <c r="G1152" s="602"/>
      <c r="H1152" s="415">
        <f>317.2-237.5</f>
        <v>79.699999999999989</v>
      </c>
      <c r="I1152" s="536">
        <v>1993</v>
      </c>
      <c r="J1152" s="415">
        <v>31181.494325346786</v>
      </c>
      <c r="K1152" s="437">
        <v>825946.24</v>
      </c>
    </row>
    <row r="1153" spans="1:11" ht="38.25" x14ac:dyDescent="0.2">
      <c r="A1153" s="348" t="s">
        <v>1029</v>
      </c>
      <c r="B1153" s="347" t="s">
        <v>295</v>
      </c>
      <c r="C1153" s="405" t="s">
        <v>11264</v>
      </c>
      <c r="D1153" s="537">
        <v>20</v>
      </c>
      <c r="E1153" s="436">
        <v>2</v>
      </c>
      <c r="F1153" s="541"/>
      <c r="G1153" s="602"/>
      <c r="H1153" s="415">
        <f>219.6-179.6</f>
        <v>40</v>
      </c>
      <c r="I1153" s="536">
        <v>1933</v>
      </c>
      <c r="J1153" s="415">
        <f>127400/219.6*40</f>
        <v>23205.828779599273</v>
      </c>
      <c r="K1153" s="437"/>
    </row>
    <row r="1154" spans="1:11" ht="17.25" customHeight="1" x14ac:dyDescent="0.2">
      <c r="A1154" s="348" t="s">
        <v>1030</v>
      </c>
      <c r="B1154" s="347"/>
      <c r="C1154" s="1147" t="s">
        <v>11265</v>
      </c>
      <c r="D1154" s="1150">
        <v>21</v>
      </c>
      <c r="E1154" s="436"/>
      <c r="F1154" s="541"/>
      <c r="G1154" s="602"/>
      <c r="H1154" s="415">
        <f>410-410</f>
        <v>0</v>
      </c>
      <c r="I1154" s="1145">
        <v>1949</v>
      </c>
      <c r="J1154" s="415">
        <f>1014500-1014500</f>
        <v>0</v>
      </c>
      <c r="K1154" s="437"/>
    </row>
    <row r="1155" spans="1:11" ht="12.75" customHeight="1" x14ac:dyDescent="0.2">
      <c r="A1155" s="349" t="s">
        <v>1556</v>
      </c>
      <c r="B1155" s="347" t="s">
        <v>295</v>
      </c>
      <c r="C1155" s="1148"/>
      <c r="D1155" s="1151"/>
      <c r="E1155" s="421">
        <v>2</v>
      </c>
      <c r="F1155" s="465"/>
      <c r="G1155" s="465"/>
      <c r="H1155" s="473">
        <v>47.4</v>
      </c>
      <c r="I1155" s="1153"/>
      <c r="J1155" s="415">
        <v>117286.09756097561</v>
      </c>
      <c r="K1155" s="437"/>
    </row>
    <row r="1156" spans="1:11" x14ac:dyDescent="0.2">
      <c r="A1156" s="433" t="s">
        <v>13357</v>
      </c>
      <c r="B1156" s="433" t="s">
        <v>295</v>
      </c>
      <c r="C1156" s="1148"/>
      <c r="D1156" s="1151"/>
      <c r="E1156" s="468">
        <v>3</v>
      </c>
      <c r="F1156" s="465" t="s">
        <v>13362</v>
      </c>
      <c r="G1156" s="588" t="s">
        <v>137</v>
      </c>
      <c r="H1156" s="469">
        <v>31.5</v>
      </c>
      <c r="I1156" s="1153"/>
      <c r="J1156" s="415">
        <v>1350000</v>
      </c>
      <c r="K1156" s="437">
        <v>378168.84</v>
      </c>
    </row>
    <row r="1157" spans="1:11" x14ac:dyDescent="0.2">
      <c r="A1157" s="433" t="s">
        <v>13358</v>
      </c>
      <c r="B1157" s="433" t="s">
        <v>295</v>
      </c>
      <c r="C1157" s="1148"/>
      <c r="D1157" s="1151"/>
      <c r="E1157" s="468">
        <v>5</v>
      </c>
      <c r="F1157" s="465" t="s">
        <v>13363</v>
      </c>
      <c r="G1157" s="588" t="s">
        <v>137</v>
      </c>
      <c r="H1157" s="469">
        <v>52.4</v>
      </c>
      <c r="I1157" s="1153"/>
      <c r="J1157" s="415">
        <v>2309000</v>
      </c>
      <c r="K1157" s="437">
        <v>629080.86</v>
      </c>
    </row>
    <row r="1158" spans="1:11" x14ac:dyDescent="0.2">
      <c r="A1158" s="433" t="s">
        <v>13359</v>
      </c>
      <c r="B1158" s="433" t="s">
        <v>295</v>
      </c>
      <c r="C1158" s="1148"/>
      <c r="D1158" s="1151"/>
      <c r="E1158" s="468">
        <v>6</v>
      </c>
      <c r="F1158" s="465" t="s">
        <v>13364</v>
      </c>
      <c r="G1158" s="588" t="s">
        <v>137</v>
      </c>
      <c r="H1158" s="469">
        <v>91.1</v>
      </c>
      <c r="I1158" s="1153"/>
      <c r="J1158" s="415">
        <v>4015000</v>
      </c>
      <c r="K1158" s="437">
        <v>1093688.3</v>
      </c>
    </row>
    <row r="1159" spans="1:11" x14ac:dyDescent="0.2">
      <c r="A1159" s="433" t="s">
        <v>13360</v>
      </c>
      <c r="B1159" s="433" t="s">
        <v>295</v>
      </c>
      <c r="C1159" s="1148"/>
      <c r="D1159" s="1151"/>
      <c r="E1159" s="468">
        <v>7</v>
      </c>
      <c r="F1159" s="465" t="s">
        <v>13365</v>
      </c>
      <c r="G1159" s="588" t="s">
        <v>137</v>
      </c>
      <c r="H1159" s="469">
        <v>74.900000000000006</v>
      </c>
      <c r="I1159" s="1153"/>
      <c r="J1159" s="415">
        <v>3301000</v>
      </c>
      <c r="K1159" s="437">
        <v>899201.46</v>
      </c>
    </row>
    <row r="1160" spans="1:11" x14ac:dyDescent="0.2">
      <c r="A1160" s="433" t="s">
        <v>13361</v>
      </c>
      <c r="B1160" s="433" t="s">
        <v>295</v>
      </c>
      <c r="C1160" s="1148"/>
      <c r="D1160" s="1151"/>
      <c r="E1160" s="468">
        <v>4</v>
      </c>
      <c r="F1160" s="465" t="s">
        <v>13366</v>
      </c>
      <c r="G1160" s="588" t="s">
        <v>137</v>
      </c>
      <c r="H1160" s="469">
        <v>38.4</v>
      </c>
      <c r="I1160" s="1153"/>
      <c r="J1160" s="415">
        <v>1654000</v>
      </c>
      <c r="K1160" s="437">
        <v>610088.82999999996</v>
      </c>
    </row>
    <row r="1161" spans="1:11" x14ac:dyDescent="0.2">
      <c r="A1161" s="433" t="s">
        <v>13454</v>
      </c>
      <c r="B1161" s="433" t="s">
        <v>295</v>
      </c>
      <c r="C1161" s="1149"/>
      <c r="D1161" s="1152"/>
      <c r="E1161" s="468">
        <v>1</v>
      </c>
      <c r="F1161" s="465" t="s">
        <v>13459</v>
      </c>
      <c r="G1161" s="588" t="s">
        <v>137</v>
      </c>
      <c r="H1161" s="469">
        <v>48.5</v>
      </c>
      <c r="I1161" s="1146"/>
      <c r="J1161" s="415">
        <v>2230000</v>
      </c>
      <c r="K1161" s="437">
        <v>582259.96</v>
      </c>
    </row>
    <row r="1162" spans="1:11" ht="12.75" customHeight="1" x14ac:dyDescent="0.2">
      <c r="A1162" s="348" t="s">
        <v>1031</v>
      </c>
      <c r="B1162" s="347"/>
      <c r="C1162" s="1147" t="s">
        <v>11266</v>
      </c>
      <c r="D1162" s="1150">
        <v>3</v>
      </c>
      <c r="E1162" s="436"/>
      <c r="F1162" s="541"/>
      <c r="G1162" s="602"/>
      <c r="H1162" s="474">
        <f>1085.3-1085.3</f>
        <v>0</v>
      </c>
      <c r="I1162" s="1145">
        <v>1965</v>
      </c>
      <c r="J1162" s="415">
        <f>2669400-2669400</f>
        <v>0</v>
      </c>
      <c r="K1162" s="437"/>
    </row>
    <row r="1163" spans="1:11" ht="25.5" customHeight="1" x14ac:dyDescent="0.2">
      <c r="A1163" s="349" t="s">
        <v>1032</v>
      </c>
      <c r="B1163" s="347" t="s">
        <v>295</v>
      </c>
      <c r="C1163" s="1148"/>
      <c r="D1163" s="1151"/>
      <c r="E1163" s="421">
        <v>18</v>
      </c>
      <c r="F1163" s="44" t="s">
        <v>175</v>
      </c>
      <c r="G1163" s="465"/>
      <c r="H1163" s="473">
        <v>32.799999999999997</v>
      </c>
      <c r="I1163" s="1153"/>
      <c r="J1163" s="415">
        <v>80674.762738413338</v>
      </c>
      <c r="K1163" s="437">
        <v>464612.66</v>
      </c>
    </row>
    <row r="1164" spans="1:11" ht="25.5" customHeight="1" x14ac:dyDescent="0.2">
      <c r="A1164" s="433" t="s">
        <v>13028</v>
      </c>
      <c r="B1164" s="433" t="s">
        <v>295</v>
      </c>
      <c r="C1164" s="1149"/>
      <c r="D1164" s="1152"/>
      <c r="E1164" s="675">
        <v>26</v>
      </c>
      <c r="F1164" s="677" t="s">
        <v>13029</v>
      </c>
      <c r="G1164" s="757" t="s">
        <v>128</v>
      </c>
      <c r="H1164" s="490">
        <v>45.2</v>
      </c>
      <c r="I1164" s="1146"/>
      <c r="J1164" s="435">
        <v>1496748</v>
      </c>
      <c r="K1164" s="443">
        <v>614122.38</v>
      </c>
    </row>
    <row r="1165" spans="1:11" ht="24" customHeight="1" x14ac:dyDescent="0.2">
      <c r="A1165" s="348" t="s">
        <v>1033</v>
      </c>
      <c r="B1165" s="347"/>
      <c r="C1165" s="1157" t="s">
        <v>11267</v>
      </c>
      <c r="D1165" s="1158">
        <v>7</v>
      </c>
      <c r="E1165" s="436"/>
      <c r="F1165" s="541"/>
      <c r="G1165" s="606"/>
      <c r="H1165" s="474">
        <f>1490.3-1490.3</f>
        <v>0</v>
      </c>
      <c r="I1165" s="1159">
        <v>1958</v>
      </c>
      <c r="J1165" s="415">
        <f>4816516-4816516</f>
        <v>0</v>
      </c>
      <c r="K1165" s="437"/>
    </row>
    <row r="1166" spans="1:11" ht="12.75" customHeight="1" x14ac:dyDescent="0.2">
      <c r="A1166" s="349" t="s">
        <v>1034</v>
      </c>
      <c r="B1166" s="347" t="s">
        <v>295</v>
      </c>
      <c r="C1166" s="1157"/>
      <c r="D1166" s="1158"/>
      <c r="E1166" s="347">
        <v>1</v>
      </c>
      <c r="F1166" s="465"/>
      <c r="G1166" s="465"/>
      <c r="H1166" s="473">
        <v>18.5</v>
      </c>
      <c r="I1166" s="1159"/>
      <c r="J1166" s="415">
        <v>59790.142924243439</v>
      </c>
      <c r="K1166" s="437"/>
    </row>
    <row r="1167" spans="1:11" ht="14.25" customHeight="1" x14ac:dyDescent="0.2">
      <c r="A1167" s="349" t="s">
        <v>1035</v>
      </c>
      <c r="B1167" s="347" t="s">
        <v>295</v>
      </c>
      <c r="C1167" s="1157"/>
      <c r="D1167" s="1158"/>
      <c r="E1167" s="347">
        <v>2</v>
      </c>
      <c r="F1167" s="465"/>
      <c r="G1167" s="465"/>
      <c r="H1167" s="473">
        <v>18</v>
      </c>
      <c r="I1167" s="1159"/>
      <c r="J1167" s="415">
        <v>58174.193115480106</v>
      </c>
      <c r="K1167" s="437"/>
    </row>
    <row r="1168" spans="1:11" x14ac:dyDescent="0.2">
      <c r="A1168" s="349" t="s">
        <v>1036</v>
      </c>
      <c r="B1168" s="347" t="s">
        <v>295</v>
      </c>
      <c r="C1168" s="1157"/>
      <c r="D1168" s="1158"/>
      <c r="E1168" s="347">
        <v>3</v>
      </c>
      <c r="F1168" s="465"/>
      <c r="G1168" s="465"/>
      <c r="H1168" s="473">
        <v>16</v>
      </c>
      <c r="I1168" s="1159"/>
      <c r="J1168" s="415">
        <v>51710.39388042676</v>
      </c>
      <c r="K1168" s="437"/>
    </row>
    <row r="1169" spans="1:11" x14ac:dyDescent="0.2">
      <c r="A1169" s="349" t="s">
        <v>1037</v>
      </c>
      <c r="B1169" s="347" t="s">
        <v>295</v>
      </c>
      <c r="C1169" s="1157"/>
      <c r="D1169" s="1158"/>
      <c r="E1169" s="347">
        <v>4</v>
      </c>
      <c r="F1169" s="465"/>
      <c r="G1169" s="465"/>
      <c r="H1169" s="473">
        <v>17</v>
      </c>
      <c r="I1169" s="1159"/>
      <c r="J1169" s="415">
        <v>54942.293497953433</v>
      </c>
      <c r="K1169" s="437"/>
    </row>
    <row r="1170" spans="1:11" ht="12.75" customHeight="1" x14ac:dyDescent="0.2">
      <c r="A1170" s="349" t="s">
        <v>1557</v>
      </c>
      <c r="B1170" s="347" t="s">
        <v>295</v>
      </c>
      <c r="C1170" s="1157"/>
      <c r="D1170" s="1158"/>
      <c r="E1170" s="347">
        <v>5</v>
      </c>
      <c r="F1170" s="465"/>
      <c r="G1170" s="465"/>
      <c r="H1170" s="473">
        <v>19</v>
      </c>
      <c r="I1170" s="1159"/>
      <c r="J1170" s="415">
        <v>61406.092733006779</v>
      </c>
      <c r="K1170" s="437"/>
    </row>
    <row r="1171" spans="1:11" x14ac:dyDescent="0.2">
      <c r="A1171" s="349" t="s">
        <v>1558</v>
      </c>
      <c r="B1171" s="347" t="s">
        <v>295</v>
      </c>
      <c r="C1171" s="1157"/>
      <c r="D1171" s="1158"/>
      <c r="E1171" s="347">
        <v>6</v>
      </c>
      <c r="F1171" s="465"/>
      <c r="G1171" s="465"/>
      <c r="H1171" s="473">
        <v>19</v>
      </c>
      <c r="I1171" s="1159"/>
      <c r="J1171" s="415">
        <v>61406.092733006779</v>
      </c>
      <c r="K1171" s="437"/>
    </row>
    <row r="1172" spans="1:11" x14ac:dyDescent="0.2">
      <c r="A1172" s="349" t="s">
        <v>1559</v>
      </c>
      <c r="B1172" s="347" t="s">
        <v>295</v>
      </c>
      <c r="C1172" s="1157"/>
      <c r="D1172" s="1158"/>
      <c r="E1172" s="347">
        <v>7</v>
      </c>
      <c r="F1172" s="465"/>
      <c r="G1172" s="465"/>
      <c r="H1172" s="473">
        <v>18.5</v>
      </c>
      <c r="I1172" s="1159"/>
      <c r="J1172" s="415">
        <v>59790.142924243439</v>
      </c>
      <c r="K1172" s="437"/>
    </row>
    <row r="1173" spans="1:11" ht="12.75" customHeight="1" x14ac:dyDescent="0.2">
      <c r="A1173" s="349" t="s">
        <v>1560</v>
      </c>
      <c r="B1173" s="347" t="s">
        <v>295</v>
      </c>
      <c r="C1173" s="1157"/>
      <c r="D1173" s="1158"/>
      <c r="E1173" s="347">
        <v>8</v>
      </c>
      <c r="F1173" s="465"/>
      <c r="G1173" s="465"/>
      <c r="H1173" s="473">
        <v>19</v>
      </c>
      <c r="I1173" s="1159"/>
      <c r="J1173" s="415">
        <v>61406.092733006779</v>
      </c>
      <c r="K1173" s="437"/>
    </row>
    <row r="1174" spans="1:11" x14ac:dyDescent="0.2">
      <c r="A1174" s="349" t="s">
        <v>1561</v>
      </c>
      <c r="B1174" s="347" t="s">
        <v>295</v>
      </c>
      <c r="C1174" s="1157"/>
      <c r="D1174" s="1158"/>
      <c r="E1174" s="347">
        <v>9</v>
      </c>
      <c r="F1174" s="465"/>
      <c r="G1174" s="465"/>
      <c r="H1174" s="473">
        <v>18.5</v>
      </c>
      <c r="I1174" s="1159"/>
      <c r="J1174" s="415">
        <v>59790.142924243439</v>
      </c>
      <c r="K1174" s="437"/>
    </row>
    <row r="1175" spans="1:11" x14ac:dyDescent="0.2">
      <c r="A1175" s="349" t="s">
        <v>1562</v>
      </c>
      <c r="B1175" s="347" t="s">
        <v>295</v>
      </c>
      <c r="C1175" s="1157"/>
      <c r="D1175" s="1158"/>
      <c r="E1175" s="347">
        <v>10</v>
      </c>
      <c r="F1175" s="465"/>
      <c r="G1175" s="465"/>
      <c r="H1175" s="473">
        <v>18</v>
      </c>
      <c r="I1175" s="1159"/>
      <c r="J1175" s="415">
        <v>58174.193115480106</v>
      </c>
      <c r="K1175" s="437"/>
    </row>
    <row r="1176" spans="1:11" ht="12.75" customHeight="1" x14ac:dyDescent="0.2">
      <c r="A1176" s="349" t="s">
        <v>1563</v>
      </c>
      <c r="B1176" s="347" t="s">
        <v>295</v>
      </c>
      <c r="C1176" s="1157"/>
      <c r="D1176" s="1158"/>
      <c r="E1176" s="347">
        <v>11</v>
      </c>
      <c r="F1176" s="465"/>
      <c r="G1176" s="465"/>
      <c r="H1176" s="473">
        <v>19</v>
      </c>
      <c r="I1176" s="1159"/>
      <c r="J1176" s="415">
        <v>61406.092733006779</v>
      </c>
      <c r="K1176" s="437"/>
    </row>
    <row r="1177" spans="1:11" x14ac:dyDescent="0.2">
      <c r="A1177" s="349" t="s">
        <v>1564</v>
      </c>
      <c r="B1177" s="347" t="s">
        <v>295</v>
      </c>
      <c r="C1177" s="1157"/>
      <c r="D1177" s="1158"/>
      <c r="E1177" s="347">
        <v>12</v>
      </c>
      <c r="F1177" s="465"/>
      <c r="G1177" s="465"/>
      <c r="H1177" s="473">
        <v>19</v>
      </c>
      <c r="I1177" s="1159"/>
      <c r="J1177" s="415">
        <v>61406.092733006779</v>
      </c>
      <c r="K1177" s="437"/>
    </row>
    <row r="1178" spans="1:11" x14ac:dyDescent="0.2">
      <c r="A1178" s="349" t="s">
        <v>1565</v>
      </c>
      <c r="B1178" s="347" t="s">
        <v>295</v>
      </c>
      <c r="C1178" s="1157"/>
      <c r="D1178" s="1158"/>
      <c r="E1178" s="347">
        <v>13</v>
      </c>
      <c r="F1178" s="465"/>
      <c r="G1178" s="465"/>
      <c r="H1178" s="473">
        <v>18.5</v>
      </c>
      <c r="I1178" s="1159"/>
      <c r="J1178" s="415">
        <v>59790.142924243439</v>
      </c>
      <c r="K1178" s="437"/>
    </row>
    <row r="1179" spans="1:11" x14ac:dyDescent="0.2">
      <c r="A1179" s="349" t="s">
        <v>1566</v>
      </c>
      <c r="B1179" s="347" t="s">
        <v>295</v>
      </c>
      <c r="C1179" s="1157"/>
      <c r="D1179" s="1158"/>
      <c r="E1179" s="347">
        <v>14</v>
      </c>
      <c r="F1179" s="465"/>
      <c r="G1179" s="465"/>
      <c r="H1179" s="473">
        <v>19</v>
      </c>
      <c r="I1179" s="1159"/>
      <c r="J1179" s="415">
        <v>61406.092733006779</v>
      </c>
      <c r="K1179" s="437"/>
    </row>
    <row r="1180" spans="1:11" x14ac:dyDescent="0.2">
      <c r="A1180" s="349" t="s">
        <v>1567</v>
      </c>
      <c r="B1180" s="347" t="s">
        <v>295</v>
      </c>
      <c r="C1180" s="1157"/>
      <c r="D1180" s="1158"/>
      <c r="E1180" s="347">
        <v>15</v>
      </c>
      <c r="F1180" s="465"/>
      <c r="G1180" s="465"/>
      <c r="H1180" s="473">
        <v>19</v>
      </c>
      <c r="I1180" s="1159"/>
      <c r="J1180" s="415">
        <v>61406.092733006779</v>
      </c>
      <c r="K1180" s="437"/>
    </row>
    <row r="1181" spans="1:11" x14ac:dyDescent="0.2">
      <c r="A1181" s="349" t="s">
        <v>1568</v>
      </c>
      <c r="B1181" s="347" t="s">
        <v>295</v>
      </c>
      <c r="C1181" s="1157"/>
      <c r="D1181" s="1158"/>
      <c r="E1181" s="347">
        <v>16</v>
      </c>
      <c r="F1181" s="465"/>
      <c r="G1181" s="465"/>
      <c r="H1181" s="473">
        <v>18.5</v>
      </c>
      <c r="I1181" s="1159"/>
      <c r="J1181" s="415">
        <v>59790.142924243439</v>
      </c>
      <c r="K1181" s="437"/>
    </row>
    <row r="1182" spans="1:11" ht="12.75" customHeight="1" x14ac:dyDescent="0.2">
      <c r="A1182" s="349" t="s">
        <v>1569</v>
      </c>
      <c r="B1182" s="347" t="s">
        <v>295</v>
      </c>
      <c r="C1182" s="1157"/>
      <c r="D1182" s="1158"/>
      <c r="E1182" s="347">
        <v>17</v>
      </c>
      <c r="F1182" s="465"/>
      <c r="G1182" s="465"/>
      <c r="H1182" s="473">
        <v>18</v>
      </c>
      <c r="I1182" s="1159"/>
      <c r="J1182" s="415">
        <v>58174.193115480106</v>
      </c>
      <c r="K1182" s="437"/>
    </row>
    <row r="1183" spans="1:11" x14ac:dyDescent="0.2">
      <c r="A1183" s="349" t="s">
        <v>1570</v>
      </c>
      <c r="B1183" s="347" t="s">
        <v>295</v>
      </c>
      <c r="C1183" s="1157"/>
      <c r="D1183" s="1158"/>
      <c r="E1183" s="347">
        <v>18</v>
      </c>
      <c r="F1183" s="465"/>
      <c r="G1183" s="465"/>
      <c r="H1183" s="473">
        <v>16.2</v>
      </c>
      <c r="I1183" s="1159"/>
      <c r="J1183" s="415">
        <v>52356.77380393209</v>
      </c>
      <c r="K1183" s="437"/>
    </row>
    <row r="1184" spans="1:11" ht="12.75" customHeight="1" x14ac:dyDescent="0.2">
      <c r="A1184" s="349" t="s">
        <v>1571</v>
      </c>
      <c r="B1184" s="347" t="s">
        <v>295</v>
      </c>
      <c r="C1184" s="1157"/>
      <c r="D1184" s="1158"/>
      <c r="E1184" s="347">
        <v>19</v>
      </c>
      <c r="F1184" s="465"/>
      <c r="G1184" s="465"/>
      <c r="H1184" s="473">
        <v>18</v>
      </c>
      <c r="I1184" s="1159"/>
      <c r="J1184" s="415">
        <v>58174.193115480106</v>
      </c>
      <c r="K1184" s="437"/>
    </row>
    <row r="1185" spans="1:11" x14ac:dyDescent="0.2">
      <c r="A1185" s="349" t="s">
        <v>1572</v>
      </c>
      <c r="B1185" s="347" t="s">
        <v>295</v>
      </c>
      <c r="C1185" s="1157"/>
      <c r="D1185" s="1158"/>
      <c r="E1185" s="347">
        <v>20</v>
      </c>
      <c r="F1185" s="465"/>
      <c r="G1185" s="465"/>
      <c r="H1185" s="473">
        <v>14.5</v>
      </c>
      <c r="I1185" s="1159"/>
      <c r="J1185" s="415">
        <v>46862.544454136754</v>
      </c>
      <c r="K1185" s="437"/>
    </row>
    <row r="1186" spans="1:11" x14ac:dyDescent="0.2">
      <c r="A1186" s="349" t="s">
        <v>1573</v>
      </c>
      <c r="B1186" s="347" t="s">
        <v>295</v>
      </c>
      <c r="C1186" s="1157"/>
      <c r="D1186" s="1158"/>
      <c r="E1186" s="347">
        <v>21</v>
      </c>
      <c r="F1186" s="465"/>
      <c r="G1186" s="465"/>
      <c r="H1186" s="473">
        <v>18</v>
      </c>
      <c r="I1186" s="1159"/>
      <c r="J1186" s="415">
        <v>58174.193115480106</v>
      </c>
      <c r="K1186" s="437"/>
    </row>
    <row r="1187" spans="1:11" x14ac:dyDescent="0.2">
      <c r="A1187" s="349" t="s">
        <v>1574</v>
      </c>
      <c r="B1187" s="347" t="s">
        <v>295</v>
      </c>
      <c r="C1187" s="1157"/>
      <c r="D1187" s="1158"/>
      <c r="E1187" s="347">
        <v>22</v>
      </c>
      <c r="F1187" s="465"/>
      <c r="G1187" s="465"/>
      <c r="H1187" s="473">
        <v>18</v>
      </c>
      <c r="I1187" s="1159"/>
      <c r="J1187" s="415">
        <v>58174.193115480106</v>
      </c>
      <c r="K1187" s="437"/>
    </row>
    <row r="1188" spans="1:11" x14ac:dyDescent="0.2">
      <c r="A1188" s="349" t="s">
        <v>1575</v>
      </c>
      <c r="B1188" s="347" t="s">
        <v>295</v>
      </c>
      <c r="C1188" s="1157"/>
      <c r="D1188" s="1158"/>
      <c r="E1188" s="347">
        <v>23</v>
      </c>
      <c r="F1188" s="465"/>
      <c r="G1188" s="465"/>
      <c r="H1188" s="473">
        <v>18</v>
      </c>
      <c r="I1188" s="1159"/>
      <c r="J1188" s="415">
        <v>58174.193115480106</v>
      </c>
      <c r="K1188" s="437"/>
    </row>
    <row r="1189" spans="1:11" x14ac:dyDescent="0.2">
      <c r="A1189" s="349" t="s">
        <v>1576</v>
      </c>
      <c r="B1189" s="347" t="s">
        <v>295</v>
      </c>
      <c r="C1189" s="1157"/>
      <c r="D1189" s="1158"/>
      <c r="E1189" s="347">
        <v>24</v>
      </c>
      <c r="F1189" s="465"/>
      <c r="G1189" s="465"/>
      <c r="H1189" s="473">
        <v>16</v>
      </c>
      <c r="I1189" s="1159"/>
      <c r="J1189" s="415">
        <v>51710.39388042676</v>
      </c>
      <c r="K1189" s="437"/>
    </row>
    <row r="1190" spans="1:11" ht="12.75" customHeight="1" x14ac:dyDescent="0.2">
      <c r="A1190" s="349" t="s">
        <v>1577</v>
      </c>
      <c r="B1190" s="347" t="s">
        <v>295</v>
      </c>
      <c r="C1190" s="1157"/>
      <c r="D1190" s="1158"/>
      <c r="E1190" s="347">
        <v>25</v>
      </c>
      <c r="F1190" s="465"/>
      <c r="G1190" s="465"/>
      <c r="H1190" s="473">
        <v>19</v>
      </c>
      <c r="I1190" s="1159"/>
      <c r="J1190" s="415">
        <v>61406.092733006779</v>
      </c>
      <c r="K1190" s="437"/>
    </row>
    <row r="1191" spans="1:11" x14ac:dyDescent="0.2">
      <c r="A1191" s="349" t="s">
        <v>1578</v>
      </c>
      <c r="B1191" s="347" t="s">
        <v>295</v>
      </c>
      <c r="C1191" s="1157"/>
      <c r="D1191" s="1158"/>
      <c r="E1191" s="347">
        <v>26</v>
      </c>
      <c r="F1191" s="465"/>
      <c r="G1191" s="465"/>
      <c r="H1191" s="473">
        <v>19</v>
      </c>
      <c r="I1191" s="1159"/>
      <c r="J1191" s="415">
        <v>61406.092733006779</v>
      </c>
      <c r="K1191" s="437"/>
    </row>
    <row r="1192" spans="1:11" ht="12.75" customHeight="1" x14ac:dyDescent="0.2">
      <c r="A1192" s="349" t="s">
        <v>1579</v>
      </c>
      <c r="B1192" s="347" t="s">
        <v>295</v>
      </c>
      <c r="C1192" s="1157"/>
      <c r="D1192" s="1158"/>
      <c r="E1192" s="347">
        <v>27</v>
      </c>
      <c r="F1192" s="465"/>
      <c r="G1192" s="465"/>
      <c r="H1192" s="473">
        <v>18.5</v>
      </c>
      <c r="I1192" s="1159"/>
      <c r="J1192" s="415">
        <v>59790.142924243439</v>
      </c>
      <c r="K1192" s="437"/>
    </row>
    <row r="1193" spans="1:11" x14ac:dyDescent="0.2">
      <c r="A1193" s="349" t="s">
        <v>1580</v>
      </c>
      <c r="B1193" s="347" t="s">
        <v>295</v>
      </c>
      <c r="C1193" s="1157"/>
      <c r="D1193" s="1158"/>
      <c r="E1193" s="347">
        <v>28</v>
      </c>
      <c r="F1193" s="465"/>
      <c r="G1193" s="465"/>
      <c r="H1193" s="473">
        <v>18.5</v>
      </c>
      <c r="I1193" s="1159"/>
      <c r="J1193" s="415">
        <v>59790.142924243439</v>
      </c>
      <c r="K1193" s="437"/>
    </row>
    <row r="1194" spans="1:11" x14ac:dyDescent="0.2">
      <c r="A1194" s="349" t="s">
        <v>1581</v>
      </c>
      <c r="B1194" s="347" t="s">
        <v>295</v>
      </c>
      <c r="C1194" s="1157"/>
      <c r="D1194" s="1158"/>
      <c r="E1194" s="347">
        <v>29</v>
      </c>
      <c r="F1194" s="465"/>
      <c r="G1194" s="465"/>
      <c r="H1194" s="473">
        <v>18</v>
      </c>
      <c r="I1194" s="1159"/>
      <c r="J1194" s="415">
        <v>58174.193115480106</v>
      </c>
      <c r="K1194" s="437"/>
    </row>
    <row r="1195" spans="1:11" x14ac:dyDescent="0.2">
      <c r="A1195" s="349" t="s">
        <v>1582</v>
      </c>
      <c r="B1195" s="347" t="s">
        <v>295</v>
      </c>
      <c r="C1195" s="1157"/>
      <c r="D1195" s="1158"/>
      <c r="E1195" s="347">
        <v>30</v>
      </c>
      <c r="F1195" s="465"/>
      <c r="G1195" s="465"/>
      <c r="H1195" s="473">
        <v>18.5</v>
      </c>
      <c r="I1195" s="1159"/>
      <c r="J1195" s="415">
        <v>59790.142924243439</v>
      </c>
      <c r="K1195" s="437"/>
    </row>
    <row r="1196" spans="1:11" x14ac:dyDescent="0.2">
      <c r="A1196" s="349" t="s">
        <v>1583</v>
      </c>
      <c r="B1196" s="347" t="s">
        <v>295</v>
      </c>
      <c r="C1196" s="1157"/>
      <c r="D1196" s="1158"/>
      <c r="E1196" s="347">
        <v>31</v>
      </c>
      <c r="F1196" s="465"/>
      <c r="G1196" s="465"/>
      <c r="H1196" s="473">
        <v>18.5</v>
      </c>
      <c r="I1196" s="1159"/>
      <c r="J1196" s="415">
        <v>59790.142924243439</v>
      </c>
      <c r="K1196" s="437"/>
    </row>
    <row r="1197" spans="1:11" x14ac:dyDescent="0.2">
      <c r="A1197" s="349" t="s">
        <v>1584</v>
      </c>
      <c r="B1197" s="347" t="s">
        <v>295</v>
      </c>
      <c r="C1197" s="1157"/>
      <c r="D1197" s="1158"/>
      <c r="E1197" s="347">
        <v>32</v>
      </c>
      <c r="F1197" s="465"/>
      <c r="G1197" s="465"/>
      <c r="H1197" s="473">
        <v>18.5</v>
      </c>
      <c r="I1197" s="1159"/>
      <c r="J1197" s="415">
        <v>59790.142924243439</v>
      </c>
      <c r="K1197" s="437"/>
    </row>
    <row r="1198" spans="1:11" x14ac:dyDescent="0.2">
      <c r="A1198" s="349" t="s">
        <v>1585</v>
      </c>
      <c r="B1198" s="347" t="s">
        <v>295</v>
      </c>
      <c r="C1198" s="1157"/>
      <c r="D1198" s="1158"/>
      <c r="E1198" s="347">
        <v>33</v>
      </c>
      <c r="F1198" s="465"/>
      <c r="G1198" s="465"/>
      <c r="H1198" s="473">
        <v>18.5</v>
      </c>
      <c r="I1198" s="1159"/>
      <c r="J1198" s="415">
        <v>59790.142924243439</v>
      </c>
      <c r="K1198" s="437"/>
    </row>
    <row r="1199" spans="1:11" ht="12.75" customHeight="1" x14ac:dyDescent="0.2">
      <c r="A1199" s="349" t="s">
        <v>1586</v>
      </c>
      <c r="B1199" s="347" t="s">
        <v>295</v>
      </c>
      <c r="C1199" s="1157"/>
      <c r="D1199" s="1158"/>
      <c r="E1199" s="347">
        <v>34</v>
      </c>
      <c r="F1199" s="465"/>
      <c r="G1199" s="465"/>
      <c r="H1199" s="473">
        <v>19</v>
      </c>
      <c r="I1199" s="1159"/>
      <c r="J1199" s="415">
        <v>61406.092733006779</v>
      </c>
      <c r="K1199" s="437"/>
    </row>
    <row r="1200" spans="1:11" x14ac:dyDescent="0.2">
      <c r="A1200" s="349" t="s">
        <v>1587</v>
      </c>
      <c r="B1200" s="347" t="s">
        <v>295</v>
      </c>
      <c r="C1200" s="1157"/>
      <c r="D1200" s="1158"/>
      <c r="E1200" s="347">
        <v>35</v>
      </c>
      <c r="F1200" s="465"/>
      <c r="G1200" s="465"/>
      <c r="H1200" s="473">
        <v>18.5</v>
      </c>
      <c r="I1200" s="1159"/>
      <c r="J1200" s="415">
        <v>59790.142924243439</v>
      </c>
      <c r="K1200" s="437"/>
    </row>
    <row r="1201" spans="1:11" x14ac:dyDescent="0.2">
      <c r="A1201" s="349" t="s">
        <v>1588</v>
      </c>
      <c r="B1201" s="347" t="s">
        <v>295</v>
      </c>
      <c r="C1201" s="1157"/>
      <c r="D1201" s="1158"/>
      <c r="E1201" s="347">
        <v>36</v>
      </c>
      <c r="F1201" s="465"/>
      <c r="G1201" s="465"/>
      <c r="H1201" s="473">
        <v>19</v>
      </c>
      <c r="I1201" s="1159"/>
      <c r="J1201" s="415">
        <v>61406.092733006779</v>
      </c>
      <c r="K1201" s="437"/>
    </row>
    <row r="1202" spans="1:11" x14ac:dyDescent="0.2">
      <c r="A1202" s="349" t="s">
        <v>1589</v>
      </c>
      <c r="B1202" s="347" t="s">
        <v>295</v>
      </c>
      <c r="C1202" s="1157"/>
      <c r="D1202" s="1158"/>
      <c r="E1202" s="347">
        <v>37</v>
      </c>
      <c r="F1202" s="465"/>
      <c r="G1202" s="465"/>
      <c r="H1202" s="473">
        <v>18.5</v>
      </c>
      <c r="I1202" s="1159"/>
      <c r="J1202" s="415">
        <v>59790.142924243439</v>
      </c>
      <c r="K1202" s="437"/>
    </row>
    <row r="1203" spans="1:11" x14ac:dyDescent="0.2">
      <c r="A1203" s="349" t="s">
        <v>1590</v>
      </c>
      <c r="B1203" s="347" t="s">
        <v>295</v>
      </c>
      <c r="C1203" s="1157"/>
      <c r="D1203" s="1158"/>
      <c r="E1203" s="347">
        <v>38</v>
      </c>
      <c r="F1203" s="465"/>
      <c r="G1203" s="465"/>
      <c r="H1203" s="473">
        <v>18</v>
      </c>
      <c r="I1203" s="1159"/>
      <c r="J1203" s="415">
        <v>58174.193115480106</v>
      </c>
      <c r="K1203" s="437"/>
    </row>
    <row r="1204" spans="1:11" x14ac:dyDescent="0.2">
      <c r="A1204" s="349" t="s">
        <v>1591</v>
      </c>
      <c r="B1204" s="347" t="s">
        <v>295</v>
      </c>
      <c r="C1204" s="1157"/>
      <c r="D1204" s="1158"/>
      <c r="E1204" s="347">
        <v>39</v>
      </c>
      <c r="F1204" s="465"/>
      <c r="G1204" s="465"/>
      <c r="H1204" s="473">
        <v>14</v>
      </c>
      <c r="I1204" s="1159"/>
      <c r="J1204" s="415">
        <v>45246.594645373414</v>
      </c>
      <c r="K1204" s="437"/>
    </row>
    <row r="1205" spans="1:11" x14ac:dyDescent="0.2">
      <c r="A1205" s="349" t="s">
        <v>1592</v>
      </c>
      <c r="B1205" s="347" t="s">
        <v>295</v>
      </c>
      <c r="C1205" s="1157"/>
      <c r="D1205" s="1158"/>
      <c r="E1205" s="347">
        <v>40</v>
      </c>
      <c r="F1205" s="465"/>
      <c r="G1205" s="465"/>
      <c r="H1205" s="473">
        <v>15.5</v>
      </c>
      <c r="I1205" s="1159"/>
      <c r="J1205" s="415">
        <v>50094.444071663427</v>
      </c>
      <c r="K1205" s="437"/>
    </row>
    <row r="1206" spans="1:11" ht="12.75" customHeight="1" x14ac:dyDescent="0.2">
      <c r="A1206" s="349" t="s">
        <v>1593</v>
      </c>
      <c r="B1206" s="347" t="s">
        <v>295</v>
      </c>
      <c r="C1206" s="1157"/>
      <c r="D1206" s="1158"/>
      <c r="E1206" s="347">
        <v>41</v>
      </c>
      <c r="F1206" s="465"/>
      <c r="G1206" s="465"/>
      <c r="H1206" s="473">
        <v>18.5</v>
      </c>
      <c r="I1206" s="1159"/>
      <c r="J1206" s="415">
        <v>59790.142924243439</v>
      </c>
      <c r="K1206" s="437"/>
    </row>
    <row r="1207" spans="1:11" x14ac:dyDescent="0.2">
      <c r="A1207" s="349" t="s">
        <v>1594</v>
      </c>
      <c r="B1207" s="347" t="s">
        <v>295</v>
      </c>
      <c r="C1207" s="1157"/>
      <c r="D1207" s="1158"/>
      <c r="E1207" s="347">
        <v>42</v>
      </c>
      <c r="F1207" s="465"/>
      <c r="G1207" s="465"/>
      <c r="H1207" s="473">
        <v>18.5</v>
      </c>
      <c r="I1207" s="1159"/>
      <c r="J1207" s="415">
        <v>59790.142924243439</v>
      </c>
      <c r="K1207" s="437"/>
    </row>
    <row r="1208" spans="1:11" ht="38.25" x14ac:dyDescent="0.2">
      <c r="A1208" s="347" t="s">
        <v>13296</v>
      </c>
      <c r="B1208" s="347" t="s">
        <v>295</v>
      </c>
      <c r="C1208" s="405" t="s">
        <v>13297</v>
      </c>
      <c r="D1208" s="767">
        <v>13</v>
      </c>
      <c r="E1208" s="436">
        <v>12</v>
      </c>
      <c r="F1208" s="768" t="s">
        <v>13298</v>
      </c>
      <c r="G1208" s="347" t="s">
        <v>128</v>
      </c>
      <c r="H1208" s="474">
        <v>30.7</v>
      </c>
      <c r="I1208" s="770">
        <v>1964</v>
      </c>
      <c r="J1208" s="415">
        <v>1209342.8999999999</v>
      </c>
      <c r="K1208" s="437">
        <v>425386.57</v>
      </c>
    </row>
    <row r="1209" spans="1:11" ht="38.25" x14ac:dyDescent="0.2">
      <c r="A1209" s="348" t="s">
        <v>1038</v>
      </c>
      <c r="B1209" s="347" t="s">
        <v>295</v>
      </c>
      <c r="C1209" s="405" t="s">
        <v>11268</v>
      </c>
      <c r="D1209" s="766">
        <v>15</v>
      </c>
      <c r="E1209" s="436">
        <v>1</v>
      </c>
      <c r="F1209" s="769"/>
      <c r="G1209" s="768"/>
      <c r="H1209" s="474">
        <f>1004.9-969.8</f>
        <v>35.100000000000023</v>
      </c>
      <c r="I1209" s="765">
        <v>1960</v>
      </c>
      <c r="J1209" s="415">
        <f>3387700/1004.9*35.1</f>
        <v>118328.46054333764</v>
      </c>
      <c r="K1209" s="437"/>
    </row>
    <row r="1210" spans="1:11" x14ac:dyDescent="0.2">
      <c r="A1210" s="758" t="s">
        <v>13269</v>
      </c>
      <c r="B1210" s="432"/>
      <c r="C1210" s="1147" t="s">
        <v>13270</v>
      </c>
      <c r="D1210" s="1150">
        <v>16</v>
      </c>
      <c r="E1210" s="347"/>
      <c r="F1210" s="465"/>
      <c r="G1210" s="465"/>
      <c r="H1210" s="540">
        <f>4848.3-4848.3</f>
        <v>0</v>
      </c>
      <c r="I1210" s="1145">
        <v>1989</v>
      </c>
      <c r="J1210" s="415">
        <f>31461400-31461400</f>
        <v>0</v>
      </c>
      <c r="K1210" s="437"/>
    </row>
    <row r="1211" spans="1:11" ht="27.75" customHeight="1" x14ac:dyDescent="0.2">
      <c r="A1211" s="433" t="s">
        <v>13271</v>
      </c>
      <c r="B1211" s="433" t="s">
        <v>295</v>
      </c>
      <c r="C1211" s="1149"/>
      <c r="D1211" s="1152"/>
      <c r="E1211" s="421">
        <v>26</v>
      </c>
      <c r="F1211" s="465" t="s">
        <v>13272</v>
      </c>
      <c r="G1211" s="465" t="s">
        <v>507</v>
      </c>
      <c r="H1211" s="473">
        <v>33</v>
      </c>
      <c r="I1211" s="1146"/>
      <c r="J1211" s="415">
        <v>601632.9</v>
      </c>
      <c r="K1211" s="437">
        <v>703498.29</v>
      </c>
    </row>
    <row r="1212" spans="1:11" ht="39" customHeight="1" x14ac:dyDescent="0.2">
      <c r="A1212" s="348" t="s">
        <v>1039</v>
      </c>
      <c r="B1212" s="347" t="s">
        <v>295</v>
      </c>
      <c r="C1212" s="405" t="s">
        <v>11269</v>
      </c>
      <c r="D1212" s="537">
        <v>17</v>
      </c>
      <c r="E1212" s="436">
        <v>5</v>
      </c>
      <c r="F1212" s="541"/>
      <c r="G1212" s="602" t="s">
        <v>137</v>
      </c>
      <c r="H1212" s="415">
        <f>1125.8-1093.9</f>
        <v>31.899999999999864</v>
      </c>
      <c r="I1212" s="536">
        <v>1963</v>
      </c>
      <c r="J1212" s="415">
        <f>2990200/1125.8*31.7</f>
        <v>84197.317463137326</v>
      </c>
      <c r="K1212" s="437">
        <v>451864.14</v>
      </c>
    </row>
    <row r="1213" spans="1:11" ht="12.75" customHeight="1" x14ac:dyDescent="0.2">
      <c r="A1213" s="348" t="s">
        <v>1040</v>
      </c>
      <c r="B1213" s="347"/>
      <c r="C1213" s="1147" t="s">
        <v>11270</v>
      </c>
      <c r="D1213" s="1150">
        <v>24</v>
      </c>
      <c r="E1213" s="425"/>
      <c r="F1213" s="541"/>
      <c r="G1213" s="602"/>
      <c r="H1213" s="415">
        <f>1570.6-1570.6</f>
        <v>0</v>
      </c>
      <c r="I1213" s="1145">
        <v>1963</v>
      </c>
      <c r="J1213" s="415">
        <f>4415500-4415500</f>
        <v>0</v>
      </c>
      <c r="K1213" s="437"/>
    </row>
    <row r="1214" spans="1:11" x14ac:dyDescent="0.2">
      <c r="A1214" s="349" t="s">
        <v>1041</v>
      </c>
      <c r="B1214" s="347" t="s">
        <v>295</v>
      </c>
      <c r="C1214" s="1148"/>
      <c r="D1214" s="1151"/>
      <c r="E1214" s="425">
        <v>10</v>
      </c>
      <c r="F1214" s="541"/>
      <c r="G1214" s="602"/>
      <c r="H1214" s="415">
        <v>39.799999999999997</v>
      </c>
      <c r="I1214" s="1153"/>
      <c r="J1214" s="415">
        <v>111891.57010059849</v>
      </c>
      <c r="K1214" s="437"/>
    </row>
    <row r="1215" spans="1:11" ht="15.75" customHeight="1" x14ac:dyDescent="0.2">
      <c r="A1215" s="433" t="s">
        <v>13294</v>
      </c>
      <c r="B1215" s="433" t="s">
        <v>295</v>
      </c>
      <c r="C1215" s="1149"/>
      <c r="D1215" s="1152"/>
      <c r="E1215" s="424">
        <v>5</v>
      </c>
      <c r="F1215" s="626" t="s">
        <v>13295</v>
      </c>
      <c r="G1215" s="460" t="s">
        <v>512</v>
      </c>
      <c r="H1215" s="423">
        <v>30.7</v>
      </c>
      <c r="I1215" s="1146"/>
      <c r="J1215" s="415">
        <v>1203296.18</v>
      </c>
      <c r="K1215" s="437">
        <v>434866.11</v>
      </c>
    </row>
    <row r="1216" spans="1:11" ht="12.75" customHeight="1" x14ac:dyDescent="0.2">
      <c r="A1216" s="348" t="s">
        <v>1042</v>
      </c>
      <c r="B1216" s="347"/>
      <c r="C1216" s="1147" t="s">
        <v>11271</v>
      </c>
      <c r="D1216" s="1150">
        <v>1</v>
      </c>
      <c r="E1216" s="425"/>
      <c r="F1216" s="541"/>
      <c r="G1216" s="602"/>
      <c r="H1216" s="415">
        <f>2634.3-2634.3</f>
        <v>0</v>
      </c>
      <c r="I1216" s="1145">
        <v>1970</v>
      </c>
      <c r="J1216" s="415">
        <f>7015800-7015800</f>
        <v>0</v>
      </c>
      <c r="K1216" s="437"/>
    </row>
    <row r="1217" spans="1:11" x14ac:dyDescent="0.2">
      <c r="A1217" s="349" t="s">
        <v>1043</v>
      </c>
      <c r="B1217" s="347" t="s">
        <v>295</v>
      </c>
      <c r="C1217" s="1148"/>
      <c r="D1217" s="1151"/>
      <c r="E1217" s="421">
        <v>3</v>
      </c>
      <c r="F1217" s="465"/>
      <c r="G1217" s="465"/>
      <c r="H1217" s="473">
        <v>43.5</v>
      </c>
      <c r="I1217" s="1153"/>
      <c r="J1217" s="415">
        <v>115851.38366928596</v>
      </c>
      <c r="K1217" s="437"/>
    </row>
    <row r="1218" spans="1:11" ht="12.75" customHeight="1" x14ac:dyDescent="0.2">
      <c r="A1218" s="349" t="s">
        <v>1044</v>
      </c>
      <c r="B1218" s="347" t="s">
        <v>295</v>
      </c>
      <c r="C1218" s="1148"/>
      <c r="D1218" s="1151"/>
      <c r="E1218" s="421">
        <v>45</v>
      </c>
      <c r="F1218" s="465"/>
      <c r="G1218" s="465"/>
      <c r="H1218" s="473">
        <v>40.200000000000003</v>
      </c>
      <c r="I1218" s="1153"/>
      <c r="J1218" s="415">
        <v>107062.658011616</v>
      </c>
      <c r="K1218" s="437"/>
    </row>
    <row r="1219" spans="1:11" x14ac:dyDescent="0.2">
      <c r="A1219" s="349" t="s">
        <v>1045</v>
      </c>
      <c r="B1219" s="347" t="s">
        <v>295</v>
      </c>
      <c r="C1219" s="1148"/>
      <c r="D1219" s="1151"/>
      <c r="E1219" s="421">
        <v>47</v>
      </c>
      <c r="F1219" s="465"/>
      <c r="G1219" s="465"/>
      <c r="H1219" s="473">
        <v>40.6</v>
      </c>
      <c r="I1219" s="1153"/>
      <c r="J1219" s="415">
        <v>108127.95809133357</v>
      </c>
      <c r="K1219" s="437"/>
    </row>
    <row r="1220" spans="1:11" x14ac:dyDescent="0.2">
      <c r="A1220" s="349" t="s">
        <v>1046</v>
      </c>
      <c r="B1220" s="347" t="s">
        <v>295</v>
      </c>
      <c r="C1220" s="1148"/>
      <c r="D1220" s="1151"/>
      <c r="E1220" s="421">
        <v>61</v>
      </c>
      <c r="F1220" s="465"/>
      <c r="G1220" s="465"/>
      <c r="H1220" s="473">
        <v>11.9</v>
      </c>
      <c r="I1220" s="1153"/>
      <c r="J1220" s="415">
        <v>31692.677371597769</v>
      </c>
      <c r="K1220" s="437"/>
    </row>
    <row r="1221" spans="1:11" x14ac:dyDescent="0.2">
      <c r="A1221" s="349" t="s">
        <v>1595</v>
      </c>
      <c r="B1221" s="347" t="s">
        <v>295</v>
      </c>
      <c r="C1221" s="1148"/>
      <c r="D1221" s="1151"/>
      <c r="E1221" s="421" t="s">
        <v>5173</v>
      </c>
      <c r="F1221" s="465"/>
      <c r="G1221" s="465"/>
      <c r="H1221" s="473">
        <v>41.1</v>
      </c>
      <c r="I1221" s="1153"/>
      <c r="J1221" s="415">
        <v>109459.58319098053</v>
      </c>
      <c r="K1221" s="437"/>
    </row>
    <row r="1222" spans="1:11" x14ac:dyDescent="0.2">
      <c r="A1222" s="349" t="s">
        <v>5917</v>
      </c>
      <c r="B1222" s="347" t="s">
        <v>295</v>
      </c>
      <c r="C1222" s="1148"/>
      <c r="D1222" s="1151"/>
      <c r="E1222" s="471">
        <v>62</v>
      </c>
      <c r="F1222" s="465" t="s">
        <v>5918</v>
      </c>
      <c r="G1222" s="542" t="s">
        <v>5919</v>
      </c>
      <c r="H1222" s="472">
        <v>69.099999999999994</v>
      </c>
      <c r="I1222" s="1153"/>
      <c r="J1222" s="415">
        <v>1200000</v>
      </c>
      <c r="K1222" s="437"/>
    </row>
    <row r="1223" spans="1:11" ht="24" x14ac:dyDescent="0.2">
      <c r="A1223" s="349" t="s">
        <v>10118</v>
      </c>
      <c r="B1223" s="178" t="s">
        <v>5162</v>
      </c>
      <c r="C1223" s="1148"/>
      <c r="D1223" s="1151"/>
      <c r="E1223" s="347">
        <v>14</v>
      </c>
      <c r="F1223" s="542" t="s">
        <v>10119</v>
      </c>
      <c r="G1223" s="602" t="s">
        <v>507</v>
      </c>
      <c r="H1223" s="347">
        <v>41.5</v>
      </c>
      <c r="I1223" s="1153"/>
      <c r="J1223" s="415">
        <v>750000</v>
      </c>
      <c r="K1223" s="437">
        <v>655289.15</v>
      </c>
    </row>
    <row r="1224" spans="1:11" x14ac:dyDescent="0.2">
      <c r="A1224" s="433" t="s">
        <v>13032</v>
      </c>
      <c r="B1224" s="433" t="s">
        <v>295</v>
      </c>
      <c r="C1224" s="1148"/>
      <c r="D1224" s="1151"/>
      <c r="E1224" s="492">
        <v>1</v>
      </c>
      <c r="F1224" s="759" t="s">
        <v>13034</v>
      </c>
      <c r="G1224" s="492" t="s">
        <v>137</v>
      </c>
      <c r="H1224" s="492">
        <v>29.7</v>
      </c>
      <c r="I1224" s="1153"/>
      <c r="J1224" s="435">
        <v>1159979.7</v>
      </c>
      <c r="K1224" s="443">
        <v>468965.97</v>
      </c>
    </row>
    <row r="1225" spans="1:11" x14ac:dyDescent="0.2">
      <c r="A1225" s="433" t="s">
        <v>13279</v>
      </c>
      <c r="B1225" s="420" t="s">
        <v>295</v>
      </c>
      <c r="C1225" s="1148"/>
      <c r="D1225" s="1151"/>
      <c r="E1225" s="460">
        <v>60</v>
      </c>
      <c r="F1225" s="604" t="s">
        <v>13280</v>
      </c>
      <c r="G1225" s="460" t="s">
        <v>127</v>
      </c>
      <c r="H1225" s="460">
        <v>30.2</v>
      </c>
      <c r="I1225" s="1153"/>
      <c r="J1225" s="837">
        <v>1141584.1000000001</v>
      </c>
      <c r="K1225" s="437">
        <v>573460.25</v>
      </c>
    </row>
    <row r="1226" spans="1:11" x14ac:dyDescent="0.2">
      <c r="A1226" s="433" t="s">
        <v>14283</v>
      </c>
      <c r="B1226" s="420" t="s">
        <v>295</v>
      </c>
      <c r="C1226" s="1148"/>
      <c r="D1226" s="1151"/>
      <c r="E1226" s="460">
        <v>41</v>
      </c>
      <c r="F1226" s="604" t="s">
        <v>14284</v>
      </c>
      <c r="G1226" s="866" t="s">
        <v>512</v>
      </c>
      <c r="H1226" s="460">
        <v>41.6</v>
      </c>
      <c r="I1226" s="1153"/>
      <c r="J1226" s="415">
        <v>1397753.11</v>
      </c>
      <c r="K1226" s="437">
        <v>656868.16</v>
      </c>
    </row>
    <row r="1227" spans="1:11" x14ac:dyDescent="0.2">
      <c r="A1227" s="433" t="s">
        <v>14370</v>
      </c>
      <c r="B1227" s="420" t="s">
        <v>295</v>
      </c>
      <c r="C1227" s="1149"/>
      <c r="D1227" s="1152"/>
      <c r="E1227" s="879">
        <v>9</v>
      </c>
      <c r="F1227" s="880" t="s">
        <v>14371</v>
      </c>
      <c r="G1227" s="879" t="s">
        <v>128</v>
      </c>
      <c r="H1227" s="879">
        <v>29.8</v>
      </c>
      <c r="I1227" s="1146"/>
      <c r="J1227" s="870">
        <v>969794</v>
      </c>
      <c r="K1227" s="437">
        <v>590637.79</v>
      </c>
    </row>
    <row r="1228" spans="1:11" ht="12.75" customHeight="1" x14ac:dyDescent="0.2">
      <c r="A1228" s="348" t="s">
        <v>1047</v>
      </c>
      <c r="B1228" s="347"/>
      <c r="C1228" s="1147" t="s">
        <v>11272</v>
      </c>
      <c r="D1228" s="1150">
        <v>2</v>
      </c>
      <c r="E1228" s="425"/>
      <c r="F1228" s="541"/>
      <c r="G1228" s="602"/>
      <c r="H1228" s="474">
        <f>4338.1-4338.1</f>
        <v>0</v>
      </c>
      <c r="I1228" s="1145">
        <v>1979</v>
      </c>
      <c r="J1228" s="415">
        <f>11662900-11662900</f>
        <v>0</v>
      </c>
      <c r="K1228" s="437"/>
    </row>
    <row r="1229" spans="1:11" ht="25.5" customHeight="1" x14ac:dyDescent="0.2">
      <c r="A1229" s="349" t="s">
        <v>1596</v>
      </c>
      <c r="B1229" s="347" t="s">
        <v>295</v>
      </c>
      <c r="C1229" s="1148"/>
      <c r="D1229" s="1151"/>
      <c r="E1229" s="421">
        <v>64</v>
      </c>
      <c r="F1229" s="465"/>
      <c r="G1229" s="465"/>
      <c r="H1229" s="473">
        <v>42.5</v>
      </c>
      <c r="I1229" s="1153"/>
      <c r="J1229" s="415">
        <v>114260.44812244993</v>
      </c>
      <c r="K1229" s="437"/>
    </row>
    <row r="1230" spans="1:11" ht="24.75" customHeight="1" x14ac:dyDescent="0.2">
      <c r="A1230" s="432" t="s">
        <v>10743</v>
      </c>
      <c r="B1230" s="200" t="s">
        <v>11273</v>
      </c>
      <c r="C1230" s="1148"/>
      <c r="D1230" s="1151"/>
      <c r="E1230" s="421">
        <v>96</v>
      </c>
      <c r="F1230" s="347" t="s">
        <v>11274</v>
      </c>
      <c r="G1230" s="470" t="s">
        <v>11275</v>
      </c>
      <c r="H1230" s="473">
        <v>39.5</v>
      </c>
      <c r="I1230" s="1153"/>
      <c r="J1230" s="415">
        <v>727000</v>
      </c>
      <c r="K1230" s="437">
        <v>759796.73</v>
      </c>
    </row>
    <row r="1231" spans="1:11" ht="16.5" customHeight="1" x14ac:dyDescent="0.2">
      <c r="A1231" s="432" t="s">
        <v>13033</v>
      </c>
      <c r="B1231" s="432" t="s">
        <v>295</v>
      </c>
      <c r="C1231" s="1148"/>
      <c r="D1231" s="1151"/>
      <c r="E1231" s="675">
        <v>25</v>
      </c>
      <c r="F1231" s="432" t="s">
        <v>13035</v>
      </c>
      <c r="G1231" s="489" t="s">
        <v>512</v>
      </c>
      <c r="H1231" s="490">
        <v>29.3</v>
      </c>
      <c r="I1231" s="1153"/>
      <c r="J1231" s="435">
        <v>1328930.8</v>
      </c>
      <c r="K1231" s="443">
        <v>556258.72</v>
      </c>
    </row>
    <row r="1232" spans="1:11" ht="16.5" customHeight="1" x14ac:dyDescent="0.2">
      <c r="A1232" s="432" t="s">
        <v>14105</v>
      </c>
      <c r="B1232" s="432" t="s">
        <v>295</v>
      </c>
      <c r="C1232" s="1149"/>
      <c r="D1232" s="1152"/>
      <c r="E1232" s="675">
        <v>15</v>
      </c>
      <c r="F1232" s="432" t="s">
        <v>14106</v>
      </c>
      <c r="G1232" s="489" t="s">
        <v>507</v>
      </c>
      <c r="H1232" s="490">
        <v>28.9</v>
      </c>
      <c r="I1232" s="1146"/>
      <c r="J1232" s="435">
        <v>681386.98</v>
      </c>
      <c r="K1232" s="443">
        <v>572799.73</v>
      </c>
    </row>
    <row r="1233" spans="1:11" ht="39.75" customHeight="1" x14ac:dyDescent="0.2">
      <c r="A1233" s="351" t="s">
        <v>1048</v>
      </c>
      <c r="B1233" s="347" t="s">
        <v>295</v>
      </c>
      <c r="C1233" s="405" t="s">
        <v>11276</v>
      </c>
      <c r="D1233" s="598">
        <v>14</v>
      </c>
      <c r="E1233" s="425">
        <v>1</v>
      </c>
      <c r="F1233" s="541" t="s">
        <v>271</v>
      </c>
      <c r="G1233" s="602" t="s">
        <v>10027</v>
      </c>
      <c r="H1233" s="474">
        <f>280-210.4</f>
        <v>69.599999999999994</v>
      </c>
      <c r="I1233" s="536">
        <v>1989</v>
      </c>
      <c r="J1233" s="415">
        <f>1409400/280*69.6</f>
        <v>350336.57142857136</v>
      </c>
      <c r="K1233" s="437">
        <v>721278.02</v>
      </c>
    </row>
    <row r="1234" spans="1:11" ht="19.5" customHeight="1" x14ac:dyDescent="0.2">
      <c r="A1234" s="348" t="s">
        <v>1049</v>
      </c>
      <c r="B1234" s="347"/>
      <c r="C1234" s="1157" t="s">
        <v>11277</v>
      </c>
      <c r="D1234" s="1158">
        <v>15</v>
      </c>
      <c r="E1234" s="425"/>
      <c r="F1234" s="541"/>
      <c r="G1234" s="602"/>
      <c r="H1234" s="474">
        <f>272.2-272.2</f>
        <v>0</v>
      </c>
      <c r="I1234" s="1159">
        <v>1990</v>
      </c>
      <c r="J1234" s="415">
        <f>940700-940700</f>
        <v>0</v>
      </c>
      <c r="K1234" s="437"/>
    </row>
    <row r="1235" spans="1:11" ht="25.5" customHeight="1" x14ac:dyDescent="0.2">
      <c r="A1235" s="349" t="s">
        <v>1050</v>
      </c>
      <c r="B1235" s="347" t="s">
        <v>295</v>
      </c>
      <c r="C1235" s="1157"/>
      <c r="D1235" s="1158"/>
      <c r="E1235" s="421">
        <v>2</v>
      </c>
      <c r="F1235" s="465"/>
      <c r="G1235" s="465"/>
      <c r="H1235" s="473">
        <v>66.2</v>
      </c>
      <c r="I1235" s="1159"/>
      <c r="J1235" s="415">
        <v>228781.55767817784</v>
      </c>
      <c r="K1235" s="437"/>
    </row>
    <row r="1236" spans="1:11" ht="12.75" customHeight="1" x14ac:dyDescent="0.2">
      <c r="A1236" s="348" t="s">
        <v>1051</v>
      </c>
      <c r="B1236" s="347"/>
      <c r="C1236" s="1147" t="s">
        <v>11278</v>
      </c>
      <c r="D1236" s="1150">
        <v>13</v>
      </c>
      <c r="E1236" s="425"/>
      <c r="F1236" s="541"/>
      <c r="G1236" s="602"/>
      <c r="H1236" s="474">
        <f>1574.2-1574.2</f>
        <v>0</v>
      </c>
      <c r="I1236" s="1145">
        <v>1965</v>
      </c>
      <c r="J1236" s="415">
        <f>4279100-4279100</f>
        <v>0</v>
      </c>
      <c r="K1236" s="437"/>
    </row>
    <row r="1237" spans="1:11" ht="25.5" customHeight="1" x14ac:dyDescent="0.2">
      <c r="A1237" s="349" t="s">
        <v>1597</v>
      </c>
      <c r="B1237" s="347" t="s">
        <v>295</v>
      </c>
      <c r="C1237" s="1148"/>
      <c r="D1237" s="1151"/>
      <c r="E1237" s="421">
        <v>8</v>
      </c>
      <c r="F1237" s="465" t="s">
        <v>100</v>
      </c>
      <c r="G1237" s="465"/>
      <c r="H1237" s="473">
        <v>43.2</v>
      </c>
      <c r="I1237" s="1153"/>
      <c r="J1237" s="415">
        <v>117429.24660144837</v>
      </c>
      <c r="K1237" s="437">
        <v>830967.57</v>
      </c>
    </row>
    <row r="1238" spans="1:11" ht="12.75" customHeight="1" x14ac:dyDescent="0.2">
      <c r="A1238" s="349" t="s">
        <v>1598</v>
      </c>
      <c r="B1238" s="347" t="s">
        <v>295</v>
      </c>
      <c r="C1238" s="1148"/>
      <c r="D1238" s="1151"/>
      <c r="E1238" s="421">
        <v>16</v>
      </c>
      <c r="F1238" s="465"/>
      <c r="G1238" s="465"/>
      <c r="H1238" s="473">
        <v>18.100000000000001</v>
      </c>
      <c r="I1238" s="1153"/>
      <c r="J1238" s="415">
        <v>49200.679710329059</v>
      </c>
      <c r="K1238" s="437"/>
    </row>
    <row r="1239" spans="1:11" ht="14.25" customHeight="1" x14ac:dyDescent="0.2">
      <c r="A1239" s="349" t="s">
        <v>1599</v>
      </c>
      <c r="B1239" s="347" t="s">
        <v>295</v>
      </c>
      <c r="C1239" s="1148"/>
      <c r="D1239" s="1151"/>
      <c r="E1239" s="421">
        <v>28</v>
      </c>
      <c r="F1239" s="465" t="s">
        <v>101</v>
      </c>
      <c r="G1239" s="465"/>
      <c r="H1239" s="473">
        <v>29.4</v>
      </c>
      <c r="I1239" s="1153"/>
      <c r="J1239" s="415">
        <v>79917.126159319014</v>
      </c>
      <c r="K1239" s="437">
        <v>582709.76000000001</v>
      </c>
    </row>
    <row r="1240" spans="1:11" ht="14.25" customHeight="1" x14ac:dyDescent="0.2">
      <c r="A1240" s="349" t="s">
        <v>1600</v>
      </c>
      <c r="B1240" s="347" t="s">
        <v>295</v>
      </c>
      <c r="C1240" s="1148"/>
      <c r="D1240" s="1151"/>
      <c r="E1240" s="421">
        <v>33</v>
      </c>
      <c r="F1240" s="465"/>
      <c r="G1240" s="465"/>
      <c r="H1240" s="473">
        <v>18.399999999999999</v>
      </c>
      <c r="I1240" s="1153"/>
      <c r="J1240" s="415">
        <v>50016.16058950578</v>
      </c>
      <c r="K1240" s="437"/>
    </row>
    <row r="1241" spans="1:11" ht="14.25" customHeight="1" x14ac:dyDescent="0.2">
      <c r="A1241" s="349" t="s">
        <v>1601</v>
      </c>
      <c r="B1241" s="347" t="s">
        <v>295</v>
      </c>
      <c r="C1241" s="1148"/>
      <c r="D1241" s="1151"/>
      <c r="E1241" s="421">
        <v>34</v>
      </c>
      <c r="F1241" s="465"/>
      <c r="G1241" s="465"/>
      <c r="H1241" s="473">
        <v>18.7</v>
      </c>
      <c r="I1241" s="1153"/>
      <c r="J1241" s="415">
        <v>50831.641468682501</v>
      </c>
      <c r="K1241" s="437"/>
    </row>
    <row r="1242" spans="1:11" ht="14.25" customHeight="1" x14ac:dyDescent="0.2">
      <c r="A1242" s="349" t="s">
        <v>1602</v>
      </c>
      <c r="B1242" s="347" t="s">
        <v>295</v>
      </c>
      <c r="C1242" s="1148"/>
      <c r="D1242" s="1151"/>
      <c r="E1242" s="421">
        <v>35</v>
      </c>
      <c r="F1242" s="465"/>
      <c r="G1242" s="465"/>
      <c r="H1242" s="473">
        <v>18.2</v>
      </c>
      <c r="I1242" s="1153"/>
      <c r="J1242" s="415">
        <v>49472.50667005463</v>
      </c>
      <c r="K1242" s="437"/>
    </row>
    <row r="1243" spans="1:11" ht="14.25" customHeight="1" x14ac:dyDescent="0.2">
      <c r="A1243" s="349" t="s">
        <v>1603</v>
      </c>
      <c r="B1243" s="347" t="s">
        <v>295</v>
      </c>
      <c r="C1243" s="1148"/>
      <c r="D1243" s="1151"/>
      <c r="E1243" s="421">
        <v>36</v>
      </c>
      <c r="F1243" s="465"/>
      <c r="G1243" s="465"/>
      <c r="H1243" s="473">
        <v>18.100000000000001</v>
      </c>
      <c r="I1243" s="1153"/>
      <c r="J1243" s="415">
        <v>49200.679710329059</v>
      </c>
      <c r="K1243" s="437"/>
    </row>
    <row r="1244" spans="1:11" ht="14.25" customHeight="1" x14ac:dyDescent="0.2">
      <c r="A1244" s="349" t="s">
        <v>1604</v>
      </c>
      <c r="B1244" s="347" t="s">
        <v>295</v>
      </c>
      <c r="C1244" s="1148"/>
      <c r="D1244" s="1151"/>
      <c r="E1244" s="421">
        <v>37</v>
      </c>
      <c r="F1244" s="465"/>
      <c r="G1244" s="465"/>
      <c r="H1244" s="473">
        <v>18</v>
      </c>
      <c r="I1244" s="1153"/>
      <c r="J1244" s="415">
        <v>48928.852750603481</v>
      </c>
      <c r="K1244" s="437"/>
    </row>
    <row r="1245" spans="1:11" ht="14.25" customHeight="1" x14ac:dyDescent="0.2">
      <c r="A1245" s="349" t="s">
        <v>1605</v>
      </c>
      <c r="B1245" s="347" t="s">
        <v>295</v>
      </c>
      <c r="C1245" s="1148"/>
      <c r="D1245" s="1151"/>
      <c r="E1245" s="421">
        <v>38</v>
      </c>
      <c r="F1245" s="465"/>
      <c r="G1245" s="465"/>
      <c r="H1245" s="473">
        <v>19</v>
      </c>
      <c r="I1245" s="1153"/>
      <c r="J1245" s="415">
        <v>51647.122347859229</v>
      </c>
      <c r="K1245" s="437"/>
    </row>
    <row r="1246" spans="1:11" ht="14.25" customHeight="1" x14ac:dyDescent="0.2">
      <c r="A1246" s="349" t="s">
        <v>1606</v>
      </c>
      <c r="B1246" s="347" t="s">
        <v>295</v>
      </c>
      <c r="C1246" s="1148"/>
      <c r="D1246" s="1151"/>
      <c r="E1246" s="421">
        <v>39</v>
      </c>
      <c r="F1246" s="465"/>
      <c r="G1246" s="465"/>
      <c r="H1246" s="473">
        <v>18.7</v>
      </c>
      <c r="I1246" s="1153"/>
      <c r="J1246" s="415">
        <v>50831.641468682501</v>
      </c>
      <c r="K1246" s="437"/>
    </row>
    <row r="1247" spans="1:11" ht="14.25" customHeight="1" x14ac:dyDescent="0.2">
      <c r="A1247" s="349" t="s">
        <v>1607</v>
      </c>
      <c r="B1247" s="347" t="s">
        <v>295</v>
      </c>
      <c r="C1247" s="1148"/>
      <c r="D1247" s="1151"/>
      <c r="E1247" s="421">
        <v>40</v>
      </c>
      <c r="F1247" s="465"/>
      <c r="G1247" s="465"/>
      <c r="H1247" s="473">
        <v>18.3</v>
      </c>
      <c r="I1247" s="1153"/>
      <c r="J1247" s="415">
        <v>49744.333629780209</v>
      </c>
      <c r="K1247" s="437"/>
    </row>
    <row r="1248" spans="1:11" ht="14.25" customHeight="1" x14ac:dyDescent="0.2">
      <c r="A1248" s="349" t="s">
        <v>1608</v>
      </c>
      <c r="B1248" s="347" t="s">
        <v>295</v>
      </c>
      <c r="C1248" s="1148"/>
      <c r="D1248" s="1151"/>
      <c r="E1248" s="421">
        <v>41</v>
      </c>
      <c r="F1248" s="465"/>
      <c r="G1248" s="465"/>
      <c r="H1248" s="473">
        <v>18.2</v>
      </c>
      <c r="I1248" s="1153"/>
      <c r="J1248" s="415">
        <v>49472.50667005463</v>
      </c>
      <c r="K1248" s="437"/>
    </row>
    <row r="1249" spans="1:11" ht="14.25" customHeight="1" x14ac:dyDescent="0.2">
      <c r="A1249" s="349" t="s">
        <v>1609</v>
      </c>
      <c r="B1249" s="347" t="s">
        <v>295</v>
      </c>
      <c r="C1249" s="1148"/>
      <c r="D1249" s="1151"/>
      <c r="E1249" s="421">
        <v>42</v>
      </c>
      <c r="F1249" s="465"/>
      <c r="G1249" s="465"/>
      <c r="H1249" s="473">
        <v>18.2</v>
      </c>
      <c r="I1249" s="1153"/>
      <c r="J1249" s="415">
        <v>49472.50667005463</v>
      </c>
      <c r="K1249" s="437"/>
    </row>
    <row r="1250" spans="1:11" ht="14.25" customHeight="1" x14ac:dyDescent="0.2">
      <c r="A1250" s="349" t="s">
        <v>1610</v>
      </c>
      <c r="B1250" s="347" t="s">
        <v>295</v>
      </c>
      <c r="C1250" s="1148"/>
      <c r="D1250" s="1151"/>
      <c r="E1250" s="421">
        <v>44</v>
      </c>
      <c r="F1250" s="465"/>
      <c r="G1250" s="465"/>
      <c r="H1250" s="473">
        <v>18.100000000000001</v>
      </c>
      <c r="I1250" s="1153"/>
      <c r="J1250" s="415">
        <v>49200.679710329059</v>
      </c>
      <c r="K1250" s="437"/>
    </row>
    <row r="1251" spans="1:11" ht="14.25" customHeight="1" x14ac:dyDescent="0.2">
      <c r="A1251" s="349" t="s">
        <v>1611</v>
      </c>
      <c r="B1251" s="347" t="s">
        <v>295</v>
      </c>
      <c r="C1251" s="1148"/>
      <c r="D1251" s="1151"/>
      <c r="E1251" s="421">
        <v>46</v>
      </c>
      <c r="F1251" s="465"/>
      <c r="G1251" s="465"/>
      <c r="H1251" s="473">
        <v>18.2</v>
      </c>
      <c r="I1251" s="1153"/>
      <c r="J1251" s="415">
        <v>49472.50667005463</v>
      </c>
      <c r="K1251" s="437"/>
    </row>
    <row r="1252" spans="1:11" ht="14.25" customHeight="1" x14ac:dyDescent="0.2">
      <c r="A1252" s="349" t="s">
        <v>1612</v>
      </c>
      <c r="B1252" s="347" t="s">
        <v>295</v>
      </c>
      <c r="C1252" s="1148"/>
      <c r="D1252" s="1151"/>
      <c r="E1252" s="421">
        <v>47</v>
      </c>
      <c r="F1252" s="465"/>
      <c r="G1252" s="465"/>
      <c r="H1252" s="473">
        <v>17.2</v>
      </c>
      <c r="I1252" s="1153"/>
      <c r="J1252" s="415">
        <v>46754.237072798882</v>
      </c>
      <c r="K1252" s="437"/>
    </row>
    <row r="1253" spans="1:11" ht="14.25" customHeight="1" x14ac:dyDescent="0.2">
      <c r="A1253" s="349" t="s">
        <v>1613</v>
      </c>
      <c r="B1253" s="347" t="s">
        <v>295</v>
      </c>
      <c r="C1253" s="1148"/>
      <c r="D1253" s="1151"/>
      <c r="E1253" s="421">
        <v>48</v>
      </c>
      <c r="F1253" s="465"/>
      <c r="G1253" s="465"/>
      <c r="H1253" s="473">
        <v>18.3</v>
      </c>
      <c r="I1253" s="1153"/>
      <c r="J1253" s="415">
        <v>49744.333629780209</v>
      </c>
      <c r="K1253" s="437"/>
    </row>
    <row r="1254" spans="1:11" ht="14.25" customHeight="1" x14ac:dyDescent="0.2">
      <c r="A1254" s="349" t="s">
        <v>1614</v>
      </c>
      <c r="B1254" s="347" t="s">
        <v>295</v>
      </c>
      <c r="C1254" s="1148"/>
      <c r="D1254" s="1151"/>
      <c r="E1254" s="421">
        <v>14</v>
      </c>
      <c r="F1254" s="465"/>
      <c r="G1254" s="465"/>
      <c r="H1254" s="473">
        <v>40.9</v>
      </c>
      <c r="I1254" s="1153"/>
      <c r="J1254" s="415">
        <v>111177.22652776013</v>
      </c>
      <c r="K1254" s="437"/>
    </row>
    <row r="1255" spans="1:11" ht="14.25" customHeight="1" x14ac:dyDescent="0.2">
      <c r="A1255" s="349" t="s">
        <v>1615</v>
      </c>
      <c r="B1255" s="347" t="s">
        <v>295</v>
      </c>
      <c r="C1255" s="1148"/>
      <c r="D1255" s="1151"/>
      <c r="E1255" s="421" t="s">
        <v>334</v>
      </c>
      <c r="F1255" s="465"/>
      <c r="G1255" s="465"/>
      <c r="H1255" s="473">
        <v>51.8</v>
      </c>
      <c r="I1255" s="1153"/>
      <c r="J1255" s="415">
        <v>140806.36513784778</v>
      </c>
      <c r="K1255" s="437"/>
    </row>
    <row r="1256" spans="1:11" ht="12.75" customHeight="1" x14ac:dyDescent="0.2">
      <c r="A1256" s="348" t="s">
        <v>1052</v>
      </c>
      <c r="B1256" s="347"/>
      <c r="C1256" s="1147" t="s">
        <v>11279</v>
      </c>
      <c r="D1256" s="1150">
        <v>15</v>
      </c>
      <c r="E1256" s="425"/>
      <c r="F1256" s="541"/>
      <c r="G1256" s="602"/>
      <c r="H1256" s="474">
        <f>1314.6-1314.6</f>
        <v>0</v>
      </c>
      <c r="I1256" s="1145">
        <v>1963</v>
      </c>
      <c r="J1256" s="415">
        <f>2715000-2715000</f>
        <v>0</v>
      </c>
      <c r="K1256" s="437"/>
    </row>
    <row r="1257" spans="1:11" ht="14.25" customHeight="1" x14ac:dyDescent="0.2">
      <c r="A1257" s="349" t="s">
        <v>1053</v>
      </c>
      <c r="B1257" s="347" t="s">
        <v>295</v>
      </c>
      <c r="C1257" s="1148"/>
      <c r="D1257" s="1151"/>
      <c r="E1257" s="421">
        <v>12</v>
      </c>
      <c r="F1257" s="465"/>
      <c r="G1257" s="465"/>
      <c r="H1257" s="473">
        <v>32.1</v>
      </c>
      <c r="I1257" s="1153"/>
      <c r="J1257" s="415">
        <v>66295.070743952529</v>
      </c>
      <c r="K1257" s="437"/>
    </row>
    <row r="1258" spans="1:11" ht="12.75" customHeight="1" x14ac:dyDescent="0.2">
      <c r="A1258" s="349" t="s">
        <v>1054</v>
      </c>
      <c r="B1258" s="347" t="s">
        <v>295</v>
      </c>
      <c r="C1258" s="1148"/>
      <c r="D1258" s="1151"/>
      <c r="E1258" s="421">
        <v>14</v>
      </c>
      <c r="F1258" s="465"/>
      <c r="G1258" s="465"/>
      <c r="H1258" s="473">
        <v>42.3</v>
      </c>
      <c r="I1258" s="1153"/>
      <c r="J1258" s="415">
        <v>87360.794157918746</v>
      </c>
      <c r="K1258" s="437"/>
    </row>
    <row r="1259" spans="1:11" ht="12.75" customHeight="1" x14ac:dyDescent="0.2">
      <c r="A1259" s="420" t="s">
        <v>13281</v>
      </c>
      <c r="B1259" s="420" t="s">
        <v>295</v>
      </c>
      <c r="C1259" s="1148"/>
      <c r="D1259" s="1151"/>
      <c r="E1259" s="421">
        <v>17</v>
      </c>
      <c r="F1259" s="465" t="s">
        <v>13282</v>
      </c>
      <c r="G1259" s="465" t="s">
        <v>137</v>
      </c>
      <c r="H1259" s="473">
        <f>29.9</f>
        <v>29.9</v>
      </c>
      <c r="I1259" s="1153"/>
      <c r="J1259" s="415">
        <v>1050205.92</v>
      </c>
      <c r="K1259" s="437">
        <v>569723.87</v>
      </c>
    </row>
    <row r="1260" spans="1:11" ht="12.75" customHeight="1" x14ac:dyDescent="0.2">
      <c r="A1260" s="420" t="s">
        <v>14101</v>
      </c>
      <c r="B1260" s="420" t="s">
        <v>295</v>
      </c>
      <c r="C1260" s="1148"/>
      <c r="D1260" s="1151"/>
      <c r="E1260" s="421">
        <v>4</v>
      </c>
      <c r="F1260" s="465" t="s">
        <v>14102</v>
      </c>
      <c r="G1260" s="465" t="s">
        <v>137</v>
      </c>
      <c r="H1260" s="473">
        <v>31.4</v>
      </c>
      <c r="I1260" s="1153"/>
      <c r="J1260" s="837">
        <v>628372.14</v>
      </c>
      <c r="K1260" s="437">
        <v>613239.30000000005</v>
      </c>
    </row>
    <row r="1261" spans="1:11" s="3" customFormat="1" ht="12.75" customHeight="1" x14ac:dyDescent="0.2">
      <c r="A1261" s="420" t="s">
        <v>14273</v>
      </c>
      <c r="B1261" s="420" t="s">
        <v>295</v>
      </c>
      <c r="C1261" s="1149"/>
      <c r="D1261" s="1152"/>
      <c r="E1261" s="421">
        <v>25</v>
      </c>
      <c r="F1261" s="465" t="s">
        <v>14274</v>
      </c>
      <c r="G1261" s="465" t="s">
        <v>128</v>
      </c>
      <c r="H1261" s="473">
        <v>29.9</v>
      </c>
      <c r="I1261" s="1146"/>
      <c r="J1261" s="837">
        <v>1587801.6</v>
      </c>
      <c r="K1261" s="437">
        <v>592619.79</v>
      </c>
    </row>
    <row r="1262" spans="1:11" ht="15" customHeight="1" x14ac:dyDescent="0.2">
      <c r="A1262" s="348" t="s">
        <v>1055</v>
      </c>
      <c r="B1262" s="347"/>
      <c r="C1262" s="1147" t="s">
        <v>11280</v>
      </c>
      <c r="D1262" s="1150">
        <v>16</v>
      </c>
      <c r="E1262" s="425"/>
      <c r="F1262" s="541"/>
      <c r="G1262" s="602"/>
      <c r="H1262" s="474">
        <f>2600.5-2600.5</f>
        <v>0</v>
      </c>
      <c r="I1262" s="1145">
        <v>1964</v>
      </c>
      <c r="J1262" s="415">
        <f>6578400-6578400</f>
        <v>0</v>
      </c>
      <c r="K1262" s="437"/>
    </row>
    <row r="1263" spans="1:11" ht="14.25" customHeight="1" x14ac:dyDescent="0.2">
      <c r="A1263" s="349" t="s">
        <v>1056</v>
      </c>
      <c r="B1263" s="347" t="s">
        <v>295</v>
      </c>
      <c r="C1263" s="1148"/>
      <c r="D1263" s="1151"/>
      <c r="E1263" s="421">
        <v>17</v>
      </c>
      <c r="F1263" s="465"/>
      <c r="G1263" s="465"/>
      <c r="H1263" s="473">
        <v>41.9</v>
      </c>
      <c r="I1263" s="1153"/>
      <c r="J1263" s="415">
        <v>105993.06287252452</v>
      </c>
      <c r="K1263" s="437"/>
    </row>
    <row r="1264" spans="1:11" ht="12.75" customHeight="1" x14ac:dyDescent="0.2">
      <c r="A1264" s="349" t="s">
        <v>1057</v>
      </c>
      <c r="B1264" s="347" t="s">
        <v>295</v>
      </c>
      <c r="C1264" s="1148"/>
      <c r="D1264" s="1151"/>
      <c r="E1264" s="421">
        <v>38</v>
      </c>
      <c r="F1264" s="465" t="s">
        <v>10028</v>
      </c>
      <c r="G1264" s="465"/>
      <c r="H1264" s="473">
        <v>42.2</v>
      </c>
      <c r="I1264" s="1153"/>
      <c r="J1264" s="415">
        <v>106751.96308402231</v>
      </c>
      <c r="K1264" s="437">
        <v>811732.21</v>
      </c>
    </row>
    <row r="1265" spans="1:11" ht="12.75" customHeight="1" x14ac:dyDescent="0.2">
      <c r="A1265" s="433" t="s">
        <v>13024</v>
      </c>
      <c r="B1265" s="433" t="s">
        <v>295</v>
      </c>
      <c r="C1265" s="1148"/>
      <c r="D1265" s="1151"/>
      <c r="E1265" s="675">
        <v>18</v>
      </c>
      <c r="F1265" s="677" t="s">
        <v>13025</v>
      </c>
      <c r="G1265" s="760" t="s">
        <v>137</v>
      </c>
      <c r="H1265" s="761">
        <v>42.9</v>
      </c>
      <c r="I1265" s="1153"/>
      <c r="J1265" s="435">
        <v>1055207.3400000001</v>
      </c>
      <c r="K1265" s="443">
        <v>818554.31</v>
      </c>
    </row>
    <row r="1266" spans="1:11" ht="12.75" customHeight="1" x14ac:dyDescent="0.2">
      <c r="A1266" s="420" t="s">
        <v>13275</v>
      </c>
      <c r="B1266" s="420" t="s">
        <v>295</v>
      </c>
      <c r="C1266" s="1148"/>
      <c r="D1266" s="1151"/>
      <c r="E1266" s="421">
        <v>37</v>
      </c>
      <c r="F1266" s="470" t="s">
        <v>13277</v>
      </c>
      <c r="G1266" s="542" t="s">
        <v>512</v>
      </c>
      <c r="H1266" s="472">
        <v>28.5</v>
      </c>
      <c r="I1266" s="1153"/>
      <c r="J1266" s="415"/>
      <c r="K1266" s="437">
        <v>564871.71</v>
      </c>
    </row>
    <row r="1267" spans="1:11" ht="12.75" customHeight="1" x14ac:dyDescent="0.2">
      <c r="A1267" s="420" t="s">
        <v>13276</v>
      </c>
      <c r="B1267" s="420" t="s">
        <v>295</v>
      </c>
      <c r="C1267" s="1148"/>
      <c r="D1267" s="1151"/>
      <c r="E1267" s="421">
        <v>24</v>
      </c>
      <c r="F1267" s="470" t="s">
        <v>13278</v>
      </c>
      <c r="G1267" s="542" t="s">
        <v>512</v>
      </c>
      <c r="H1267" s="472">
        <v>30.3</v>
      </c>
      <c r="I1267" s="1153"/>
      <c r="J1267" s="837">
        <v>1145364.24</v>
      </c>
      <c r="K1267" s="437">
        <v>600547.81999999995</v>
      </c>
    </row>
    <row r="1268" spans="1:11" ht="12.75" customHeight="1" x14ac:dyDescent="0.2">
      <c r="A1268" s="420" t="s">
        <v>14275</v>
      </c>
      <c r="B1268" s="420" t="s">
        <v>295</v>
      </c>
      <c r="C1268" s="1148"/>
      <c r="D1268" s="1151"/>
      <c r="E1268" s="421">
        <v>4</v>
      </c>
      <c r="F1268" s="470" t="s">
        <v>14276</v>
      </c>
      <c r="G1268" s="542" t="s">
        <v>137</v>
      </c>
      <c r="H1268" s="472">
        <v>41.1</v>
      </c>
      <c r="I1268" s="1153"/>
      <c r="J1268" s="837">
        <v>1397753.11</v>
      </c>
      <c r="K1268" s="437">
        <v>748180.86</v>
      </c>
    </row>
    <row r="1269" spans="1:11" ht="12.75" customHeight="1" x14ac:dyDescent="0.2">
      <c r="A1269" s="420" t="s">
        <v>14277</v>
      </c>
      <c r="B1269" s="420" t="s">
        <v>295</v>
      </c>
      <c r="C1269" s="1148"/>
      <c r="D1269" s="1151"/>
      <c r="E1269" s="421">
        <v>9</v>
      </c>
      <c r="F1269" s="470" t="s">
        <v>14279</v>
      </c>
      <c r="G1269" s="542" t="s">
        <v>128</v>
      </c>
      <c r="H1269" s="472">
        <v>30.2</v>
      </c>
      <c r="I1269" s="1153"/>
      <c r="J1269" s="837">
        <v>931763.8</v>
      </c>
      <c r="K1269" s="437">
        <v>598565.81000000006</v>
      </c>
    </row>
    <row r="1270" spans="1:11" ht="12.75" customHeight="1" x14ac:dyDescent="0.2">
      <c r="A1270" s="420" t="s">
        <v>14278</v>
      </c>
      <c r="B1270" s="420" t="s">
        <v>295</v>
      </c>
      <c r="C1270" s="1148"/>
      <c r="D1270" s="1151"/>
      <c r="E1270" s="421">
        <v>13</v>
      </c>
      <c r="F1270" s="470" t="s">
        <v>14280</v>
      </c>
      <c r="G1270" s="542" t="s">
        <v>507</v>
      </c>
      <c r="H1270" s="472">
        <v>29.5</v>
      </c>
      <c r="I1270" s="1153"/>
      <c r="J1270" s="415">
        <v>912748.1</v>
      </c>
      <c r="K1270" s="437">
        <v>563568.81999999995</v>
      </c>
    </row>
    <row r="1271" spans="1:11" ht="12.75" customHeight="1" x14ac:dyDescent="0.2">
      <c r="A1271" s="420" t="s">
        <v>14376</v>
      </c>
      <c r="B1271" s="420" t="s">
        <v>295</v>
      </c>
      <c r="C1271" s="1149"/>
      <c r="D1271" s="1152"/>
      <c r="E1271" s="884">
        <v>12</v>
      </c>
      <c r="F1271" s="885" t="s">
        <v>14377</v>
      </c>
      <c r="G1271" s="886" t="s">
        <v>128</v>
      </c>
      <c r="H1271" s="887">
        <v>41.5</v>
      </c>
      <c r="I1271" s="1146"/>
      <c r="J1271" s="870">
        <v>1397753.11</v>
      </c>
      <c r="K1271" s="872">
        <v>798267.45</v>
      </c>
    </row>
    <row r="1272" spans="1:11" x14ac:dyDescent="0.2">
      <c r="A1272" s="348" t="s">
        <v>1058</v>
      </c>
      <c r="B1272" s="347"/>
      <c r="C1272" s="1147" t="s">
        <v>11281</v>
      </c>
      <c r="D1272" s="1150">
        <v>17</v>
      </c>
      <c r="E1272" s="425"/>
      <c r="F1272" s="541"/>
      <c r="G1272" s="602"/>
      <c r="H1272" s="474">
        <f>2050.1-2050.1</f>
        <v>0</v>
      </c>
      <c r="I1272" s="1145">
        <v>1963</v>
      </c>
      <c r="J1272" s="415">
        <f>3910700-3910700</f>
        <v>0</v>
      </c>
      <c r="K1272" s="437"/>
    </row>
    <row r="1273" spans="1:11" x14ac:dyDescent="0.2">
      <c r="A1273" s="349" t="s">
        <v>1059</v>
      </c>
      <c r="B1273" s="347" t="s">
        <v>295</v>
      </c>
      <c r="C1273" s="1148"/>
      <c r="D1273" s="1151"/>
      <c r="E1273" s="421">
        <v>1</v>
      </c>
      <c r="F1273" s="465"/>
      <c r="G1273" s="465"/>
      <c r="H1273" s="473">
        <v>18.5</v>
      </c>
      <c r="I1273" s="1153"/>
      <c r="J1273" s="415">
        <v>35289.961465294378</v>
      </c>
      <c r="K1273" s="437"/>
    </row>
    <row r="1274" spans="1:11" ht="12.75" customHeight="1" x14ac:dyDescent="0.2">
      <c r="A1274" s="349" t="s">
        <v>1060</v>
      </c>
      <c r="B1274" s="347" t="s">
        <v>295</v>
      </c>
      <c r="C1274" s="1148"/>
      <c r="D1274" s="1151"/>
      <c r="E1274" s="421" t="s">
        <v>358</v>
      </c>
      <c r="F1274" s="465"/>
      <c r="G1274" s="465"/>
      <c r="H1274" s="473">
        <v>18.5</v>
      </c>
      <c r="I1274" s="1153"/>
      <c r="J1274" s="415">
        <v>35289.961465294378</v>
      </c>
      <c r="K1274" s="437"/>
    </row>
    <row r="1275" spans="1:11" x14ac:dyDescent="0.2">
      <c r="A1275" s="349" t="s">
        <v>1616</v>
      </c>
      <c r="B1275" s="347" t="s">
        <v>295</v>
      </c>
      <c r="C1275" s="1148"/>
      <c r="D1275" s="1151"/>
      <c r="E1275" s="421" t="s">
        <v>359</v>
      </c>
      <c r="F1275" s="465"/>
      <c r="G1275" s="465"/>
      <c r="H1275" s="473">
        <v>19.899999999999999</v>
      </c>
      <c r="I1275" s="1153"/>
      <c r="J1275" s="415">
        <v>37960.553143749086</v>
      </c>
      <c r="K1275" s="437"/>
    </row>
    <row r="1276" spans="1:11" x14ac:dyDescent="0.2">
      <c r="A1276" s="349" t="s">
        <v>1617</v>
      </c>
      <c r="B1276" s="347" t="s">
        <v>295</v>
      </c>
      <c r="C1276" s="1148"/>
      <c r="D1276" s="1151"/>
      <c r="E1276" s="421">
        <v>2</v>
      </c>
      <c r="F1276" s="465"/>
      <c r="G1276" s="465"/>
      <c r="H1276" s="473">
        <v>18.5</v>
      </c>
      <c r="I1276" s="1153"/>
      <c r="J1276" s="415">
        <v>35289.961465294378</v>
      </c>
      <c r="K1276" s="437"/>
    </row>
    <row r="1277" spans="1:11" x14ac:dyDescent="0.2">
      <c r="A1277" s="349" t="s">
        <v>1618</v>
      </c>
      <c r="B1277" s="347" t="s">
        <v>295</v>
      </c>
      <c r="C1277" s="1148"/>
      <c r="D1277" s="1151"/>
      <c r="E1277" s="421">
        <v>3</v>
      </c>
      <c r="F1277" s="465"/>
      <c r="G1277" s="465"/>
      <c r="H1277" s="473">
        <v>18.5</v>
      </c>
      <c r="I1277" s="1153"/>
      <c r="J1277" s="415">
        <v>35289.961465294378</v>
      </c>
      <c r="K1277" s="437"/>
    </row>
    <row r="1278" spans="1:11" x14ac:dyDescent="0.2">
      <c r="A1278" s="349" t="s">
        <v>1619</v>
      </c>
      <c r="B1278" s="347" t="s">
        <v>295</v>
      </c>
      <c r="C1278" s="1148"/>
      <c r="D1278" s="1151"/>
      <c r="E1278" s="421">
        <v>4</v>
      </c>
      <c r="F1278" s="465"/>
      <c r="G1278" s="465"/>
      <c r="H1278" s="473">
        <v>18.5</v>
      </c>
      <c r="I1278" s="1153"/>
      <c r="J1278" s="415">
        <v>35289.961465294378</v>
      </c>
      <c r="K1278" s="437"/>
    </row>
    <row r="1279" spans="1:11" x14ac:dyDescent="0.2">
      <c r="A1279" s="349" t="s">
        <v>1620</v>
      </c>
      <c r="B1279" s="347" t="s">
        <v>295</v>
      </c>
      <c r="C1279" s="1148"/>
      <c r="D1279" s="1151"/>
      <c r="E1279" s="421">
        <v>10</v>
      </c>
      <c r="F1279" s="465"/>
      <c r="G1279" s="465"/>
      <c r="H1279" s="473">
        <v>19</v>
      </c>
      <c r="I1279" s="1153"/>
      <c r="J1279" s="415">
        <v>36243.74420759963</v>
      </c>
      <c r="K1279" s="437"/>
    </row>
    <row r="1280" spans="1:11" x14ac:dyDescent="0.2">
      <c r="A1280" s="349" t="s">
        <v>1621</v>
      </c>
      <c r="B1280" s="347" t="s">
        <v>295</v>
      </c>
      <c r="C1280" s="1148"/>
      <c r="D1280" s="1151"/>
      <c r="E1280" s="421">
        <v>11</v>
      </c>
      <c r="F1280" s="465"/>
      <c r="G1280" s="465"/>
      <c r="H1280" s="473">
        <v>19</v>
      </c>
      <c r="I1280" s="1153"/>
      <c r="J1280" s="415">
        <v>36243.74420759963</v>
      </c>
      <c r="K1280" s="437"/>
    </row>
    <row r="1281" spans="1:11" x14ac:dyDescent="0.2">
      <c r="A1281" s="349" t="s">
        <v>1622</v>
      </c>
      <c r="B1281" s="347" t="s">
        <v>295</v>
      </c>
      <c r="C1281" s="1148"/>
      <c r="D1281" s="1151"/>
      <c r="E1281" s="421">
        <v>12</v>
      </c>
      <c r="F1281" s="465"/>
      <c r="G1281" s="465"/>
      <c r="H1281" s="473">
        <v>18.5</v>
      </c>
      <c r="I1281" s="1153"/>
      <c r="J1281" s="415">
        <v>35289.961465294378</v>
      </c>
      <c r="K1281" s="437"/>
    </row>
    <row r="1282" spans="1:11" x14ac:dyDescent="0.2">
      <c r="A1282" s="349" t="s">
        <v>1623</v>
      </c>
      <c r="B1282" s="347" t="s">
        <v>295</v>
      </c>
      <c r="C1282" s="1148"/>
      <c r="D1282" s="1151"/>
      <c r="E1282" s="421">
        <v>13</v>
      </c>
      <c r="F1282" s="465"/>
      <c r="G1282" s="465"/>
      <c r="H1282" s="473">
        <v>18</v>
      </c>
      <c r="I1282" s="1153"/>
      <c r="J1282" s="415">
        <v>34336.178722989127</v>
      </c>
      <c r="K1282" s="437"/>
    </row>
    <row r="1283" spans="1:11" x14ac:dyDescent="0.2">
      <c r="A1283" s="349" t="s">
        <v>1624</v>
      </c>
      <c r="B1283" s="347" t="s">
        <v>295</v>
      </c>
      <c r="C1283" s="1148"/>
      <c r="D1283" s="1151"/>
      <c r="E1283" s="421">
        <v>14</v>
      </c>
      <c r="F1283" s="465"/>
      <c r="G1283" s="465"/>
      <c r="H1283" s="473">
        <v>18.5</v>
      </c>
      <c r="I1283" s="1153"/>
      <c r="J1283" s="415">
        <v>35289.961465294386</v>
      </c>
      <c r="K1283" s="437"/>
    </row>
    <row r="1284" spans="1:11" x14ac:dyDescent="0.2">
      <c r="A1284" s="349" t="s">
        <v>1625</v>
      </c>
      <c r="B1284" s="347" t="s">
        <v>295</v>
      </c>
      <c r="C1284" s="1148"/>
      <c r="D1284" s="1151"/>
      <c r="E1284" s="421">
        <v>15</v>
      </c>
      <c r="F1284" s="465"/>
      <c r="G1284" s="465"/>
      <c r="H1284" s="473">
        <v>18.5</v>
      </c>
      <c r="I1284" s="1153"/>
      <c r="J1284" s="415">
        <v>35289.961465294386</v>
      </c>
      <c r="K1284" s="437"/>
    </row>
    <row r="1285" spans="1:11" x14ac:dyDescent="0.2">
      <c r="A1285" s="349" t="s">
        <v>1626</v>
      </c>
      <c r="B1285" s="347" t="s">
        <v>295</v>
      </c>
      <c r="C1285" s="1148"/>
      <c r="D1285" s="1151"/>
      <c r="E1285" s="421">
        <v>16</v>
      </c>
      <c r="F1285" s="465"/>
      <c r="G1285" s="465"/>
      <c r="H1285" s="473">
        <v>18.5</v>
      </c>
      <c r="I1285" s="1153"/>
      <c r="J1285" s="415">
        <v>35289.961465294386</v>
      </c>
      <c r="K1285" s="437"/>
    </row>
    <row r="1286" spans="1:11" x14ac:dyDescent="0.2">
      <c r="A1286" s="349" t="s">
        <v>1627</v>
      </c>
      <c r="B1286" s="347" t="s">
        <v>295</v>
      </c>
      <c r="C1286" s="1148"/>
      <c r="D1286" s="1151"/>
      <c r="E1286" s="421">
        <v>17</v>
      </c>
      <c r="F1286" s="465"/>
      <c r="G1286" s="465"/>
      <c r="H1286" s="473">
        <v>18</v>
      </c>
      <c r="I1286" s="1153"/>
      <c r="J1286" s="415">
        <v>34336.178722989134</v>
      </c>
      <c r="K1286" s="437"/>
    </row>
    <row r="1287" spans="1:11" x14ac:dyDescent="0.2">
      <c r="A1287" s="349" t="s">
        <v>1628</v>
      </c>
      <c r="B1287" s="347" t="s">
        <v>295</v>
      </c>
      <c r="C1287" s="1148"/>
      <c r="D1287" s="1151"/>
      <c r="E1287" s="421">
        <v>18</v>
      </c>
      <c r="F1287" s="465"/>
      <c r="G1287" s="465"/>
      <c r="H1287" s="473">
        <v>19</v>
      </c>
      <c r="I1287" s="1153"/>
      <c r="J1287" s="415">
        <v>36243.744207599637</v>
      </c>
      <c r="K1287" s="437"/>
    </row>
    <row r="1288" spans="1:11" x14ac:dyDescent="0.2">
      <c r="A1288" s="349" t="s">
        <v>1629</v>
      </c>
      <c r="B1288" s="347" t="s">
        <v>295</v>
      </c>
      <c r="C1288" s="1148"/>
      <c r="D1288" s="1151"/>
      <c r="E1288" s="421">
        <v>19</v>
      </c>
      <c r="F1288" s="465"/>
      <c r="G1288" s="465"/>
      <c r="H1288" s="473">
        <v>19</v>
      </c>
      <c r="I1288" s="1153"/>
      <c r="J1288" s="415">
        <v>36243.744207599637</v>
      </c>
      <c r="K1288" s="437"/>
    </row>
    <row r="1289" spans="1:11" x14ac:dyDescent="0.2">
      <c r="A1289" s="349" t="s">
        <v>1630</v>
      </c>
      <c r="B1289" s="347" t="s">
        <v>295</v>
      </c>
      <c r="C1289" s="1148"/>
      <c r="D1289" s="1151"/>
      <c r="E1289" s="421">
        <v>20</v>
      </c>
      <c r="F1289" s="465"/>
      <c r="G1289" s="465"/>
      <c r="H1289" s="473">
        <v>19</v>
      </c>
      <c r="I1289" s="1153"/>
      <c r="J1289" s="415">
        <v>36243.744207599637</v>
      </c>
      <c r="K1289" s="437"/>
    </row>
    <row r="1290" spans="1:11" x14ac:dyDescent="0.2">
      <c r="A1290" s="349" t="s">
        <v>1631</v>
      </c>
      <c r="B1290" s="347" t="s">
        <v>295</v>
      </c>
      <c r="C1290" s="1148"/>
      <c r="D1290" s="1151"/>
      <c r="E1290" s="421">
        <v>21</v>
      </c>
      <c r="F1290" s="465"/>
      <c r="G1290" s="465"/>
      <c r="H1290" s="473">
        <v>18.5</v>
      </c>
      <c r="I1290" s="1153"/>
      <c r="J1290" s="415">
        <v>35289.961465294386</v>
      </c>
      <c r="K1290" s="437"/>
    </row>
    <row r="1291" spans="1:11" x14ac:dyDescent="0.2">
      <c r="A1291" s="349" t="s">
        <v>1632</v>
      </c>
      <c r="B1291" s="347" t="s">
        <v>295</v>
      </c>
      <c r="C1291" s="1148"/>
      <c r="D1291" s="1151"/>
      <c r="E1291" s="421">
        <v>22</v>
      </c>
      <c r="F1291" s="465"/>
      <c r="G1291" s="465"/>
      <c r="H1291" s="473">
        <v>18.5</v>
      </c>
      <c r="I1291" s="1153"/>
      <c r="J1291" s="415">
        <v>35289.961465294386</v>
      </c>
      <c r="K1291" s="437"/>
    </row>
    <row r="1292" spans="1:11" x14ac:dyDescent="0.2">
      <c r="A1292" s="349" t="s">
        <v>1633</v>
      </c>
      <c r="B1292" s="347" t="s">
        <v>295</v>
      </c>
      <c r="C1292" s="1148"/>
      <c r="D1292" s="1151"/>
      <c r="E1292" s="421">
        <v>23</v>
      </c>
      <c r="F1292" s="465"/>
      <c r="G1292" s="465"/>
      <c r="H1292" s="473">
        <v>18.5</v>
      </c>
      <c r="I1292" s="1153"/>
      <c r="J1292" s="415">
        <v>35289.961465294386</v>
      </c>
      <c r="K1292" s="437"/>
    </row>
    <row r="1293" spans="1:11" x14ac:dyDescent="0.2">
      <c r="A1293" s="349" t="s">
        <v>1634</v>
      </c>
      <c r="B1293" s="347" t="s">
        <v>295</v>
      </c>
      <c r="C1293" s="1148"/>
      <c r="D1293" s="1151"/>
      <c r="E1293" s="421">
        <v>24</v>
      </c>
      <c r="F1293" s="465"/>
      <c r="G1293" s="465"/>
      <c r="H1293" s="473">
        <v>18.5</v>
      </c>
      <c r="I1293" s="1153"/>
      <c r="J1293" s="415">
        <v>35289.961465294386</v>
      </c>
      <c r="K1293" s="437"/>
    </row>
    <row r="1294" spans="1:11" x14ac:dyDescent="0.2">
      <c r="A1294" s="349" t="s">
        <v>1635</v>
      </c>
      <c r="B1294" s="347" t="s">
        <v>295</v>
      </c>
      <c r="C1294" s="1148"/>
      <c r="D1294" s="1151"/>
      <c r="E1294" s="421">
        <v>25</v>
      </c>
      <c r="F1294" s="465"/>
      <c r="G1294" s="465"/>
      <c r="H1294" s="473">
        <v>19</v>
      </c>
      <c r="I1294" s="1153"/>
      <c r="J1294" s="415">
        <v>36243.744207599637</v>
      </c>
      <c r="K1294" s="437"/>
    </row>
    <row r="1295" spans="1:11" x14ac:dyDescent="0.2">
      <c r="A1295" s="349" t="s">
        <v>1636</v>
      </c>
      <c r="B1295" s="347" t="s">
        <v>295</v>
      </c>
      <c r="C1295" s="1148"/>
      <c r="D1295" s="1151"/>
      <c r="E1295" s="421">
        <v>26</v>
      </c>
      <c r="F1295" s="465"/>
      <c r="G1295" s="465"/>
      <c r="H1295" s="473">
        <v>18.5</v>
      </c>
      <c r="I1295" s="1153"/>
      <c r="J1295" s="415">
        <v>35289.961465294386</v>
      </c>
      <c r="K1295" s="437"/>
    </row>
    <row r="1296" spans="1:11" x14ac:dyDescent="0.2">
      <c r="A1296" s="349" t="s">
        <v>1637</v>
      </c>
      <c r="B1296" s="347" t="s">
        <v>295</v>
      </c>
      <c r="C1296" s="1148"/>
      <c r="D1296" s="1151"/>
      <c r="E1296" s="421">
        <v>27</v>
      </c>
      <c r="F1296" s="465"/>
      <c r="G1296" s="465"/>
      <c r="H1296" s="473">
        <v>18.5</v>
      </c>
      <c r="I1296" s="1153"/>
      <c r="J1296" s="415">
        <v>35289.961465294386</v>
      </c>
      <c r="K1296" s="437"/>
    </row>
    <row r="1297" spans="1:11" x14ac:dyDescent="0.2">
      <c r="A1297" s="349" t="s">
        <v>1638</v>
      </c>
      <c r="B1297" s="347" t="s">
        <v>295</v>
      </c>
      <c r="C1297" s="1148"/>
      <c r="D1297" s="1151"/>
      <c r="E1297" s="421">
        <v>28</v>
      </c>
      <c r="F1297" s="465"/>
      <c r="G1297" s="465"/>
      <c r="H1297" s="473">
        <v>18.5</v>
      </c>
      <c r="I1297" s="1153"/>
      <c r="J1297" s="415">
        <v>35289.961465294386</v>
      </c>
      <c r="K1297" s="437"/>
    </row>
    <row r="1298" spans="1:11" x14ac:dyDescent="0.2">
      <c r="A1298" s="349" t="s">
        <v>1639</v>
      </c>
      <c r="B1298" s="347" t="s">
        <v>295</v>
      </c>
      <c r="C1298" s="1148"/>
      <c r="D1298" s="1151"/>
      <c r="E1298" s="421">
        <v>29</v>
      </c>
      <c r="F1298" s="465"/>
      <c r="G1298" s="465"/>
      <c r="H1298" s="473">
        <v>18.5</v>
      </c>
      <c r="I1298" s="1153"/>
      <c r="J1298" s="415">
        <v>35289.961465294386</v>
      </c>
      <c r="K1298" s="437"/>
    </row>
    <row r="1299" spans="1:11" x14ac:dyDescent="0.2">
      <c r="A1299" s="349" t="s">
        <v>1640</v>
      </c>
      <c r="B1299" s="347" t="s">
        <v>295</v>
      </c>
      <c r="C1299" s="1148"/>
      <c r="D1299" s="1151"/>
      <c r="E1299" s="421">
        <v>30</v>
      </c>
      <c r="F1299" s="465"/>
      <c r="G1299" s="465"/>
      <c r="H1299" s="473">
        <v>19</v>
      </c>
      <c r="I1299" s="1153"/>
      <c r="J1299" s="415">
        <v>36243.744207599637</v>
      </c>
      <c r="K1299" s="437"/>
    </row>
    <row r="1300" spans="1:11" x14ac:dyDescent="0.2">
      <c r="A1300" s="349" t="s">
        <v>1641</v>
      </c>
      <c r="B1300" s="347" t="s">
        <v>295</v>
      </c>
      <c r="C1300" s="1148"/>
      <c r="D1300" s="1151"/>
      <c r="E1300" s="421">
        <v>31</v>
      </c>
      <c r="F1300" s="465"/>
      <c r="G1300" s="465"/>
      <c r="H1300" s="473">
        <v>18</v>
      </c>
      <c r="I1300" s="1153"/>
      <c r="J1300" s="415">
        <v>34336.178722989127</v>
      </c>
      <c r="K1300" s="437"/>
    </row>
    <row r="1301" spans="1:11" x14ac:dyDescent="0.2">
      <c r="A1301" s="349" t="s">
        <v>1642</v>
      </c>
      <c r="B1301" s="347" t="s">
        <v>295</v>
      </c>
      <c r="C1301" s="1148"/>
      <c r="D1301" s="1151"/>
      <c r="E1301" s="421">
        <v>32</v>
      </c>
      <c r="F1301" s="465"/>
      <c r="G1301" s="465"/>
      <c r="H1301" s="473">
        <v>18.5</v>
      </c>
      <c r="I1301" s="1153"/>
      <c r="J1301" s="415">
        <v>35289.961465294386</v>
      </c>
      <c r="K1301" s="437"/>
    </row>
    <row r="1302" spans="1:11" x14ac:dyDescent="0.2">
      <c r="A1302" s="349" t="s">
        <v>1643</v>
      </c>
      <c r="B1302" s="347" t="s">
        <v>295</v>
      </c>
      <c r="C1302" s="1148"/>
      <c r="D1302" s="1151"/>
      <c r="E1302" s="421">
        <v>33</v>
      </c>
      <c r="F1302" s="465"/>
      <c r="G1302" s="465"/>
      <c r="H1302" s="473">
        <v>18.5</v>
      </c>
      <c r="I1302" s="1153"/>
      <c r="J1302" s="415">
        <v>35289.961465294386</v>
      </c>
      <c r="K1302" s="437"/>
    </row>
    <row r="1303" spans="1:11" x14ac:dyDescent="0.2">
      <c r="A1303" s="349" t="s">
        <v>1644</v>
      </c>
      <c r="B1303" s="347" t="s">
        <v>295</v>
      </c>
      <c r="C1303" s="1148"/>
      <c r="D1303" s="1151"/>
      <c r="E1303" s="421">
        <v>34</v>
      </c>
      <c r="F1303" s="465"/>
      <c r="G1303" s="465"/>
      <c r="H1303" s="473">
        <v>18.5</v>
      </c>
      <c r="I1303" s="1153"/>
      <c r="J1303" s="415">
        <v>35289.961465294386</v>
      </c>
      <c r="K1303" s="437"/>
    </row>
    <row r="1304" spans="1:11" x14ac:dyDescent="0.2">
      <c r="A1304" s="349" t="s">
        <v>1645</v>
      </c>
      <c r="B1304" s="347" t="s">
        <v>295</v>
      </c>
      <c r="C1304" s="1148"/>
      <c r="D1304" s="1151"/>
      <c r="E1304" s="421">
        <v>35</v>
      </c>
      <c r="F1304" s="465"/>
      <c r="G1304" s="465"/>
      <c r="H1304" s="473">
        <v>18.5</v>
      </c>
      <c r="I1304" s="1153"/>
      <c r="J1304" s="415">
        <v>35289.961465294386</v>
      </c>
      <c r="K1304" s="437"/>
    </row>
    <row r="1305" spans="1:11" x14ac:dyDescent="0.2">
      <c r="A1305" s="349" t="s">
        <v>1646</v>
      </c>
      <c r="B1305" s="347" t="s">
        <v>295</v>
      </c>
      <c r="C1305" s="1148"/>
      <c r="D1305" s="1151"/>
      <c r="E1305" s="421">
        <v>36</v>
      </c>
      <c r="F1305" s="465"/>
      <c r="G1305" s="465"/>
      <c r="H1305" s="473">
        <v>18.5</v>
      </c>
      <c r="I1305" s="1153"/>
      <c r="J1305" s="415">
        <v>35289.961465294386</v>
      </c>
      <c r="K1305" s="437"/>
    </row>
    <row r="1306" spans="1:11" x14ac:dyDescent="0.2">
      <c r="A1306" s="349" t="s">
        <v>1647</v>
      </c>
      <c r="B1306" s="347" t="s">
        <v>295</v>
      </c>
      <c r="C1306" s="1148"/>
      <c r="D1306" s="1151"/>
      <c r="E1306" s="421">
        <v>37</v>
      </c>
      <c r="F1306" s="465"/>
      <c r="G1306" s="465"/>
      <c r="H1306" s="473">
        <v>18.5</v>
      </c>
      <c r="I1306" s="1153"/>
      <c r="J1306" s="415">
        <v>35289.961465294386</v>
      </c>
      <c r="K1306" s="437"/>
    </row>
    <row r="1307" spans="1:11" x14ac:dyDescent="0.2">
      <c r="A1307" s="349" t="s">
        <v>1648</v>
      </c>
      <c r="B1307" s="347" t="s">
        <v>295</v>
      </c>
      <c r="C1307" s="1148"/>
      <c r="D1307" s="1151"/>
      <c r="E1307" s="421">
        <v>38</v>
      </c>
      <c r="F1307" s="465"/>
      <c r="G1307" s="465"/>
      <c r="H1307" s="473">
        <v>18.5</v>
      </c>
      <c r="I1307" s="1153"/>
      <c r="J1307" s="415">
        <v>35289.961465294386</v>
      </c>
      <c r="K1307" s="437"/>
    </row>
    <row r="1308" spans="1:11" x14ac:dyDescent="0.2">
      <c r="A1308" s="349" t="s">
        <v>1649</v>
      </c>
      <c r="B1308" s="347" t="s">
        <v>295</v>
      </c>
      <c r="C1308" s="1148"/>
      <c r="D1308" s="1151"/>
      <c r="E1308" s="421">
        <v>39</v>
      </c>
      <c r="F1308" s="465"/>
      <c r="G1308" s="465"/>
      <c r="H1308" s="473">
        <v>18.5</v>
      </c>
      <c r="I1308" s="1153"/>
      <c r="J1308" s="415">
        <v>35289.961465294386</v>
      </c>
      <c r="K1308" s="437"/>
    </row>
    <row r="1309" spans="1:11" x14ac:dyDescent="0.2">
      <c r="A1309" s="349" t="s">
        <v>1650</v>
      </c>
      <c r="B1309" s="347" t="s">
        <v>295</v>
      </c>
      <c r="C1309" s="1148"/>
      <c r="D1309" s="1151"/>
      <c r="E1309" s="421">
        <v>40</v>
      </c>
      <c r="F1309" s="465"/>
      <c r="G1309" s="465"/>
      <c r="H1309" s="473">
        <v>19</v>
      </c>
      <c r="I1309" s="1153"/>
      <c r="J1309" s="415">
        <v>36243.744207599637</v>
      </c>
      <c r="K1309" s="437"/>
    </row>
    <row r="1310" spans="1:11" x14ac:dyDescent="0.2">
      <c r="A1310" s="349" t="s">
        <v>1651</v>
      </c>
      <c r="B1310" s="347" t="s">
        <v>295</v>
      </c>
      <c r="C1310" s="1148"/>
      <c r="D1310" s="1151"/>
      <c r="E1310" s="421">
        <v>41</v>
      </c>
      <c r="F1310" s="465"/>
      <c r="G1310" s="465"/>
      <c r="H1310" s="473">
        <v>19</v>
      </c>
      <c r="I1310" s="1153"/>
      <c r="J1310" s="415">
        <v>36243.744207599637</v>
      </c>
      <c r="K1310" s="437"/>
    </row>
    <row r="1311" spans="1:11" x14ac:dyDescent="0.2">
      <c r="A1311" s="349" t="s">
        <v>1652</v>
      </c>
      <c r="B1311" s="347" t="s">
        <v>295</v>
      </c>
      <c r="C1311" s="1148"/>
      <c r="D1311" s="1151"/>
      <c r="E1311" s="421">
        <v>42</v>
      </c>
      <c r="F1311" s="465"/>
      <c r="G1311" s="465"/>
      <c r="H1311" s="473">
        <v>18.5</v>
      </c>
      <c r="I1311" s="1153"/>
      <c r="J1311" s="415">
        <v>35289.961465294386</v>
      </c>
      <c r="K1311" s="437"/>
    </row>
    <row r="1312" spans="1:11" x14ac:dyDescent="0.2">
      <c r="A1312" s="349" t="s">
        <v>1653</v>
      </c>
      <c r="B1312" s="347" t="s">
        <v>295</v>
      </c>
      <c r="C1312" s="1148"/>
      <c r="D1312" s="1151"/>
      <c r="E1312" s="421">
        <v>43</v>
      </c>
      <c r="F1312" s="465"/>
      <c r="G1312" s="465"/>
      <c r="H1312" s="473">
        <v>18.5</v>
      </c>
      <c r="I1312" s="1153"/>
      <c r="J1312" s="415">
        <v>35289.961465294386</v>
      </c>
      <c r="K1312" s="437"/>
    </row>
    <row r="1313" spans="1:11" x14ac:dyDescent="0.2">
      <c r="A1313" s="349" t="s">
        <v>1654</v>
      </c>
      <c r="B1313" s="347" t="s">
        <v>295</v>
      </c>
      <c r="C1313" s="1148"/>
      <c r="D1313" s="1151"/>
      <c r="E1313" s="421">
        <v>44</v>
      </c>
      <c r="F1313" s="465"/>
      <c r="G1313" s="465"/>
      <c r="H1313" s="473">
        <v>18.5</v>
      </c>
      <c r="I1313" s="1153"/>
      <c r="J1313" s="415">
        <v>35289.961465294386</v>
      </c>
      <c r="K1313" s="437"/>
    </row>
    <row r="1314" spans="1:11" x14ac:dyDescent="0.2">
      <c r="A1314" s="349" t="s">
        <v>1655</v>
      </c>
      <c r="B1314" s="347" t="s">
        <v>295</v>
      </c>
      <c r="C1314" s="1148"/>
      <c r="D1314" s="1151"/>
      <c r="E1314" s="421">
        <v>45</v>
      </c>
      <c r="F1314" s="465"/>
      <c r="G1314" s="465"/>
      <c r="H1314" s="473">
        <v>18.5</v>
      </c>
      <c r="I1314" s="1153"/>
      <c r="J1314" s="415">
        <v>35289.961465294386</v>
      </c>
      <c r="K1314" s="437"/>
    </row>
    <row r="1315" spans="1:11" x14ac:dyDescent="0.2">
      <c r="A1315" s="349" t="s">
        <v>1656</v>
      </c>
      <c r="B1315" s="347" t="s">
        <v>295</v>
      </c>
      <c r="C1315" s="1148"/>
      <c r="D1315" s="1151"/>
      <c r="E1315" s="421">
        <v>46</v>
      </c>
      <c r="F1315" s="465"/>
      <c r="G1315" s="465"/>
      <c r="H1315" s="473">
        <v>18.5</v>
      </c>
      <c r="I1315" s="1153"/>
      <c r="J1315" s="415">
        <v>35289.961465294386</v>
      </c>
      <c r="K1315" s="437"/>
    </row>
    <row r="1316" spans="1:11" x14ac:dyDescent="0.2">
      <c r="A1316" s="349" t="s">
        <v>1657</v>
      </c>
      <c r="B1316" s="347" t="s">
        <v>295</v>
      </c>
      <c r="C1316" s="1148"/>
      <c r="D1316" s="1151"/>
      <c r="E1316" s="421">
        <v>47</v>
      </c>
      <c r="F1316" s="465"/>
      <c r="G1316" s="465"/>
      <c r="H1316" s="473">
        <v>18.5</v>
      </c>
      <c r="I1316" s="1153"/>
      <c r="J1316" s="415">
        <v>35289.961465294386</v>
      </c>
      <c r="K1316" s="437"/>
    </row>
    <row r="1317" spans="1:11" x14ac:dyDescent="0.2">
      <c r="A1317" s="349" t="s">
        <v>1658</v>
      </c>
      <c r="B1317" s="347" t="s">
        <v>295</v>
      </c>
      <c r="C1317" s="1148"/>
      <c r="D1317" s="1151"/>
      <c r="E1317" s="421">
        <v>48</v>
      </c>
      <c r="F1317" s="465"/>
      <c r="G1317" s="465"/>
      <c r="H1317" s="473">
        <v>18.5</v>
      </c>
      <c r="I1317" s="1153"/>
      <c r="J1317" s="415">
        <v>35289.961465294386</v>
      </c>
      <c r="K1317" s="437"/>
    </row>
    <row r="1318" spans="1:11" x14ac:dyDescent="0.2">
      <c r="A1318" s="349" t="s">
        <v>1659</v>
      </c>
      <c r="B1318" s="347" t="s">
        <v>295</v>
      </c>
      <c r="C1318" s="1148"/>
      <c r="D1318" s="1151"/>
      <c r="E1318" s="421">
        <v>49</v>
      </c>
      <c r="F1318" s="465"/>
      <c r="G1318" s="465"/>
      <c r="H1318" s="473">
        <v>18.5</v>
      </c>
      <c r="I1318" s="1153"/>
      <c r="J1318" s="415">
        <v>35289.961465294386</v>
      </c>
      <c r="K1318" s="437"/>
    </row>
    <row r="1319" spans="1:11" x14ac:dyDescent="0.2">
      <c r="A1319" s="349" t="s">
        <v>1660</v>
      </c>
      <c r="B1319" s="347" t="s">
        <v>295</v>
      </c>
      <c r="C1319" s="1148"/>
      <c r="D1319" s="1151"/>
      <c r="E1319" s="421">
        <v>50</v>
      </c>
      <c r="F1319" s="465"/>
      <c r="G1319" s="465"/>
      <c r="H1319" s="473">
        <v>18.5</v>
      </c>
      <c r="I1319" s="1153"/>
      <c r="J1319" s="415">
        <v>35289.961465294386</v>
      </c>
      <c r="K1319" s="437"/>
    </row>
    <row r="1320" spans="1:11" x14ac:dyDescent="0.2">
      <c r="A1320" s="349" t="s">
        <v>1661</v>
      </c>
      <c r="B1320" s="347" t="s">
        <v>295</v>
      </c>
      <c r="C1320" s="1148"/>
      <c r="D1320" s="1151"/>
      <c r="E1320" s="421">
        <v>51</v>
      </c>
      <c r="F1320" s="465"/>
      <c r="G1320" s="465"/>
      <c r="H1320" s="473">
        <v>18.5</v>
      </c>
      <c r="I1320" s="1153"/>
      <c r="J1320" s="415">
        <v>35289.961465294386</v>
      </c>
      <c r="K1320" s="437"/>
    </row>
    <row r="1321" spans="1:11" x14ac:dyDescent="0.2">
      <c r="A1321" s="349" t="s">
        <v>1662</v>
      </c>
      <c r="B1321" s="347" t="s">
        <v>295</v>
      </c>
      <c r="C1321" s="1148"/>
      <c r="D1321" s="1151"/>
      <c r="E1321" s="421">
        <v>52</v>
      </c>
      <c r="F1321" s="465"/>
      <c r="G1321" s="465"/>
      <c r="H1321" s="473">
        <v>18.5</v>
      </c>
      <c r="I1321" s="1153"/>
      <c r="J1321" s="415">
        <v>35289.961465294386</v>
      </c>
      <c r="K1321" s="437"/>
    </row>
    <row r="1322" spans="1:11" x14ac:dyDescent="0.2">
      <c r="A1322" s="349" t="s">
        <v>1663</v>
      </c>
      <c r="B1322" s="347" t="s">
        <v>295</v>
      </c>
      <c r="C1322" s="1148"/>
      <c r="D1322" s="1151"/>
      <c r="E1322" s="421">
        <v>53</v>
      </c>
      <c r="F1322" s="465"/>
      <c r="G1322" s="465"/>
      <c r="H1322" s="473">
        <v>19</v>
      </c>
      <c r="I1322" s="1153"/>
      <c r="J1322" s="415">
        <v>36243.744207599637</v>
      </c>
      <c r="K1322" s="437"/>
    </row>
    <row r="1323" spans="1:11" x14ac:dyDescent="0.2">
      <c r="A1323" s="349" t="s">
        <v>1664</v>
      </c>
      <c r="B1323" s="347" t="s">
        <v>295</v>
      </c>
      <c r="C1323" s="1148"/>
      <c r="D1323" s="1151"/>
      <c r="E1323" s="421">
        <v>54</v>
      </c>
      <c r="F1323" s="465"/>
      <c r="G1323" s="465"/>
      <c r="H1323" s="473">
        <v>19</v>
      </c>
      <c r="I1323" s="1153"/>
      <c r="J1323" s="415">
        <v>36243.744207599637</v>
      </c>
      <c r="K1323" s="437"/>
    </row>
    <row r="1324" spans="1:11" x14ac:dyDescent="0.2">
      <c r="A1324" s="349" t="s">
        <v>1665</v>
      </c>
      <c r="B1324" s="347" t="s">
        <v>295</v>
      </c>
      <c r="C1324" s="1148"/>
      <c r="D1324" s="1151"/>
      <c r="E1324" s="421">
        <v>55</v>
      </c>
      <c r="F1324" s="465"/>
      <c r="G1324" s="465"/>
      <c r="H1324" s="473">
        <v>18.5</v>
      </c>
      <c r="I1324" s="1153"/>
      <c r="J1324" s="415">
        <v>35289.961465294386</v>
      </c>
      <c r="K1324" s="437"/>
    </row>
    <row r="1325" spans="1:11" x14ac:dyDescent="0.2">
      <c r="A1325" s="349" t="s">
        <v>1666</v>
      </c>
      <c r="B1325" s="347" t="s">
        <v>295</v>
      </c>
      <c r="C1325" s="1148"/>
      <c r="D1325" s="1151"/>
      <c r="E1325" s="421">
        <v>56</v>
      </c>
      <c r="F1325" s="465"/>
      <c r="G1325" s="465"/>
      <c r="H1325" s="473">
        <v>18.5</v>
      </c>
      <c r="I1325" s="1153"/>
      <c r="J1325" s="415">
        <v>35289.961465294386</v>
      </c>
      <c r="K1325" s="437"/>
    </row>
    <row r="1326" spans="1:11" x14ac:dyDescent="0.2">
      <c r="A1326" s="349" t="s">
        <v>1667</v>
      </c>
      <c r="B1326" s="347" t="s">
        <v>295</v>
      </c>
      <c r="C1326" s="1148"/>
      <c r="D1326" s="1151"/>
      <c r="E1326" s="421">
        <v>57</v>
      </c>
      <c r="F1326" s="465"/>
      <c r="G1326" s="465"/>
      <c r="H1326" s="473">
        <v>18.5</v>
      </c>
      <c r="I1326" s="1153"/>
      <c r="J1326" s="415">
        <v>35289.961465294386</v>
      </c>
      <c r="K1326" s="437"/>
    </row>
    <row r="1327" spans="1:11" x14ac:dyDescent="0.2">
      <c r="A1327" s="349" t="s">
        <v>1668</v>
      </c>
      <c r="B1327" s="347" t="s">
        <v>295</v>
      </c>
      <c r="C1327" s="1148"/>
      <c r="D1327" s="1151"/>
      <c r="E1327" s="421">
        <v>58</v>
      </c>
      <c r="F1327" s="465"/>
      <c r="G1327" s="465"/>
      <c r="H1327" s="473">
        <v>18.5</v>
      </c>
      <c r="I1327" s="1153"/>
      <c r="J1327" s="415">
        <v>35289.961465294386</v>
      </c>
      <c r="K1327" s="437"/>
    </row>
    <row r="1328" spans="1:11" x14ac:dyDescent="0.2">
      <c r="A1328" s="349" t="s">
        <v>1669</v>
      </c>
      <c r="B1328" s="347" t="s">
        <v>295</v>
      </c>
      <c r="C1328" s="1148"/>
      <c r="D1328" s="1151"/>
      <c r="E1328" s="421">
        <v>59</v>
      </c>
      <c r="F1328" s="465"/>
      <c r="G1328" s="465"/>
      <c r="H1328" s="473">
        <v>18.5</v>
      </c>
      <c r="I1328" s="1153"/>
      <c r="J1328" s="415">
        <v>35289.961465294386</v>
      </c>
      <c r="K1328" s="437"/>
    </row>
    <row r="1329" spans="1:11" x14ac:dyDescent="0.2">
      <c r="A1329" s="349" t="s">
        <v>1670</v>
      </c>
      <c r="B1329" s="347" t="s">
        <v>295</v>
      </c>
      <c r="C1329" s="1149"/>
      <c r="D1329" s="1152"/>
      <c r="E1329" s="421">
        <v>60</v>
      </c>
      <c r="F1329" s="465"/>
      <c r="G1329" s="465"/>
      <c r="H1329" s="473">
        <v>19.5</v>
      </c>
      <c r="I1329" s="1146"/>
      <c r="J1329" s="415">
        <v>37197.526949904895</v>
      </c>
      <c r="K1329" s="437"/>
    </row>
    <row r="1330" spans="1:11" x14ac:dyDescent="0.2">
      <c r="A1330" s="348" t="s">
        <v>11282</v>
      </c>
      <c r="B1330" s="347"/>
      <c r="C1330" s="1147" t="s">
        <v>11283</v>
      </c>
      <c r="D1330" s="1150">
        <v>4</v>
      </c>
      <c r="E1330" s="425"/>
      <c r="F1330" s="541"/>
      <c r="G1330" s="602"/>
      <c r="H1330" s="474">
        <f>175-175</f>
        <v>0</v>
      </c>
      <c r="I1330" s="1145">
        <v>1933</v>
      </c>
      <c r="J1330" s="415">
        <f>109100-109100</f>
        <v>0</v>
      </c>
      <c r="K1330" s="437"/>
    </row>
    <row r="1331" spans="1:11" x14ac:dyDescent="0.2">
      <c r="A1331" s="349" t="s">
        <v>11284</v>
      </c>
      <c r="B1331" s="347" t="s">
        <v>295</v>
      </c>
      <c r="C1331" s="1148"/>
      <c r="D1331" s="1151"/>
      <c r="E1331" s="421">
        <v>2</v>
      </c>
      <c r="F1331" s="465"/>
      <c r="G1331" s="465"/>
      <c r="H1331" s="473">
        <v>31.1</v>
      </c>
      <c r="I1331" s="1153"/>
      <c r="J1331" s="415">
        <v>19388.628571428573</v>
      </c>
      <c r="K1331" s="437"/>
    </row>
    <row r="1332" spans="1:11" ht="12.75" customHeight="1" x14ac:dyDescent="0.2">
      <c r="A1332" s="349" t="s">
        <v>11285</v>
      </c>
      <c r="B1332" s="347" t="s">
        <v>295</v>
      </c>
      <c r="C1332" s="1148"/>
      <c r="D1332" s="1151"/>
      <c r="E1332" s="421">
        <v>3</v>
      </c>
      <c r="F1332" s="465"/>
      <c r="G1332" s="465"/>
      <c r="H1332" s="473">
        <v>26.5</v>
      </c>
      <c r="I1332" s="1153"/>
      <c r="J1332" s="415">
        <v>16520.857142857145</v>
      </c>
      <c r="K1332" s="437"/>
    </row>
    <row r="1333" spans="1:11" ht="15.75" customHeight="1" x14ac:dyDescent="0.2">
      <c r="A1333" s="349" t="s">
        <v>11286</v>
      </c>
      <c r="B1333" s="347" t="s">
        <v>295</v>
      </c>
      <c r="C1333" s="1148"/>
      <c r="D1333" s="1151"/>
      <c r="E1333" s="421">
        <v>4</v>
      </c>
      <c r="F1333" s="465" t="s">
        <v>11287</v>
      </c>
      <c r="G1333" s="465" t="s">
        <v>137</v>
      </c>
      <c r="H1333" s="473">
        <v>39.5</v>
      </c>
      <c r="I1333" s="1153"/>
      <c r="J1333" s="415">
        <v>24625.428571428576</v>
      </c>
      <c r="K1333" s="437"/>
    </row>
    <row r="1334" spans="1:11" ht="13.5" customHeight="1" x14ac:dyDescent="0.2">
      <c r="A1334" s="349" t="s">
        <v>11288</v>
      </c>
      <c r="B1334" s="347" t="s">
        <v>295</v>
      </c>
      <c r="C1334" s="1148"/>
      <c r="D1334" s="1151"/>
      <c r="E1334" s="421">
        <v>6</v>
      </c>
      <c r="F1334" s="465"/>
      <c r="G1334" s="465"/>
      <c r="H1334" s="473">
        <v>19.5</v>
      </c>
      <c r="I1334" s="1153"/>
      <c r="J1334" s="415">
        <v>12156.857142857145</v>
      </c>
      <c r="K1334" s="437"/>
    </row>
    <row r="1335" spans="1:11" ht="12.75" customHeight="1" x14ac:dyDescent="0.2">
      <c r="A1335" s="349" t="s">
        <v>11289</v>
      </c>
      <c r="B1335" s="347" t="s">
        <v>295</v>
      </c>
      <c r="C1335" s="1148"/>
      <c r="D1335" s="1151"/>
      <c r="E1335" s="421">
        <v>1</v>
      </c>
      <c r="F1335" s="535" t="s">
        <v>11290</v>
      </c>
      <c r="G1335" s="465" t="s">
        <v>137</v>
      </c>
      <c r="H1335" s="473">
        <v>20.7</v>
      </c>
      <c r="I1335" s="1153"/>
      <c r="J1335" s="415">
        <v>613134</v>
      </c>
      <c r="K1335" s="437"/>
    </row>
    <row r="1336" spans="1:11" ht="14.25" customHeight="1" x14ac:dyDescent="0.2">
      <c r="A1336" s="349" t="s">
        <v>11291</v>
      </c>
      <c r="B1336" s="347" t="s">
        <v>295</v>
      </c>
      <c r="C1336" s="1149"/>
      <c r="D1336" s="1152"/>
      <c r="E1336" s="421">
        <v>5</v>
      </c>
      <c r="F1336" s="535" t="s">
        <v>11292</v>
      </c>
      <c r="G1336" s="465" t="s">
        <v>137</v>
      </c>
      <c r="H1336" s="473">
        <v>20.9</v>
      </c>
      <c r="I1336" s="1146"/>
      <c r="J1336" s="415">
        <v>619058</v>
      </c>
      <c r="K1336" s="437"/>
    </row>
    <row r="1337" spans="1:11" ht="13.5" customHeight="1" x14ac:dyDescent="0.2">
      <c r="A1337" s="348" t="s">
        <v>1061</v>
      </c>
      <c r="B1337" s="347"/>
      <c r="C1337" s="1147" t="s">
        <v>11293</v>
      </c>
      <c r="D1337" s="1150">
        <v>6</v>
      </c>
      <c r="E1337" s="425"/>
      <c r="F1337" s="541"/>
      <c r="G1337" s="602"/>
      <c r="H1337" s="474">
        <f>276.1-276.1</f>
        <v>0</v>
      </c>
      <c r="I1337" s="1145">
        <v>1953</v>
      </c>
      <c r="J1337" s="415">
        <f>159100-159100</f>
        <v>0</v>
      </c>
      <c r="K1337" s="437"/>
    </row>
    <row r="1338" spans="1:11" ht="12.75" customHeight="1" x14ac:dyDescent="0.2">
      <c r="A1338" s="349" t="s">
        <v>1062</v>
      </c>
      <c r="B1338" s="347" t="s">
        <v>295</v>
      </c>
      <c r="C1338" s="1148"/>
      <c r="D1338" s="1151"/>
      <c r="E1338" s="425">
        <v>4</v>
      </c>
      <c r="F1338" s="541"/>
      <c r="G1338" s="602"/>
      <c r="H1338" s="473">
        <v>57.1</v>
      </c>
      <c r="I1338" s="1153"/>
      <c r="J1338" s="415">
        <v>32903.332126041285</v>
      </c>
      <c r="K1338" s="437"/>
    </row>
    <row r="1339" spans="1:11" ht="12.75" customHeight="1" x14ac:dyDescent="0.2">
      <c r="A1339" s="349" t="s">
        <v>1063</v>
      </c>
      <c r="B1339" s="347" t="s">
        <v>295</v>
      </c>
      <c r="C1339" s="1148"/>
      <c r="D1339" s="1151"/>
      <c r="E1339" s="425">
        <v>7</v>
      </c>
      <c r="F1339" s="541"/>
      <c r="G1339" s="602"/>
      <c r="H1339" s="473">
        <v>54.8</v>
      </c>
      <c r="I1339" s="1153"/>
      <c r="J1339" s="415">
        <v>31577.978993118431</v>
      </c>
      <c r="K1339" s="437"/>
    </row>
    <row r="1340" spans="1:11" ht="12.75" customHeight="1" x14ac:dyDescent="0.2">
      <c r="A1340" s="834" t="s">
        <v>14038</v>
      </c>
      <c r="B1340" s="833" t="s">
        <v>295</v>
      </c>
      <c r="C1340" s="1148"/>
      <c r="D1340" s="1151"/>
      <c r="E1340" s="425">
        <v>1</v>
      </c>
      <c r="F1340" s="839" t="s">
        <v>14043</v>
      </c>
      <c r="G1340" s="838" t="s">
        <v>137</v>
      </c>
      <c r="H1340" s="473">
        <v>29.5</v>
      </c>
      <c r="I1340" s="1153"/>
      <c r="J1340" s="837">
        <v>1562000</v>
      </c>
      <c r="K1340" s="437">
        <v>326291.53000000003</v>
      </c>
    </row>
    <row r="1341" spans="1:11" ht="16.5" customHeight="1" x14ac:dyDescent="0.2">
      <c r="A1341" s="834" t="s">
        <v>14039</v>
      </c>
      <c r="B1341" s="833" t="s">
        <v>295</v>
      </c>
      <c r="C1341" s="1148"/>
      <c r="D1341" s="1151"/>
      <c r="E1341" s="425">
        <v>2</v>
      </c>
      <c r="F1341" s="839" t="s">
        <v>14044</v>
      </c>
      <c r="G1341" s="838" t="s">
        <v>137</v>
      </c>
      <c r="H1341" s="473">
        <v>42.8</v>
      </c>
      <c r="I1341" s="1153"/>
      <c r="J1341" s="837">
        <v>1842000</v>
      </c>
      <c r="K1341" s="437">
        <v>460182.6</v>
      </c>
    </row>
    <row r="1342" spans="1:11" ht="12.75" customHeight="1" x14ac:dyDescent="0.2">
      <c r="A1342" s="834" t="s">
        <v>14040</v>
      </c>
      <c r="B1342" s="833" t="s">
        <v>295</v>
      </c>
      <c r="C1342" s="1148"/>
      <c r="D1342" s="1151"/>
      <c r="E1342" s="425">
        <v>3</v>
      </c>
      <c r="F1342" s="839" t="s">
        <v>14045</v>
      </c>
      <c r="G1342" s="838" t="s">
        <v>137</v>
      </c>
      <c r="H1342" s="473">
        <v>39.9</v>
      </c>
      <c r="I1342" s="1153"/>
      <c r="J1342" s="837">
        <v>1717000</v>
      </c>
      <c r="K1342" s="437">
        <v>429002.01</v>
      </c>
    </row>
    <row r="1343" spans="1:11" ht="12.75" customHeight="1" x14ac:dyDescent="0.2">
      <c r="A1343" s="834" t="s">
        <v>14041</v>
      </c>
      <c r="B1343" s="833" t="s">
        <v>295</v>
      </c>
      <c r="C1343" s="1148"/>
      <c r="D1343" s="1151"/>
      <c r="E1343" s="425">
        <v>5</v>
      </c>
      <c r="F1343" s="839" t="s">
        <v>14046</v>
      </c>
      <c r="G1343" s="838" t="s">
        <v>137</v>
      </c>
      <c r="H1343" s="473">
        <v>26.7</v>
      </c>
      <c r="I1343" s="1153"/>
      <c r="J1343" s="837">
        <v>1414000</v>
      </c>
      <c r="K1343" s="437">
        <v>295321.49</v>
      </c>
    </row>
    <row r="1344" spans="1:11" ht="12.75" customHeight="1" x14ac:dyDescent="0.2">
      <c r="A1344" s="834" t="s">
        <v>14042</v>
      </c>
      <c r="B1344" s="833" t="s">
        <v>295</v>
      </c>
      <c r="C1344" s="1149"/>
      <c r="D1344" s="1152"/>
      <c r="E1344" s="425">
        <v>6</v>
      </c>
      <c r="F1344" s="839" t="s">
        <v>14047</v>
      </c>
      <c r="G1344" s="838" t="s">
        <v>137</v>
      </c>
      <c r="H1344" s="473">
        <v>27</v>
      </c>
      <c r="I1344" s="1146"/>
      <c r="J1344" s="837">
        <v>1430000</v>
      </c>
      <c r="K1344" s="437">
        <v>300851.86</v>
      </c>
    </row>
    <row r="1345" spans="1:11" ht="12.75" customHeight="1" x14ac:dyDescent="0.2">
      <c r="A1345" s="348" t="s">
        <v>1064</v>
      </c>
      <c r="B1345" s="347"/>
      <c r="C1345" s="1157" t="s">
        <v>11294</v>
      </c>
      <c r="D1345" s="1158">
        <v>10</v>
      </c>
      <c r="E1345" s="425"/>
      <c r="F1345" s="541"/>
      <c r="G1345" s="602"/>
      <c r="H1345" s="474">
        <f>90.8-90.8</f>
        <v>0</v>
      </c>
      <c r="I1345" s="1159">
        <v>1933</v>
      </c>
      <c r="J1345" s="415">
        <f>58100-58100</f>
        <v>0</v>
      </c>
      <c r="K1345" s="437"/>
    </row>
    <row r="1346" spans="1:11" ht="16.5" customHeight="1" x14ac:dyDescent="0.2">
      <c r="A1346" s="349" t="s">
        <v>1671</v>
      </c>
      <c r="B1346" s="347" t="s">
        <v>295</v>
      </c>
      <c r="C1346" s="1157"/>
      <c r="D1346" s="1158"/>
      <c r="E1346" s="425">
        <v>1</v>
      </c>
      <c r="F1346" s="541" t="s">
        <v>194</v>
      </c>
      <c r="G1346" s="465" t="s">
        <v>137</v>
      </c>
      <c r="H1346" s="474">
        <v>44.1</v>
      </c>
      <c r="I1346" s="1159"/>
      <c r="J1346" s="415">
        <v>28218.171806167404</v>
      </c>
      <c r="K1346" s="437">
        <v>474160.11</v>
      </c>
    </row>
    <row r="1347" spans="1:11" ht="17.25" customHeight="1" x14ac:dyDescent="0.2">
      <c r="A1347" s="349" t="s">
        <v>1672</v>
      </c>
      <c r="B1347" s="347" t="s">
        <v>295</v>
      </c>
      <c r="C1347" s="1157"/>
      <c r="D1347" s="1158"/>
      <c r="E1347" s="425">
        <v>2</v>
      </c>
      <c r="F1347" s="541" t="s">
        <v>195</v>
      </c>
      <c r="G1347" s="465" t="s">
        <v>137</v>
      </c>
      <c r="H1347" s="474">
        <v>46.7</v>
      </c>
      <c r="I1347" s="1159"/>
      <c r="J1347" s="415">
        <v>29881.828193832604</v>
      </c>
      <c r="K1347" s="437">
        <v>502115.13</v>
      </c>
    </row>
    <row r="1348" spans="1:11" ht="12.75" customHeight="1" x14ac:dyDescent="0.2">
      <c r="A1348" s="348" t="s">
        <v>1065</v>
      </c>
      <c r="B1348" s="347"/>
      <c r="C1348" s="1147" t="s">
        <v>11295</v>
      </c>
      <c r="D1348" s="1150">
        <v>11</v>
      </c>
      <c r="E1348" s="425"/>
      <c r="F1348" s="541"/>
      <c r="G1348" s="602"/>
      <c r="H1348" s="474">
        <f>872.9-872.9</f>
        <v>0</v>
      </c>
      <c r="I1348" s="1145">
        <v>1943</v>
      </c>
      <c r="J1348" s="415">
        <f>1868500-1868500</f>
        <v>0</v>
      </c>
      <c r="K1348" s="437"/>
    </row>
    <row r="1349" spans="1:11" ht="14.25" customHeight="1" x14ac:dyDescent="0.2">
      <c r="A1349" s="349" t="s">
        <v>1067</v>
      </c>
      <c r="B1349" s="347" t="s">
        <v>295</v>
      </c>
      <c r="C1349" s="1148"/>
      <c r="D1349" s="1151"/>
      <c r="E1349" s="421">
        <v>1</v>
      </c>
      <c r="F1349" s="465"/>
      <c r="G1349" s="465"/>
      <c r="H1349" s="473">
        <v>60</v>
      </c>
      <c r="I1349" s="1153"/>
      <c r="J1349" s="415">
        <v>128433.955779585</v>
      </c>
      <c r="K1349" s="437"/>
    </row>
    <row r="1350" spans="1:11" ht="15" customHeight="1" x14ac:dyDescent="0.2">
      <c r="A1350" s="420" t="s">
        <v>13326</v>
      </c>
      <c r="B1350" s="420" t="s">
        <v>295</v>
      </c>
      <c r="C1350" s="1148"/>
      <c r="D1350" s="1151"/>
      <c r="E1350" s="468">
        <v>12</v>
      </c>
      <c r="F1350" s="588" t="s">
        <v>13329</v>
      </c>
      <c r="G1350" s="465" t="s">
        <v>512</v>
      </c>
      <c r="H1350" s="762">
        <v>61.1</v>
      </c>
      <c r="I1350" s="1153"/>
      <c r="J1350" s="415">
        <v>2810000</v>
      </c>
      <c r="K1350" s="437">
        <v>697328.19</v>
      </c>
    </row>
    <row r="1351" spans="1:11" ht="15.75" customHeight="1" x14ac:dyDescent="0.2">
      <c r="A1351" s="420" t="s">
        <v>13327</v>
      </c>
      <c r="B1351" s="420" t="s">
        <v>295</v>
      </c>
      <c r="C1351" s="1148"/>
      <c r="D1351" s="1151"/>
      <c r="E1351" s="468">
        <v>5</v>
      </c>
      <c r="F1351" s="588" t="s">
        <v>13330</v>
      </c>
      <c r="G1351" s="465" t="s">
        <v>512</v>
      </c>
      <c r="H1351" s="473">
        <v>75.8</v>
      </c>
      <c r="I1351" s="1153"/>
      <c r="J1351" s="415">
        <v>3040000</v>
      </c>
      <c r="K1351" s="437">
        <v>863493.13</v>
      </c>
    </row>
    <row r="1352" spans="1:11" ht="14.25" customHeight="1" x14ac:dyDescent="0.2">
      <c r="A1352" s="420" t="s">
        <v>13328</v>
      </c>
      <c r="B1352" s="420" t="s">
        <v>295</v>
      </c>
      <c r="C1352" s="1148"/>
      <c r="D1352" s="1151"/>
      <c r="E1352" s="468">
        <v>11</v>
      </c>
      <c r="F1352" s="588" t="s">
        <v>13331</v>
      </c>
      <c r="G1352" s="465" t="s">
        <v>512</v>
      </c>
      <c r="H1352" s="473">
        <v>76.3</v>
      </c>
      <c r="I1352" s="1153"/>
      <c r="J1352" s="415">
        <v>3363000</v>
      </c>
      <c r="K1352" s="437">
        <v>869189</v>
      </c>
    </row>
    <row r="1353" spans="1:11" ht="14.25" customHeight="1" x14ac:dyDescent="0.2">
      <c r="A1353" s="420" t="s">
        <v>13399</v>
      </c>
      <c r="B1353" s="420" t="s">
        <v>295</v>
      </c>
      <c r="C1353" s="1148"/>
      <c r="D1353" s="1151"/>
      <c r="E1353" s="468">
        <v>8</v>
      </c>
      <c r="F1353" s="588" t="s">
        <v>13400</v>
      </c>
      <c r="G1353" s="588" t="s">
        <v>137</v>
      </c>
      <c r="H1353" s="473">
        <v>76</v>
      </c>
      <c r="I1353" s="1153"/>
      <c r="J1353" s="415">
        <v>3048000</v>
      </c>
      <c r="K1353" s="437">
        <v>863436</v>
      </c>
    </row>
    <row r="1354" spans="1:11" ht="15" customHeight="1" x14ac:dyDescent="0.2">
      <c r="A1354" s="420" t="s">
        <v>14048</v>
      </c>
      <c r="B1354" s="420" t="s">
        <v>295</v>
      </c>
      <c r="C1354" s="1148"/>
      <c r="D1354" s="1151"/>
      <c r="E1354" s="468">
        <v>4</v>
      </c>
      <c r="F1354" s="588" t="s">
        <v>14050</v>
      </c>
      <c r="G1354" s="588"/>
      <c r="H1354" s="473">
        <v>63</v>
      </c>
      <c r="I1354" s="1153"/>
      <c r="J1354" s="837">
        <v>2716000</v>
      </c>
      <c r="K1354" s="437">
        <v>683259.24</v>
      </c>
    </row>
    <row r="1355" spans="1:11" ht="13.5" customHeight="1" x14ac:dyDescent="0.2">
      <c r="A1355" s="420" t="s">
        <v>14049</v>
      </c>
      <c r="B1355" s="420" t="s">
        <v>295</v>
      </c>
      <c r="C1355" s="1148"/>
      <c r="D1355" s="1151"/>
      <c r="E1355" s="468">
        <v>9</v>
      </c>
      <c r="F1355" s="588" t="s">
        <v>14051</v>
      </c>
      <c r="G1355" s="588"/>
      <c r="H1355" s="473">
        <v>61.1</v>
      </c>
      <c r="I1355" s="1153"/>
      <c r="J1355" s="837">
        <v>2685000</v>
      </c>
      <c r="K1355" s="437">
        <v>706381.38</v>
      </c>
    </row>
    <row r="1356" spans="1:11" ht="13.5" customHeight="1" x14ac:dyDescent="0.2">
      <c r="A1356" s="420" t="s">
        <v>14358</v>
      </c>
      <c r="B1356" s="420" t="s">
        <v>295</v>
      </c>
      <c r="C1356" s="1148"/>
      <c r="D1356" s="1151"/>
      <c r="E1356" s="875">
        <v>2</v>
      </c>
      <c r="F1356" s="876" t="s">
        <v>14362</v>
      </c>
      <c r="G1356" s="876" t="s">
        <v>137</v>
      </c>
      <c r="H1356" s="877">
        <v>75.3</v>
      </c>
      <c r="I1356" s="1153"/>
      <c r="J1356" s="870">
        <v>4421000</v>
      </c>
      <c r="K1356" s="872">
        <v>857797.27</v>
      </c>
    </row>
    <row r="1357" spans="1:11" ht="13.5" customHeight="1" x14ac:dyDescent="0.2">
      <c r="A1357" s="420" t="s">
        <v>14359</v>
      </c>
      <c r="B1357" s="420" t="s">
        <v>295</v>
      </c>
      <c r="C1357" s="1148"/>
      <c r="D1357" s="1151"/>
      <c r="E1357" s="875">
        <v>3</v>
      </c>
      <c r="F1357" s="876" t="s">
        <v>14363</v>
      </c>
      <c r="G1357" s="876" t="s">
        <v>137</v>
      </c>
      <c r="H1357" s="877">
        <v>84.7</v>
      </c>
      <c r="I1357" s="1153"/>
      <c r="J1357" s="870">
        <v>4491000</v>
      </c>
      <c r="K1357" s="872">
        <v>964879.53</v>
      </c>
    </row>
    <row r="1358" spans="1:11" ht="13.5" customHeight="1" x14ac:dyDescent="0.2">
      <c r="A1358" s="420" t="s">
        <v>14360</v>
      </c>
      <c r="B1358" s="420" t="s">
        <v>295</v>
      </c>
      <c r="C1358" s="1148"/>
      <c r="D1358" s="1151"/>
      <c r="E1358" s="875">
        <v>6</v>
      </c>
      <c r="F1358" s="876" t="s">
        <v>14364</v>
      </c>
      <c r="G1358" s="876" t="s">
        <v>512</v>
      </c>
      <c r="H1358" s="877">
        <v>81.2</v>
      </c>
      <c r="I1358" s="1153"/>
      <c r="J1358" s="870">
        <v>4106000</v>
      </c>
      <c r="K1358" s="872">
        <v>925008.48</v>
      </c>
    </row>
    <row r="1359" spans="1:11" ht="13.5" customHeight="1" x14ac:dyDescent="0.2">
      <c r="A1359" s="420" t="s">
        <v>14361</v>
      </c>
      <c r="B1359" s="420" t="s">
        <v>295</v>
      </c>
      <c r="C1359" s="1149"/>
      <c r="D1359" s="1152"/>
      <c r="E1359" s="875">
        <v>7</v>
      </c>
      <c r="F1359" s="876" t="s">
        <v>14365</v>
      </c>
      <c r="G1359" s="876" t="s">
        <v>137</v>
      </c>
      <c r="H1359" s="877">
        <v>81.7</v>
      </c>
      <c r="I1359" s="1146"/>
      <c r="J1359" s="870">
        <v>4207000</v>
      </c>
      <c r="K1359" s="872">
        <v>930704.34</v>
      </c>
    </row>
    <row r="1360" spans="1:11" ht="15" customHeight="1" x14ac:dyDescent="0.2">
      <c r="A1360" s="348" t="s">
        <v>1066</v>
      </c>
      <c r="B1360" s="347"/>
      <c r="C1360" s="1157" t="s">
        <v>11296</v>
      </c>
      <c r="D1360" s="1158">
        <v>12</v>
      </c>
      <c r="E1360" s="425"/>
      <c r="F1360" s="541"/>
      <c r="G1360" s="602"/>
      <c r="H1360" s="474">
        <f>109.6-109.6</f>
        <v>0</v>
      </c>
      <c r="I1360" s="1159">
        <v>1953</v>
      </c>
      <c r="J1360" s="415">
        <f>55400-55400</f>
        <v>0</v>
      </c>
      <c r="K1360" s="437"/>
    </row>
    <row r="1361" spans="1:11" ht="15" customHeight="1" x14ac:dyDescent="0.2">
      <c r="A1361" s="349" t="s">
        <v>1068</v>
      </c>
      <c r="B1361" s="347" t="s">
        <v>295</v>
      </c>
      <c r="C1361" s="1157"/>
      <c r="D1361" s="1158"/>
      <c r="E1361" s="425">
        <v>1</v>
      </c>
      <c r="F1361" s="541"/>
      <c r="G1361" s="602"/>
      <c r="H1361" s="473">
        <v>38.6</v>
      </c>
      <c r="I1361" s="1159"/>
      <c r="J1361" s="415">
        <v>19511.313868613142</v>
      </c>
      <c r="K1361" s="437"/>
    </row>
    <row r="1362" spans="1:11" ht="15" customHeight="1" x14ac:dyDescent="0.2">
      <c r="A1362" s="349" t="s">
        <v>1069</v>
      </c>
      <c r="B1362" s="347" t="s">
        <v>295</v>
      </c>
      <c r="C1362" s="1157"/>
      <c r="D1362" s="1158"/>
      <c r="E1362" s="425">
        <v>3</v>
      </c>
      <c r="F1362" s="541"/>
      <c r="G1362" s="602"/>
      <c r="H1362" s="473">
        <v>26</v>
      </c>
      <c r="I1362" s="1159"/>
      <c r="J1362" s="415">
        <v>13142.335766423361</v>
      </c>
      <c r="K1362" s="437"/>
    </row>
    <row r="1363" spans="1:11" ht="15" customHeight="1" x14ac:dyDescent="0.2">
      <c r="A1363" s="348" t="s">
        <v>1070</v>
      </c>
      <c r="B1363" s="347"/>
      <c r="C1363" s="1147" t="s">
        <v>11297</v>
      </c>
      <c r="D1363" s="1150">
        <v>15</v>
      </c>
      <c r="E1363" s="425"/>
      <c r="F1363" s="541"/>
      <c r="G1363" s="602"/>
      <c r="H1363" s="474">
        <f>171.4-171.4</f>
        <v>0</v>
      </c>
      <c r="I1363" s="1145">
        <v>1962</v>
      </c>
      <c r="J1363" s="415">
        <f>100000-100000</f>
        <v>0</v>
      </c>
      <c r="K1363" s="437"/>
    </row>
    <row r="1364" spans="1:11" ht="25.5" customHeight="1" x14ac:dyDescent="0.2">
      <c r="A1364" s="349" t="s">
        <v>1071</v>
      </c>
      <c r="B1364" s="347" t="s">
        <v>295</v>
      </c>
      <c r="C1364" s="1148"/>
      <c r="D1364" s="1151"/>
      <c r="E1364" s="347">
        <v>3</v>
      </c>
      <c r="F1364" s="465"/>
      <c r="G1364" s="465"/>
      <c r="H1364" s="473">
        <v>42.7</v>
      </c>
      <c r="I1364" s="1153"/>
      <c r="J1364" s="415">
        <v>24912.485414235707</v>
      </c>
      <c r="K1364" s="437"/>
    </row>
    <row r="1365" spans="1:11" ht="12.75" customHeight="1" x14ac:dyDescent="0.2">
      <c r="A1365" s="349" t="s">
        <v>1072</v>
      </c>
      <c r="B1365" s="347" t="s">
        <v>295</v>
      </c>
      <c r="C1365" s="1148"/>
      <c r="D1365" s="1151"/>
      <c r="E1365" s="347">
        <v>4</v>
      </c>
      <c r="F1365" s="465"/>
      <c r="G1365" s="465"/>
      <c r="H1365" s="473">
        <v>42.5</v>
      </c>
      <c r="I1365" s="1153"/>
      <c r="J1365" s="415">
        <v>24795.799299883314</v>
      </c>
      <c r="K1365" s="437"/>
    </row>
    <row r="1366" spans="1:11" ht="14.25" customHeight="1" x14ac:dyDescent="0.2">
      <c r="A1366" s="349" t="s">
        <v>1073</v>
      </c>
      <c r="B1366" s="347" t="s">
        <v>295</v>
      </c>
      <c r="C1366" s="1148"/>
      <c r="D1366" s="1151"/>
      <c r="E1366" s="347">
        <v>5</v>
      </c>
      <c r="F1366" s="465"/>
      <c r="G1366" s="465"/>
      <c r="H1366" s="473">
        <v>19.600000000000001</v>
      </c>
      <c r="I1366" s="1153"/>
      <c r="J1366" s="415">
        <v>11435.239206534423</v>
      </c>
      <c r="K1366" s="437"/>
    </row>
    <row r="1367" spans="1:11" ht="14.25" customHeight="1" x14ac:dyDescent="0.2">
      <c r="A1367" s="349" t="s">
        <v>1074</v>
      </c>
      <c r="B1367" s="347" t="s">
        <v>295</v>
      </c>
      <c r="C1367" s="1148"/>
      <c r="D1367" s="1151"/>
      <c r="E1367" s="347">
        <v>6</v>
      </c>
      <c r="F1367" s="465"/>
      <c r="G1367" s="465"/>
      <c r="H1367" s="473">
        <v>18.899999999999999</v>
      </c>
      <c r="I1367" s="1153"/>
      <c r="J1367" s="415">
        <v>11026.83780630105</v>
      </c>
      <c r="K1367" s="437"/>
    </row>
    <row r="1368" spans="1:11" ht="13.5" customHeight="1" x14ac:dyDescent="0.2">
      <c r="A1368" s="349" t="s">
        <v>8985</v>
      </c>
      <c r="B1368" s="347" t="s">
        <v>295</v>
      </c>
      <c r="C1368" s="1149"/>
      <c r="D1368" s="1152"/>
      <c r="E1368" s="461">
        <v>2</v>
      </c>
      <c r="F1368" s="476" t="s">
        <v>8986</v>
      </c>
      <c r="G1368" s="588" t="s">
        <v>137</v>
      </c>
      <c r="H1368" s="469">
        <v>19.100000000000001</v>
      </c>
      <c r="I1368" s="1146"/>
      <c r="J1368" s="415">
        <v>565169</v>
      </c>
      <c r="K1368" s="437"/>
    </row>
    <row r="1369" spans="1:11" ht="37.5" customHeight="1" x14ac:dyDescent="0.2">
      <c r="A1369" s="348" t="s">
        <v>1075</v>
      </c>
      <c r="B1369" s="347" t="s">
        <v>295</v>
      </c>
      <c r="C1369" s="1147" t="s">
        <v>11298</v>
      </c>
      <c r="D1369" s="1150">
        <v>2</v>
      </c>
      <c r="E1369" s="425">
        <v>3</v>
      </c>
      <c r="F1369" s="178"/>
      <c r="G1369" s="602"/>
      <c r="H1369" s="474">
        <f>81.8-60.7</f>
        <v>21.099999999999994</v>
      </c>
      <c r="I1369" s="1145">
        <v>1957</v>
      </c>
      <c r="J1369" s="415">
        <f>274900/81.8*21.1</f>
        <v>70909.413202933996</v>
      </c>
      <c r="K1369" s="437"/>
    </row>
    <row r="1370" spans="1:11" ht="37.5" customHeight="1" x14ac:dyDescent="0.2">
      <c r="A1370" s="834" t="s">
        <v>14372</v>
      </c>
      <c r="B1370" s="833" t="s">
        <v>295</v>
      </c>
      <c r="C1370" s="1149"/>
      <c r="D1370" s="1152"/>
      <c r="E1370" s="881">
        <v>2</v>
      </c>
      <c r="F1370" s="882" t="s">
        <v>14373</v>
      </c>
      <c r="G1370" s="882" t="s">
        <v>137</v>
      </c>
      <c r="H1370" s="883">
        <v>21.1</v>
      </c>
      <c r="I1370" s="1146"/>
      <c r="J1370" s="870">
        <v>1227000</v>
      </c>
      <c r="K1370" s="872">
        <v>218663.31</v>
      </c>
    </row>
    <row r="1371" spans="1:11" ht="18.75" customHeight="1" x14ac:dyDescent="0.2">
      <c r="A1371" s="348" t="s">
        <v>1076</v>
      </c>
      <c r="B1371" s="347"/>
      <c r="C1371" s="1157" t="s">
        <v>11299</v>
      </c>
      <c r="D1371" s="1158">
        <v>7</v>
      </c>
      <c r="E1371" s="425"/>
      <c r="F1371" s="178"/>
      <c r="G1371" s="602"/>
      <c r="H1371" s="474">
        <f>55.2-55.2</f>
        <v>0</v>
      </c>
      <c r="I1371" s="1159">
        <v>1960</v>
      </c>
      <c r="J1371" s="415">
        <f>126300-126300</f>
        <v>0</v>
      </c>
      <c r="K1371" s="437"/>
    </row>
    <row r="1372" spans="1:11" ht="18" customHeight="1" x14ac:dyDescent="0.2">
      <c r="A1372" s="349" t="s">
        <v>1673</v>
      </c>
      <c r="B1372" s="347" t="s">
        <v>295</v>
      </c>
      <c r="C1372" s="1157"/>
      <c r="D1372" s="1158"/>
      <c r="E1372" s="425">
        <v>1</v>
      </c>
      <c r="F1372" s="178" t="s">
        <v>196</v>
      </c>
      <c r="G1372" s="602"/>
      <c r="H1372" s="474">
        <v>27.6</v>
      </c>
      <c r="I1372" s="1159"/>
      <c r="J1372" s="415">
        <v>63150</v>
      </c>
      <c r="K1372" s="437">
        <v>286024.03999999998</v>
      </c>
    </row>
    <row r="1373" spans="1:11" ht="12.75" customHeight="1" x14ac:dyDescent="0.2">
      <c r="A1373" s="349" t="s">
        <v>1674</v>
      </c>
      <c r="B1373" s="347" t="s">
        <v>295</v>
      </c>
      <c r="C1373" s="1157"/>
      <c r="D1373" s="1158"/>
      <c r="E1373" s="425">
        <v>2</v>
      </c>
      <c r="F1373" s="178" t="s">
        <v>197</v>
      </c>
      <c r="G1373" s="602"/>
      <c r="H1373" s="474">
        <v>27.6</v>
      </c>
      <c r="I1373" s="1159"/>
      <c r="J1373" s="415">
        <v>63150</v>
      </c>
      <c r="K1373" s="437">
        <v>286024.03999999998</v>
      </c>
    </row>
    <row r="1374" spans="1:11" ht="15.75" customHeight="1" x14ac:dyDescent="0.2">
      <c r="A1374" s="347" t="s">
        <v>13344</v>
      </c>
      <c r="B1374" s="347" t="s">
        <v>295</v>
      </c>
      <c r="C1374" s="1147" t="s">
        <v>13346</v>
      </c>
      <c r="D1374" s="1150">
        <v>1</v>
      </c>
      <c r="E1374" s="425">
        <v>3</v>
      </c>
      <c r="F1374" s="347" t="s">
        <v>13347</v>
      </c>
      <c r="G1374" s="833" t="s">
        <v>137</v>
      </c>
      <c r="H1374" s="474">
        <v>36.299999999999997</v>
      </c>
      <c r="I1374" s="1145">
        <v>1933</v>
      </c>
      <c r="J1374" s="415">
        <v>1565000</v>
      </c>
      <c r="K1374" s="437">
        <v>401504.5</v>
      </c>
    </row>
    <row r="1375" spans="1:11" ht="14.25" customHeight="1" x14ac:dyDescent="0.2">
      <c r="A1375" s="347" t="s">
        <v>13345</v>
      </c>
      <c r="B1375" s="347" t="s">
        <v>295</v>
      </c>
      <c r="C1375" s="1148"/>
      <c r="D1375" s="1151"/>
      <c r="E1375" s="425">
        <v>4</v>
      </c>
      <c r="F1375" s="347" t="s">
        <v>13348</v>
      </c>
      <c r="G1375" s="833" t="s">
        <v>137</v>
      </c>
      <c r="H1375" s="474">
        <v>42.6</v>
      </c>
      <c r="I1375" s="1153"/>
      <c r="J1375" s="415">
        <v>1836000</v>
      </c>
      <c r="K1375" s="437">
        <v>471187.1</v>
      </c>
    </row>
    <row r="1376" spans="1:11" ht="13.5" customHeight="1" x14ac:dyDescent="0.2">
      <c r="A1376" s="833" t="s">
        <v>14052</v>
      </c>
      <c r="B1376" s="833" t="s">
        <v>295</v>
      </c>
      <c r="C1376" s="1149"/>
      <c r="D1376" s="1152"/>
      <c r="E1376" s="425">
        <v>2</v>
      </c>
      <c r="F1376" s="833" t="s">
        <v>14053</v>
      </c>
      <c r="G1376" s="833" t="s">
        <v>137</v>
      </c>
      <c r="H1376" s="474">
        <v>36.6</v>
      </c>
      <c r="I1376" s="1146"/>
      <c r="J1376" s="837">
        <v>1578000</v>
      </c>
      <c r="K1376" s="437">
        <v>404822.72</v>
      </c>
    </row>
    <row r="1377" spans="1:11" ht="37.5" customHeight="1" x14ac:dyDescent="0.2">
      <c r="A1377" s="348" t="s">
        <v>1077</v>
      </c>
      <c r="B1377" s="347" t="s">
        <v>295</v>
      </c>
      <c r="C1377" s="405" t="s">
        <v>11300</v>
      </c>
      <c r="D1377" s="537">
        <v>3</v>
      </c>
      <c r="E1377" s="425">
        <v>2</v>
      </c>
      <c r="F1377" s="178"/>
      <c r="G1377" s="602"/>
      <c r="H1377" s="474">
        <f>164-80.6</f>
        <v>83.4</v>
      </c>
      <c r="I1377" s="536">
        <v>1932</v>
      </c>
      <c r="J1377" s="415">
        <f>98600/164*83.4</f>
        <v>50141.707317073175</v>
      </c>
      <c r="K1377" s="437"/>
    </row>
    <row r="1378" spans="1:11" ht="14.25" customHeight="1" x14ac:dyDescent="0.2">
      <c r="A1378" s="348" t="s">
        <v>1078</v>
      </c>
      <c r="B1378" s="347"/>
      <c r="C1378" s="1147" t="s">
        <v>11301</v>
      </c>
      <c r="D1378" s="1150">
        <v>19</v>
      </c>
      <c r="E1378" s="425"/>
      <c r="F1378" s="178" t="s">
        <v>198</v>
      </c>
      <c r="G1378" s="602"/>
      <c r="H1378" s="474">
        <f>89.3-89.3</f>
        <v>0</v>
      </c>
      <c r="I1378" s="1145">
        <v>1961</v>
      </c>
      <c r="J1378" s="415">
        <f>201400-201400</f>
        <v>0</v>
      </c>
      <c r="K1378" s="437">
        <v>910934.12</v>
      </c>
    </row>
    <row r="1379" spans="1:11" ht="21.75" customHeight="1" x14ac:dyDescent="0.2">
      <c r="A1379" s="349" t="s">
        <v>4715</v>
      </c>
      <c r="B1379" s="347" t="s">
        <v>295</v>
      </c>
      <c r="C1379" s="1148"/>
      <c r="D1379" s="1151"/>
      <c r="E1379" s="425">
        <v>2</v>
      </c>
      <c r="F1379" s="178" t="s">
        <v>4716</v>
      </c>
      <c r="G1379" s="602"/>
      <c r="H1379" s="474">
        <v>40.5</v>
      </c>
      <c r="I1379" s="1153"/>
      <c r="J1379" s="415">
        <f>201400/89.3*H1379</f>
        <v>91340.425531914894</v>
      </c>
      <c r="K1379" s="437"/>
    </row>
    <row r="1380" spans="1:11" ht="14.25" customHeight="1" x14ac:dyDescent="0.2">
      <c r="A1380" s="419" t="s">
        <v>1079</v>
      </c>
      <c r="B1380" s="347"/>
      <c r="C1380" s="1147" t="s">
        <v>11302</v>
      </c>
      <c r="D1380" s="1150">
        <v>53</v>
      </c>
      <c r="E1380" s="425"/>
      <c r="F1380" s="3"/>
      <c r="G1380" s="602"/>
      <c r="H1380" s="474">
        <f>250.2-250.2</f>
        <v>0</v>
      </c>
      <c r="I1380" s="1145">
        <v>1953</v>
      </c>
      <c r="J1380" s="415">
        <f>138600-138600</f>
        <v>0</v>
      </c>
      <c r="K1380" s="437"/>
    </row>
    <row r="1381" spans="1:11" ht="14.25" customHeight="1" x14ac:dyDescent="0.2">
      <c r="A1381" s="349" t="s">
        <v>1080</v>
      </c>
      <c r="B1381" s="347" t="s">
        <v>295</v>
      </c>
      <c r="C1381" s="1260"/>
      <c r="D1381" s="1262"/>
      <c r="E1381" s="421">
        <v>2</v>
      </c>
      <c r="F1381" s="422"/>
      <c r="G1381" s="465"/>
      <c r="H1381" s="473">
        <v>37.200000000000003</v>
      </c>
      <c r="I1381" s="1262"/>
      <c r="J1381" s="415">
        <v>20607.194244604321</v>
      </c>
      <c r="K1381" s="437"/>
    </row>
    <row r="1382" spans="1:11" ht="14.25" customHeight="1" x14ac:dyDescent="0.2">
      <c r="A1382" s="349" t="s">
        <v>1081</v>
      </c>
      <c r="B1382" s="347" t="s">
        <v>295</v>
      </c>
      <c r="C1382" s="1260"/>
      <c r="D1382" s="1262"/>
      <c r="E1382" s="421">
        <v>4</v>
      </c>
      <c r="F1382" s="422"/>
      <c r="G1382" s="465"/>
      <c r="H1382" s="473">
        <v>48.4</v>
      </c>
      <c r="I1382" s="1262"/>
      <c r="J1382" s="415">
        <v>26811.510791366909</v>
      </c>
      <c r="K1382" s="437"/>
    </row>
    <row r="1383" spans="1:11" ht="12.75" customHeight="1" x14ac:dyDescent="0.2">
      <c r="A1383" s="349" t="s">
        <v>1675</v>
      </c>
      <c r="B1383" s="347" t="s">
        <v>295</v>
      </c>
      <c r="C1383" s="1260"/>
      <c r="D1383" s="1262"/>
      <c r="E1383" s="421">
        <v>6</v>
      </c>
      <c r="F1383" s="422"/>
      <c r="G1383" s="465"/>
      <c r="H1383" s="473">
        <v>37.799999999999997</v>
      </c>
      <c r="I1383" s="1262"/>
      <c r="J1383" s="415">
        <v>20939.568345323743</v>
      </c>
      <c r="K1383" s="437"/>
    </row>
    <row r="1384" spans="1:11" ht="15" customHeight="1" x14ac:dyDescent="0.2">
      <c r="A1384" s="349" t="s">
        <v>7928</v>
      </c>
      <c r="B1384" s="347" t="s">
        <v>295</v>
      </c>
      <c r="C1384" s="1260"/>
      <c r="D1384" s="1262"/>
      <c r="E1384" s="421">
        <v>1</v>
      </c>
      <c r="F1384" s="465" t="s">
        <v>7929</v>
      </c>
      <c r="G1384" s="465" t="s">
        <v>137</v>
      </c>
      <c r="H1384" s="473">
        <v>37.200000000000003</v>
      </c>
      <c r="I1384" s="1262"/>
      <c r="J1384" s="415">
        <v>1101120</v>
      </c>
      <c r="K1384" s="437"/>
    </row>
    <row r="1385" spans="1:11" ht="14.25" customHeight="1" x14ac:dyDescent="0.2">
      <c r="A1385" s="349" t="s">
        <v>8249</v>
      </c>
      <c r="B1385" s="347" t="s">
        <v>295</v>
      </c>
      <c r="C1385" s="1260"/>
      <c r="D1385" s="1262"/>
      <c r="E1385" s="421">
        <v>3</v>
      </c>
      <c r="F1385" s="465" t="s">
        <v>8250</v>
      </c>
      <c r="G1385" s="465" t="s">
        <v>137</v>
      </c>
      <c r="H1385" s="473">
        <v>49.1</v>
      </c>
      <c r="I1385" s="1262"/>
      <c r="J1385" s="415">
        <v>1453360</v>
      </c>
      <c r="K1385" s="437"/>
    </row>
    <row r="1386" spans="1:11" ht="15" customHeight="1" x14ac:dyDescent="0.2">
      <c r="A1386" s="349" t="s">
        <v>10640</v>
      </c>
      <c r="B1386" s="347" t="s">
        <v>295</v>
      </c>
      <c r="C1386" s="1261"/>
      <c r="D1386" s="1263"/>
      <c r="E1386" s="421">
        <v>5</v>
      </c>
      <c r="F1386" s="420" t="s">
        <v>10641</v>
      </c>
      <c r="G1386" s="465" t="s">
        <v>137</v>
      </c>
      <c r="H1386" s="473">
        <v>36.5</v>
      </c>
      <c r="I1386" s="1263"/>
      <c r="J1386" s="415">
        <v>1268443.6000000001</v>
      </c>
      <c r="K1386" s="437">
        <v>419201.67</v>
      </c>
    </row>
    <row r="1387" spans="1:11" ht="15" customHeight="1" x14ac:dyDescent="0.2">
      <c r="A1387" s="348" t="s">
        <v>1676</v>
      </c>
      <c r="B1387" s="347"/>
      <c r="C1387" s="1157" t="s">
        <v>11303</v>
      </c>
      <c r="D1387" s="1158" t="s">
        <v>357</v>
      </c>
      <c r="E1387" s="425"/>
      <c r="F1387" s="178"/>
      <c r="G1387" s="602"/>
      <c r="H1387" s="474">
        <f>402.9-402.9</f>
        <v>0</v>
      </c>
      <c r="I1387" s="1159">
        <v>1989</v>
      </c>
      <c r="J1387" s="415">
        <f>1492100-1492100</f>
        <v>0</v>
      </c>
      <c r="K1387" s="437"/>
    </row>
    <row r="1388" spans="1:11" ht="12.75" customHeight="1" x14ac:dyDescent="0.2">
      <c r="A1388" s="349" t="s">
        <v>1082</v>
      </c>
      <c r="B1388" s="347" t="s">
        <v>295</v>
      </c>
      <c r="C1388" s="1157"/>
      <c r="D1388" s="1158"/>
      <c r="E1388" s="421">
        <v>2</v>
      </c>
      <c r="F1388" s="422" t="s">
        <v>107</v>
      </c>
      <c r="G1388" s="465"/>
      <c r="H1388" s="473">
        <v>58.1</v>
      </c>
      <c r="I1388" s="1159"/>
      <c r="J1388" s="415">
        <v>215167.56018863246</v>
      </c>
      <c r="K1388" s="437">
        <v>743168.14</v>
      </c>
    </row>
    <row r="1389" spans="1:11" x14ac:dyDescent="0.2">
      <c r="A1389" s="349" t="s">
        <v>1083</v>
      </c>
      <c r="B1389" s="347" t="s">
        <v>295</v>
      </c>
      <c r="C1389" s="1157"/>
      <c r="D1389" s="1158"/>
      <c r="E1389" s="421">
        <v>4</v>
      </c>
      <c r="F1389" s="422" t="s">
        <v>108</v>
      </c>
      <c r="G1389" s="465"/>
      <c r="H1389" s="473">
        <v>41.8</v>
      </c>
      <c r="I1389" s="1159"/>
      <c r="J1389" s="415">
        <v>154802.13452469598</v>
      </c>
      <c r="K1389" s="437">
        <v>546603.13</v>
      </c>
    </row>
    <row r="1390" spans="1:11" x14ac:dyDescent="0.2">
      <c r="A1390" s="349" t="s">
        <v>1677</v>
      </c>
      <c r="B1390" s="347" t="s">
        <v>295</v>
      </c>
      <c r="C1390" s="1157"/>
      <c r="D1390" s="1158"/>
      <c r="E1390" s="421">
        <v>5</v>
      </c>
      <c r="F1390" s="422" t="s">
        <v>105</v>
      </c>
      <c r="G1390" s="465"/>
      <c r="H1390" s="473">
        <v>43.5</v>
      </c>
      <c r="I1390" s="1159"/>
      <c r="J1390" s="415">
        <v>161097.91511541329</v>
      </c>
      <c r="K1390" s="437">
        <v>568833.4</v>
      </c>
    </row>
    <row r="1391" spans="1:11" ht="12.75" customHeight="1" x14ac:dyDescent="0.2">
      <c r="A1391" s="349" t="s">
        <v>1678</v>
      </c>
      <c r="B1391" s="347" t="s">
        <v>295</v>
      </c>
      <c r="C1391" s="1157"/>
      <c r="D1391" s="1158"/>
      <c r="E1391" s="421">
        <v>6</v>
      </c>
      <c r="F1391" s="422" t="s">
        <v>106</v>
      </c>
      <c r="G1391" s="465"/>
      <c r="H1391" s="473">
        <v>58</v>
      </c>
      <c r="I1391" s="1159"/>
      <c r="J1391" s="415">
        <v>214797.22015388438</v>
      </c>
      <c r="K1391" s="437">
        <v>741889.02</v>
      </c>
    </row>
    <row r="1392" spans="1:11" x14ac:dyDescent="0.2">
      <c r="A1392" s="348" t="s">
        <v>1084</v>
      </c>
      <c r="B1392" s="347"/>
      <c r="C1392" s="1157" t="s">
        <v>11304</v>
      </c>
      <c r="D1392" s="1158" t="s">
        <v>5189</v>
      </c>
      <c r="E1392" s="425"/>
      <c r="F1392" s="178"/>
      <c r="G1392" s="602"/>
      <c r="H1392" s="415">
        <f>202.6-202.6</f>
        <v>0</v>
      </c>
      <c r="I1392" s="1159">
        <v>1977</v>
      </c>
      <c r="J1392" s="415">
        <f>537100-537100</f>
        <v>0</v>
      </c>
      <c r="K1392" s="437"/>
    </row>
    <row r="1393" spans="1:23" ht="12.75" customHeight="1" x14ac:dyDescent="0.2">
      <c r="A1393" s="349" t="s">
        <v>1679</v>
      </c>
      <c r="B1393" s="347" t="s">
        <v>295</v>
      </c>
      <c r="C1393" s="1157"/>
      <c r="D1393" s="1158"/>
      <c r="E1393" s="425">
        <v>1</v>
      </c>
      <c r="F1393" s="178"/>
      <c r="G1393" s="602"/>
      <c r="H1393" s="415">
        <v>50.9</v>
      </c>
      <c r="I1393" s="1159"/>
      <c r="J1393" s="415">
        <v>134937.75913129319</v>
      </c>
      <c r="K1393" s="437"/>
    </row>
    <row r="1394" spans="1:23" ht="24.75" customHeight="1" x14ac:dyDescent="0.2">
      <c r="A1394" s="349" t="s">
        <v>1680</v>
      </c>
      <c r="B1394" s="347" t="s">
        <v>295</v>
      </c>
      <c r="C1394" s="1157"/>
      <c r="D1394" s="1158"/>
      <c r="E1394" s="425">
        <v>2</v>
      </c>
      <c r="F1394" s="178"/>
      <c r="G1394" s="602"/>
      <c r="H1394" s="415">
        <v>50.2</v>
      </c>
      <c r="I1394" s="1159"/>
      <c r="J1394" s="415">
        <v>133082.03356367227</v>
      </c>
      <c r="K1394" s="437"/>
    </row>
    <row r="1395" spans="1:23" ht="12.75" customHeight="1" x14ac:dyDescent="0.2">
      <c r="A1395" s="348" t="s">
        <v>1085</v>
      </c>
      <c r="B1395" s="347"/>
      <c r="C1395" s="1157" t="s">
        <v>11305</v>
      </c>
      <c r="D1395" s="1158">
        <v>1</v>
      </c>
      <c r="E1395" s="425"/>
      <c r="F1395" s="178"/>
      <c r="G1395" s="602"/>
      <c r="H1395" s="415">
        <f>1899-1899</f>
        <v>0</v>
      </c>
      <c r="I1395" s="1159">
        <v>1957</v>
      </c>
      <c r="J1395" s="415">
        <f>962700-962700</f>
        <v>0</v>
      </c>
      <c r="K1395" s="437"/>
    </row>
    <row r="1396" spans="1:23" ht="27" customHeight="1" x14ac:dyDescent="0.2">
      <c r="A1396" s="349" t="s">
        <v>1681</v>
      </c>
      <c r="B1396" s="347" t="s">
        <v>295</v>
      </c>
      <c r="C1396" s="1157"/>
      <c r="D1396" s="1158"/>
      <c r="E1396" s="425">
        <v>23</v>
      </c>
      <c r="F1396" s="178"/>
      <c r="G1396" s="602"/>
      <c r="H1396" s="415">
        <v>45.3</v>
      </c>
      <c r="I1396" s="1159"/>
      <c r="J1396" s="415">
        <v>22964.881516587677</v>
      </c>
      <c r="K1396" s="437"/>
    </row>
    <row r="1397" spans="1:23" ht="25.5" x14ac:dyDescent="0.2">
      <c r="A1397" s="348" t="s">
        <v>13284</v>
      </c>
      <c r="B1397" s="347"/>
      <c r="C1397" s="1165" t="s">
        <v>13283</v>
      </c>
      <c r="D1397" s="1209">
        <v>4</v>
      </c>
      <c r="E1397" s="708"/>
      <c r="F1397" s="705"/>
      <c r="G1397" s="709" t="s">
        <v>65</v>
      </c>
      <c r="H1397" s="539">
        <f>1427-1427</f>
        <v>0</v>
      </c>
      <c r="I1397" s="1259">
        <v>1957</v>
      </c>
      <c r="J1397" s="415">
        <f>709800-709800</f>
        <v>0</v>
      </c>
      <c r="K1397" s="437">
        <f>J1397</f>
        <v>0</v>
      </c>
    </row>
    <row r="1398" spans="1:23" ht="26.25" customHeight="1" x14ac:dyDescent="0.2">
      <c r="A1398" s="347" t="s">
        <v>13285</v>
      </c>
      <c r="B1398" s="347" t="s">
        <v>295</v>
      </c>
      <c r="C1398" s="1148"/>
      <c r="D1398" s="1151"/>
      <c r="E1398" s="425">
        <v>18</v>
      </c>
      <c r="F1398" s="465" t="s">
        <v>13286</v>
      </c>
      <c r="G1398" s="720" t="s">
        <v>128</v>
      </c>
      <c r="H1398" s="539">
        <v>34.799999999999997</v>
      </c>
      <c r="I1398" s="1153"/>
      <c r="J1398" s="415">
        <v>1035363.98</v>
      </c>
      <c r="K1398" s="437">
        <v>492942.7</v>
      </c>
    </row>
    <row r="1399" spans="1:23" x14ac:dyDescent="0.2">
      <c r="A1399" s="348" t="s">
        <v>1086</v>
      </c>
      <c r="B1399" s="347"/>
      <c r="C1399" s="1147" t="s">
        <v>11306</v>
      </c>
      <c r="D1399" s="1150">
        <v>6</v>
      </c>
      <c r="E1399" s="425"/>
      <c r="F1399" s="178"/>
      <c r="G1399" s="602"/>
      <c r="H1399" s="474">
        <f>939-939</f>
        <v>0</v>
      </c>
      <c r="I1399" s="1145">
        <v>1958</v>
      </c>
      <c r="J1399" s="415">
        <f>398500-398500</f>
        <v>0</v>
      </c>
      <c r="K1399" s="437"/>
    </row>
    <row r="1400" spans="1:23" ht="25.5" customHeight="1" x14ac:dyDescent="0.2">
      <c r="A1400" s="349" t="s">
        <v>6556</v>
      </c>
      <c r="B1400" s="347" t="s">
        <v>5162</v>
      </c>
      <c r="C1400" s="1149"/>
      <c r="D1400" s="1152"/>
      <c r="E1400" s="421">
        <v>8</v>
      </c>
      <c r="F1400" s="465" t="s">
        <v>6557</v>
      </c>
      <c r="G1400" s="465" t="s">
        <v>512</v>
      </c>
      <c r="H1400" s="473">
        <f>46.8-46.8</f>
        <v>0</v>
      </c>
      <c r="I1400" s="1146"/>
      <c r="J1400" s="415">
        <f>1041348-1041348</f>
        <v>0</v>
      </c>
      <c r="K1400" s="437"/>
    </row>
    <row r="1401" spans="1:23" ht="12.75" customHeight="1" x14ac:dyDescent="0.2">
      <c r="A1401" s="348" t="s">
        <v>1087</v>
      </c>
      <c r="B1401" s="347"/>
      <c r="C1401" s="1147" t="s">
        <v>11307</v>
      </c>
      <c r="D1401" s="1150">
        <v>8</v>
      </c>
      <c r="E1401" s="425"/>
      <c r="F1401" s="178"/>
      <c r="G1401" s="602"/>
      <c r="H1401" s="474">
        <f>1448-1448</f>
        <v>0</v>
      </c>
      <c r="I1401" s="1145">
        <v>1963</v>
      </c>
      <c r="J1401" s="415">
        <f>707000-707000</f>
        <v>0</v>
      </c>
      <c r="K1401" s="437"/>
    </row>
    <row r="1402" spans="1:23" ht="38.25" x14ac:dyDescent="0.2">
      <c r="A1402" s="349" t="s">
        <v>3310</v>
      </c>
      <c r="B1402" s="347" t="s">
        <v>11006</v>
      </c>
      <c r="C1402" s="1148"/>
      <c r="D1402" s="1151"/>
      <c r="E1402" s="425">
        <v>13</v>
      </c>
      <c r="F1402" s="178" t="s">
        <v>10029</v>
      </c>
      <c r="G1402" s="602" t="s">
        <v>10020</v>
      </c>
      <c r="H1402" s="474">
        <f>29.7</f>
        <v>29.7</v>
      </c>
      <c r="I1402" s="1153"/>
      <c r="J1402" s="415">
        <v>670000</v>
      </c>
      <c r="K1402" s="437">
        <v>567389.63</v>
      </c>
    </row>
    <row r="1403" spans="1:23" x14ac:dyDescent="0.2">
      <c r="A1403" s="404" t="s">
        <v>8981</v>
      </c>
      <c r="B1403" s="347" t="s">
        <v>295</v>
      </c>
      <c r="C1403" s="1149"/>
      <c r="D1403" s="1152"/>
      <c r="E1403" s="425">
        <v>21</v>
      </c>
      <c r="F1403" s="43" t="s">
        <v>8982</v>
      </c>
      <c r="G1403" s="601" t="s">
        <v>512</v>
      </c>
      <c r="H1403" s="474">
        <v>42.5</v>
      </c>
      <c r="I1403" s="1146"/>
      <c r="J1403" s="415">
        <v>1000000</v>
      </c>
      <c r="K1403" s="437">
        <v>817502.81</v>
      </c>
    </row>
    <row r="1404" spans="1:23" ht="38.25" x14ac:dyDescent="0.2">
      <c r="A1404" s="420" t="s">
        <v>13292</v>
      </c>
      <c r="B1404" s="420" t="s">
        <v>295</v>
      </c>
      <c r="C1404" s="405" t="s">
        <v>13511</v>
      </c>
      <c r="D1404" s="767" t="s">
        <v>5192</v>
      </c>
      <c r="E1404" s="432">
        <v>20</v>
      </c>
      <c r="F1404" s="200" t="s">
        <v>13293</v>
      </c>
      <c r="G1404" s="432" t="s">
        <v>512</v>
      </c>
      <c r="H1404" s="432">
        <v>30</v>
      </c>
      <c r="I1404" s="770">
        <v>1961</v>
      </c>
      <c r="J1404" s="415">
        <v>1047838.24</v>
      </c>
      <c r="K1404" s="437">
        <v>424950.6</v>
      </c>
    </row>
    <row r="1405" spans="1:23" ht="12.75" customHeight="1" x14ac:dyDescent="0.2">
      <c r="A1405" s="348" t="s">
        <v>1088</v>
      </c>
      <c r="B1405" s="347"/>
      <c r="C1405" s="1157" t="s">
        <v>11308</v>
      </c>
      <c r="D1405" s="1158">
        <v>11</v>
      </c>
      <c r="E1405" s="425"/>
      <c r="F1405" s="178"/>
      <c r="G1405" s="602"/>
      <c r="H1405" s="474">
        <f>1010-1010</f>
        <v>0</v>
      </c>
      <c r="I1405" s="1159">
        <v>1960</v>
      </c>
      <c r="J1405" s="415">
        <f>510400-510400</f>
        <v>0</v>
      </c>
      <c r="K1405" s="437"/>
    </row>
    <row r="1406" spans="1:23" ht="26.25" customHeight="1" x14ac:dyDescent="0.2">
      <c r="A1406" s="349" t="s">
        <v>1682</v>
      </c>
      <c r="B1406" s="347" t="s">
        <v>295</v>
      </c>
      <c r="C1406" s="1157"/>
      <c r="D1406" s="1158"/>
      <c r="E1406" s="421">
        <v>6</v>
      </c>
      <c r="F1406" s="465" t="s">
        <v>4717</v>
      </c>
      <c r="G1406" s="465"/>
      <c r="H1406" s="473">
        <v>40.4</v>
      </c>
      <c r="I1406" s="1159"/>
      <c r="J1406" s="415">
        <v>20416</v>
      </c>
      <c r="K1406" s="437">
        <v>556290.22</v>
      </c>
      <c r="M1406" s="772"/>
      <c r="N1406" s="772"/>
      <c r="O1406" s="773"/>
      <c r="P1406" s="774"/>
      <c r="Q1406" s="53"/>
      <c r="R1406" s="775"/>
      <c r="S1406" s="53"/>
      <c r="T1406" s="53"/>
      <c r="U1406" s="776"/>
      <c r="V1406" s="777"/>
      <c r="W1406" s="778"/>
    </row>
    <row r="1407" spans="1:23" x14ac:dyDescent="0.2">
      <c r="A1407" s="348" t="s">
        <v>1089</v>
      </c>
      <c r="B1407" s="347"/>
      <c r="C1407" s="1157" t="s">
        <v>11309</v>
      </c>
      <c r="D1407" s="1158">
        <v>12</v>
      </c>
      <c r="E1407" s="425"/>
      <c r="F1407" s="178"/>
      <c r="G1407" s="602"/>
      <c r="H1407" s="415">
        <f>1008-1008</f>
        <v>0</v>
      </c>
      <c r="I1407" s="1159">
        <v>1960</v>
      </c>
      <c r="J1407" s="415">
        <f>1000*518.2-518200</f>
        <v>0</v>
      </c>
      <c r="K1407" s="437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</row>
    <row r="1408" spans="1:23" ht="25.5" customHeight="1" x14ac:dyDescent="0.2">
      <c r="A1408" s="347" t="s">
        <v>3322</v>
      </c>
      <c r="B1408" s="347" t="s">
        <v>295</v>
      </c>
      <c r="C1408" s="1157"/>
      <c r="D1408" s="1158"/>
      <c r="E1408" s="425">
        <v>11</v>
      </c>
      <c r="F1408" s="178" t="s">
        <v>3323</v>
      </c>
      <c r="G1408" s="602" t="s">
        <v>128</v>
      </c>
      <c r="H1408" s="415">
        <v>46</v>
      </c>
      <c r="I1408" s="1159"/>
      <c r="J1408" s="415">
        <v>470750</v>
      </c>
      <c r="K1408" s="437">
        <v>633399.76</v>
      </c>
    </row>
    <row r="1409" spans="1:11" x14ac:dyDescent="0.2">
      <c r="A1409" s="348" t="s">
        <v>1090</v>
      </c>
      <c r="B1409" s="347"/>
      <c r="C1409" s="1157" t="s">
        <v>11310</v>
      </c>
      <c r="D1409" s="1158">
        <v>13</v>
      </c>
      <c r="E1409" s="425"/>
      <c r="F1409" s="178"/>
      <c r="G1409" s="602"/>
      <c r="H1409" s="474">
        <f>1013-1013</f>
        <v>0</v>
      </c>
      <c r="I1409" s="1159">
        <v>1959</v>
      </c>
      <c r="J1409" s="415">
        <f>524800-524800</f>
        <v>0</v>
      </c>
      <c r="K1409" s="437"/>
    </row>
    <row r="1410" spans="1:11" ht="12.75" customHeight="1" x14ac:dyDescent="0.2">
      <c r="A1410" s="349" t="s">
        <v>1091</v>
      </c>
      <c r="B1410" s="347" t="s">
        <v>295</v>
      </c>
      <c r="C1410" s="1157"/>
      <c r="D1410" s="1158"/>
      <c r="E1410" s="421">
        <v>13</v>
      </c>
      <c r="F1410" s="422"/>
      <c r="G1410" s="465"/>
      <c r="H1410" s="473">
        <v>40.700000000000003</v>
      </c>
      <c r="I1410" s="1159"/>
      <c r="J1410" s="415">
        <v>21085.251727541956</v>
      </c>
      <c r="K1410" s="437"/>
    </row>
    <row r="1411" spans="1:11" x14ac:dyDescent="0.2">
      <c r="A1411" s="349" t="s">
        <v>1092</v>
      </c>
      <c r="B1411" s="347" t="s">
        <v>295</v>
      </c>
      <c r="C1411" s="1157"/>
      <c r="D1411" s="1158"/>
      <c r="E1411" s="421">
        <v>19</v>
      </c>
      <c r="F1411" s="465" t="s">
        <v>14641</v>
      </c>
      <c r="G1411" s="465" t="s">
        <v>512</v>
      </c>
      <c r="H1411" s="473">
        <v>39</v>
      </c>
      <c r="I1411" s="1159"/>
      <c r="J1411" s="415">
        <v>20204.540967423494</v>
      </c>
      <c r="K1411" s="437"/>
    </row>
    <row r="1412" spans="1:11" x14ac:dyDescent="0.2">
      <c r="A1412" s="348" t="s">
        <v>1093</v>
      </c>
      <c r="B1412" s="347"/>
      <c r="C1412" s="1147" t="s">
        <v>11311</v>
      </c>
      <c r="D1412" s="1150" t="s">
        <v>5200</v>
      </c>
      <c r="E1412" s="425"/>
      <c r="F1412" s="178"/>
      <c r="G1412" s="602"/>
      <c r="H1412" s="474">
        <f>793-793</f>
        <v>0</v>
      </c>
      <c r="I1412" s="1145">
        <v>1960</v>
      </c>
      <c r="J1412" s="415">
        <f>383800-383800</f>
        <v>0</v>
      </c>
      <c r="K1412" s="437"/>
    </row>
    <row r="1413" spans="1:11" x14ac:dyDescent="0.2">
      <c r="A1413" s="349" t="s">
        <v>1095</v>
      </c>
      <c r="B1413" s="347" t="s">
        <v>299</v>
      </c>
      <c r="C1413" s="1148"/>
      <c r="D1413" s="1151"/>
      <c r="E1413" s="478" t="s">
        <v>109</v>
      </c>
      <c r="F1413" s="465" t="s">
        <v>14616</v>
      </c>
      <c r="G1413" s="465"/>
      <c r="H1413" s="473">
        <v>15.2</v>
      </c>
      <c r="I1413" s="1153"/>
      <c r="J1413" s="415">
        <v>7356.5699873896592</v>
      </c>
      <c r="K1413" s="437"/>
    </row>
    <row r="1414" spans="1:11" x14ac:dyDescent="0.2">
      <c r="A1414" s="349" t="s">
        <v>1096</v>
      </c>
      <c r="B1414" s="347" t="s">
        <v>299</v>
      </c>
      <c r="C1414" s="1148"/>
      <c r="D1414" s="1151"/>
      <c r="E1414" s="478" t="s">
        <v>110</v>
      </c>
      <c r="F1414" s="465" t="s">
        <v>14614</v>
      </c>
      <c r="G1414" s="465"/>
      <c r="H1414" s="473">
        <v>10.4</v>
      </c>
      <c r="I1414" s="1153"/>
      <c r="J1414" s="415">
        <v>5033.4426229508199</v>
      </c>
      <c r="K1414" s="437"/>
    </row>
    <row r="1415" spans="1:11" ht="12.75" customHeight="1" x14ac:dyDescent="0.2">
      <c r="A1415" s="349" t="s">
        <v>1683</v>
      </c>
      <c r="B1415" s="347" t="s">
        <v>299</v>
      </c>
      <c r="C1415" s="1148"/>
      <c r="D1415" s="1151"/>
      <c r="E1415" s="478" t="s">
        <v>111</v>
      </c>
      <c r="F1415" s="465" t="s">
        <v>14618</v>
      </c>
      <c r="G1415" s="465"/>
      <c r="H1415" s="473">
        <v>10.7</v>
      </c>
      <c r="I1415" s="1153"/>
      <c r="J1415" s="415">
        <v>5178.6380832282484</v>
      </c>
      <c r="K1415" s="437"/>
    </row>
    <row r="1416" spans="1:11" x14ac:dyDescent="0.2">
      <c r="A1416" s="349" t="s">
        <v>1684</v>
      </c>
      <c r="B1416" s="347" t="s">
        <v>299</v>
      </c>
      <c r="C1416" s="1148"/>
      <c r="D1416" s="1151"/>
      <c r="E1416" s="478" t="s">
        <v>112</v>
      </c>
      <c r="F1416" s="465" t="s">
        <v>14619</v>
      </c>
      <c r="G1416" s="465"/>
      <c r="H1416" s="473">
        <v>9.4</v>
      </c>
      <c r="I1416" s="1153"/>
      <c r="J1416" s="415">
        <v>4549.4577553593963</v>
      </c>
      <c r="K1416" s="437"/>
    </row>
    <row r="1417" spans="1:11" x14ac:dyDescent="0.2">
      <c r="A1417" s="349" t="s">
        <v>1685</v>
      </c>
      <c r="B1417" s="347" t="s">
        <v>299</v>
      </c>
      <c r="C1417" s="1148"/>
      <c r="D1417" s="1151"/>
      <c r="E1417" s="478" t="s">
        <v>113</v>
      </c>
      <c r="F1417" s="465" t="s">
        <v>14611</v>
      </c>
      <c r="G1417" s="465"/>
      <c r="H1417" s="473">
        <v>10.3</v>
      </c>
      <c r="I1417" s="1153"/>
      <c r="J1417" s="415">
        <v>4985.0441361916792</v>
      </c>
      <c r="K1417" s="437"/>
    </row>
    <row r="1418" spans="1:11" x14ac:dyDescent="0.2">
      <c r="A1418" s="349" t="s">
        <v>1686</v>
      </c>
      <c r="B1418" s="347" t="s">
        <v>299</v>
      </c>
      <c r="C1418" s="1148"/>
      <c r="D1418" s="1151"/>
      <c r="E1418" s="478" t="s">
        <v>114</v>
      </c>
      <c r="F1418" s="465" t="s">
        <v>14620</v>
      </c>
      <c r="G1418" s="465"/>
      <c r="H1418" s="473">
        <v>10.5</v>
      </c>
      <c r="I1418" s="1153"/>
      <c r="J1418" s="415">
        <v>5081.8411097099643</v>
      </c>
      <c r="K1418" s="437"/>
    </row>
    <row r="1419" spans="1:11" x14ac:dyDescent="0.2">
      <c r="A1419" s="349" t="s">
        <v>1687</v>
      </c>
      <c r="B1419" s="347" t="s">
        <v>299</v>
      </c>
      <c r="C1419" s="1148"/>
      <c r="D1419" s="1151"/>
      <c r="E1419" s="478" t="s">
        <v>115</v>
      </c>
      <c r="F1419" s="465" t="s">
        <v>14613</v>
      </c>
      <c r="G1419" s="465"/>
      <c r="H1419" s="473">
        <v>10.7</v>
      </c>
      <c r="I1419" s="1153"/>
      <c r="J1419" s="415">
        <v>5178.6380832282484</v>
      </c>
      <c r="K1419" s="437"/>
    </row>
    <row r="1420" spans="1:11" ht="12.75" customHeight="1" x14ac:dyDescent="0.2">
      <c r="A1420" s="349" t="s">
        <v>1688</v>
      </c>
      <c r="B1420" s="347" t="s">
        <v>299</v>
      </c>
      <c r="C1420" s="1148"/>
      <c r="D1420" s="1151"/>
      <c r="E1420" s="478" t="s">
        <v>116</v>
      </c>
      <c r="F1420" s="465" t="s">
        <v>14623</v>
      </c>
      <c r="G1420" s="465"/>
      <c r="H1420" s="473">
        <v>9.5</v>
      </c>
      <c r="I1420" s="1153"/>
      <c r="J1420" s="415">
        <v>4597.8562421185388</v>
      </c>
      <c r="K1420" s="437"/>
    </row>
    <row r="1421" spans="1:11" x14ac:dyDescent="0.2">
      <c r="A1421" s="349" t="s">
        <v>1689</v>
      </c>
      <c r="B1421" s="347" t="s">
        <v>299</v>
      </c>
      <c r="C1421" s="1148"/>
      <c r="D1421" s="1151"/>
      <c r="E1421" s="478" t="s">
        <v>117</v>
      </c>
      <c r="F1421" s="465" t="s">
        <v>14625</v>
      </c>
      <c r="G1421" s="465"/>
      <c r="H1421" s="473">
        <v>14.4</v>
      </c>
      <c r="I1421" s="1153"/>
      <c r="J1421" s="415">
        <v>6969.3820933165225</v>
      </c>
      <c r="K1421" s="437"/>
    </row>
    <row r="1422" spans="1:11" x14ac:dyDescent="0.2">
      <c r="A1422" s="349" t="s">
        <v>1690</v>
      </c>
      <c r="B1422" s="347" t="s">
        <v>299</v>
      </c>
      <c r="C1422" s="1148"/>
      <c r="D1422" s="1151"/>
      <c r="E1422" s="478" t="s">
        <v>118</v>
      </c>
      <c r="F1422" s="465" t="s">
        <v>14624</v>
      </c>
      <c r="G1422" s="465"/>
      <c r="H1422" s="473">
        <v>10.1</v>
      </c>
      <c r="I1422" s="1153"/>
      <c r="J1422" s="415">
        <v>4888.2471626733941</v>
      </c>
      <c r="K1422" s="437"/>
    </row>
    <row r="1423" spans="1:11" ht="12.75" customHeight="1" x14ac:dyDescent="0.2">
      <c r="A1423" s="349" t="s">
        <v>1691</v>
      </c>
      <c r="B1423" s="347" t="s">
        <v>299</v>
      </c>
      <c r="C1423" s="1148"/>
      <c r="D1423" s="1151"/>
      <c r="E1423" s="478" t="s">
        <v>119</v>
      </c>
      <c r="F1423" s="465" t="s">
        <v>14622</v>
      </c>
      <c r="G1423" s="465"/>
      <c r="H1423" s="473">
        <v>10.9</v>
      </c>
      <c r="I1423" s="1153"/>
      <c r="J1423" s="415">
        <v>5275.4350567465344</v>
      </c>
      <c r="K1423" s="437"/>
    </row>
    <row r="1424" spans="1:11" x14ac:dyDescent="0.2">
      <c r="A1424" s="349" t="s">
        <v>1692</v>
      </c>
      <c r="B1424" s="347" t="s">
        <v>299</v>
      </c>
      <c r="C1424" s="1148"/>
      <c r="D1424" s="1151"/>
      <c r="E1424" s="478" t="s">
        <v>120</v>
      </c>
      <c r="F1424" s="465" t="s">
        <v>14612</v>
      </c>
      <c r="G1424" s="465"/>
      <c r="H1424" s="473">
        <v>11.3</v>
      </c>
      <c r="I1424" s="1153"/>
      <c r="J1424" s="415">
        <v>5469.0290037831046</v>
      </c>
      <c r="K1424" s="437"/>
    </row>
    <row r="1425" spans="1:12" x14ac:dyDescent="0.2">
      <c r="A1425" s="349" t="s">
        <v>1693</v>
      </c>
      <c r="B1425" s="347" t="s">
        <v>299</v>
      </c>
      <c r="C1425" s="1148"/>
      <c r="D1425" s="1151"/>
      <c r="E1425" s="478" t="s">
        <v>121</v>
      </c>
      <c r="F1425" s="465" t="s">
        <v>14615</v>
      </c>
      <c r="G1425" s="465"/>
      <c r="H1425" s="473">
        <v>10</v>
      </c>
      <c r="I1425" s="1153"/>
      <c r="J1425" s="415">
        <v>4839.8486759142515</v>
      </c>
      <c r="K1425" s="437"/>
    </row>
    <row r="1426" spans="1:12" x14ac:dyDescent="0.2">
      <c r="A1426" s="349" t="s">
        <v>1694</v>
      </c>
      <c r="B1426" s="347" t="s">
        <v>299</v>
      </c>
      <c r="C1426" s="1148"/>
      <c r="D1426" s="1151"/>
      <c r="E1426" s="478" t="s">
        <v>122</v>
      </c>
      <c r="F1426" s="465" t="s">
        <v>14610</v>
      </c>
      <c r="G1426" s="465"/>
      <c r="H1426" s="473">
        <v>10.4</v>
      </c>
      <c r="I1426" s="1153"/>
      <c r="J1426" s="415">
        <v>5033.4426229508217</v>
      </c>
      <c r="K1426" s="437"/>
    </row>
    <row r="1427" spans="1:12" x14ac:dyDescent="0.2">
      <c r="A1427" s="349" t="s">
        <v>1695</v>
      </c>
      <c r="B1427" s="347" t="s">
        <v>299</v>
      </c>
      <c r="C1427" s="1148"/>
      <c r="D1427" s="1151"/>
      <c r="E1427" s="478" t="s">
        <v>123</v>
      </c>
      <c r="F1427" s="465" t="s">
        <v>10290</v>
      </c>
      <c r="G1427" s="465"/>
      <c r="H1427" s="473">
        <v>10.1</v>
      </c>
      <c r="I1427" s="1153"/>
      <c r="J1427" s="415">
        <v>4888.2471626733941</v>
      </c>
      <c r="K1427" s="437"/>
    </row>
    <row r="1428" spans="1:12" ht="12.75" customHeight="1" x14ac:dyDescent="0.2">
      <c r="A1428" s="349" t="s">
        <v>1696</v>
      </c>
      <c r="B1428" s="347" t="s">
        <v>299</v>
      </c>
      <c r="C1428" s="1148"/>
      <c r="D1428" s="1151"/>
      <c r="E1428" s="478" t="s">
        <v>124</v>
      </c>
      <c r="F1428" s="465" t="s">
        <v>10291</v>
      </c>
      <c r="G1428" s="465"/>
      <c r="H1428" s="473">
        <v>10.8</v>
      </c>
      <c r="I1428" s="1153"/>
      <c r="J1428" s="415">
        <v>5227.0365699873928</v>
      </c>
      <c r="K1428" s="437"/>
    </row>
    <row r="1429" spans="1:12" ht="12.75" customHeight="1" x14ac:dyDescent="0.2">
      <c r="A1429" s="349" t="s">
        <v>1697</v>
      </c>
      <c r="B1429" s="347" t="s">
        <v>299</v>
      </c>
      <c r="C1429" s="1148"/>
      <c r="D1429" s="1151"/>
      <c r="E1429" s="478" t="s">
        <v>125</v>
      </c>
      <c r="F1429" s="465" t="s">
        <v>14621</v>
      </c>
      <c r="G1429" s="465"/>
      <c r="H1429" s="473">
        <v>10</v>
      </c>
      <c r="I1429" s="1153"/>
      <c r="J1429" s="415">
        <v>4839.8486759142525</v>
      </c>
      <c r="K1429" s="437"/>
    </row>
    <row r="1430" spans="1:12" ht="15" customHeight="1" x14ac:dyDescent="0.2">
      <c r="A1430" s="349" t="s">
        <v>1698</v>
      </c>
      <c r="B1430" s="347" t="s">
        <v>299</v>
      </c>
      <c r="C1430" s="1148"/>
      <c r="D1430" s="1151"/>
      <c r="E1430" s="478" t="s">
        <v>126</v>
      </c>
      <c r="F1430" s="465" t="s">
        <v>14617</v>
      </c>
      <c r="G1430" s="465"/>
      <c r="H1430" s="473">
        <v>10.3</v>
      </c>
      <c r="I1430" s="1153"/>
      <c r="J1430" s="415">
        <v>4985.0441361916801</v>
      </c>
      <c r="K1430" s="437"/>
      <c r="L1430" s="340"/>
    </row>
    <row r="1431" spans="1:12" ht="38.25" customHeight="1" x14ac:dyDescent="0.2">
      <c r="A1431" s="348" t="s">
        <v>1094</v>
      </c>
      <c r="B1431" s="347" t="s">
        <v>295</v>
      </c>
      <c r="C1431" s="405" t="s">
        <v>11312</v>
      </c>
      <c r="D1431" s="537">
        <v>14</v>
      </c>
      <c r="E1431" s="436">
        <v>10</v>
      </c>
      <c r="F1431" s="178"/>
      <c r="G1431" s="602"/>
      <c r="H1431" s="415">
        <f>1021-980.7</f>
        <v>40.299999999999955</v>
      </c>
      <c r="I1431" s="536">
        <v>1959</v>
      </c>
      <c r="J1431" s="415">
        <f>577100/1021*40.3</f>
        <v>22778.775710088146</v>
      </c>
      <c r="K1431" s="437"/>
    </row>
    <row r="1432" spans="1:12" x14ac:dyDescent="0.2">
      <c r="A1432" s="348" t="s">
        <v>1097</v>
      </c>
      <c r="B1432" s="347"/>
      <c r="C1432" s="1147" t="s">
        <v>11313</v>
      </c>
      <c r="D1432" s="1150">
        <v>17</v>
      </c>
      <c r="E1432" s="425"/>
      <c r="F1432" s="178"/>
      <c r="G1432" s="602"/>
      <c r="H1432" s="415">
        <f>4089-4089</f>
        <v>0</v>
      </c>
      <c r="I1432" s="1145">
        <v>1977</v>
      </c>
      <c r="J1432" s="415">
        <f>2463800-2463800</f>
        <v>0</v>
      </c>
      <c r="K1432" s="437"/>
    </row>
    <row r="1433" spans="1:12" x14ac:dyDescent="0.2">
      <c r="A1433" s="349" t="s">
        <v>1098</v>
      </c>
      <c r="B1433" s="347" t="s">
        <v>295</v>
      </c>
      <c r="C1433" s="1148"/>
      <c r="D1433" s="1151"/>
      <c r="E1433" s="421">
        <v>4</v>
      </c>
      <c r="F1433" s="422"/>
      <c r="G1433" s="465"/>
      <c r="H1433" s="473">
        <v>57.3</v>
      </c>
      <c r="I1433" s="1153"/>
      <c r="J1433" s="415">
        <v>34525.737344093912</v>
      </c>
      <c r="K1433" s="437"/>
    </row>
    <row r="1434" spans="1:12" x14ac:dyDescent="0.2">
      <c r="A1434" s="833" t="s">
        <v>10680</v>
      </c>
      <c r="B1434" s="833" t="s">
        <v>295</v>
      </c>
      <c r="C1434" s="1148"/>
      <c r="D1434" s="1151"/>
      <c r="E1434" s="479">
        <v>42</v>
      </c>
      <c r="F1434" s="178" t="s">
        <v>10682</v>
      </c>
      <c r="G1434" s="860" t="s">
        <v>128</v>
      </c>
      <c r="H1434" s="480">
        <v>46</v>
      </c>
      <c r="I1434" s="1153"/>
      <c r="J1434" s="837">
        <v>1060807</v>
      </c>
      <c r="K1434" s="481">
        <v>870338.86</v>
      </c>
    </row>
    <row r="1435" spans="1:12" x14ac:dyDescent="0.2">
      <c r="A1435" s="865" t="s">
        <v>14267</v>
      </c>
      <c r="B1435" s="347" t="s">
        <v>295</v>
      </c>
      <c r="C1435" s="1149"/>
      <c r="D1435" s="1152"/>
      <c r="E1435" s="479">
        <v>11</v>
      </c>
      <c r="F1435" s="178" t="s">
        <v>14268</v>
      </c>
      <c r="G1435" s="599" t="s">
        <v>128</v>
      </c>
      <c r="H1435" s="480">
        <v>29.2</v>
      </c>
      <c r="I1435" s="1146"/>
      <c r="J1435" s="415">
        <v>1045857.15</v>
      </c>
      <c r="K1435" s="481">
        <v>578745.75</v>
      </c>
    </row>
    <row r="1436" spans="1:12" ht="12.75" customHeight="1" x14ac:dyDescent="0.2">
      <c r="A1436" s="419" t="s">
        <v>10292</v>
      </c>
      <c r="B1436" s="347"/>
      <c r="C1436" s="1147" t="s">
        <v>10971</v>
      </c>
      <c r="D1436" s="1150">
        <v>19</v>
      </c>
      <c r="E1436" s="421"/>
      <c r="F1436" s="422"/>
      <c r="G1436" s="465"/>
      <c r="H1436" s="423">
        <f>4033-4033</f>
        <v>0</v>
      </c>
      <c r="I1436" s="1145">
        <v>1977</v>
      </c>
      <c r="J1436" s="415">
        <f>2405700-2405700</f>
        <v>0</v>
      </c>
      <c r="K1436" s="437"/>
    </row>
    <row r="1437" spans="1:12" ht="25.5" x14ac:dyDescent="0.2">
      <c r="A1437" s="349" t="s">
        <v>10293</v>
      </c>
      <c r="B1437" s="865" t="s">
        <v>14329</v>
      </c>
      <c r="C1437" s="1148"/>
      <c r="D1437" s="1151"/>
      <c r="E1437" s="424">
        <v>25</v>
      </c>
      <c r="F1437" s="352" t="s">
        <v>10294</v>
      </c>
      <c r="G1437" s="599" t="s">
        <v>507</v>
      </c>
      <c r="H1437" s="423">
        <v>28.9</v>
      </c>
      <c r="I1437" s="1153"/>
      <c r="J1437" s="415">
        <v>785000</v>
      </c>
      <c r="K1437" s="437">
        <v>572799.73</v>
      </c>
    </row>
    <row r="1438" spans="1:12" ht="12.75" customHeight="1" x14ac:dyDescent="0.2">
      <c r="A1438" s="347" t="s">
        <v>10916</v>
      </c>
      <c r="B1438" s="347" t="s">
        <v>295</v>
      </c>
      <c r="C1438" s="1148"/>
      <c r="D1438" s="1151"/>
      <c r="E1438" s="424">
        <v>55</v>
      </c>
      <c r="F1438" s="352" t="s">
        <v>10917</v>
      </c>
      <c r="G1438" s="599" t="s">
        <v>127</v>
      </c>
      <c r="H1438" s="423">
        <v>55.6</v>
      </c>
      <c r="I1438" s="1153"/>
      <c r="J1438" s="415">
        <v>826249.3</v>
      </c>
      <c r="K1438" s="437">
        <v>1014213.22</v>
      </c>
    </row>
    <row r="1439" spans="1:12" ht="12.75" customHeight="1" x14ac:dyDescent="0.2">
      <c r="A1439" s="347" t="s">
        <v>10918</v>
      </c>
      <c r="B1439" s="347" t="s">
        <v>295</v>
      </c>
      <c r="C1439" s="1148"/>
      <c r="D1439" s="1151"/>
      <c r="E1439" s="424">
        <v>28</v>
      </c>
      <c r="F1439" s="352" t="s">
        <v>10919</v>
      </c>
      <c r="G1439" s="599" t="s">
        <v>127</v>
      </c>
      <c r="H1439" s="423">
        <v>29.4</v>
      </c>
      <c r="I1439" s="1146"/>
      <c r="J1439" s="415">
        <v>763173.08</v>
      </c>
      <c r="K1439" s="437">
        <v>561658.48</v>
      </c>
    </row>
    <row r="1440" spans="1:12" ht="12.75" customHeight="1" x14ac:dyDescent="0.2">
      <c r="A1440" s="833" t="s">
        <v>14107</v>
      </c>
      <c r="B1440" s="833" t="s">
        <v>295</v>
      </c>
      <c r="C1440" s="1149"/>
      <c r="D1440" s="1152"/>
      <c r="E1440" s="424" t="s">
        <v>14108</v>
      </c>
      <c r="F1440" s="352" t="s">
        <v>14109</v>
      </c>
      <c r="G1440" s="843" t="s">
        <v>512</v>
      </c>
      <c r="H1440" s="423">
        <v>26.3</v>
      </c>
      <c r="I1440" s="842"/>
      <c r="J1440" s="837">
        <v>686707.19999999995</v>
      </c>
      <c r="K1440" s="437">
        <v>502435.93</v>
      </c>
    </row>
    <row r="1441" spans="1:11" x14ac:dyDescent="0.2">
      <c r="A1441" s="348" t="s">
        <v>1099</v>
      </c>
      <c r="B1441" s="347"/>
      <c r="C1441" s="1147" t="s">
        <v>11314</v>
      </c>
      <c r="D1441" s="1150">
        <v>20</v>
      </c>
      <c r="E1441" s="425"/>
      <c r="F1441" s="178"/>
      <c r="G1441" s="602"/>
      <c r="H1441" s="415">
        <f>2989-2989</f>
        <v>0</v>
      </c>
      <c r="I1441" s="1145">
        <v>1982</v>
      </c>
      <c r="J1441" s="415">
        <f>1972800-1972800</f>
        <v>0</v>
      </c>
      <c r="K1441" s="437"/>
    </row>
    <row r="1442" spans="1:11" ht="12.75" customHeight="1" x14ac:dyDescent="0.2">
      <c r="A1442" s="349" t="s">
        <v>1699</v>
      </c>
      <c r="B1442" s="347" t="s">
        <v>295</v>
      </c>
      <c r="C1442" s="1148"/>
      <c r="D1442" s="1151"/>
      <c r="E1442" s="421">
        <v>33</v>
      </c>
      <c r="F1442" s="465" t="s">
        <v>10295</v>
      </c>
      <c r="G1442" s="465" t="s">
        <v>128</v>
      </c>
      <c r="H1442" s="473">
        <v>26.4</v>
      </c>
      <c r="I1442" s="1153"/>
      <c r="J1442" s="415">
        <v>17424.529943124791</v>
      </c>
      <c r="K1442" s="437">
        <v>518655.81</v>
      </c>
    </row>
    <row r="1443" spans="1:11" x14ac:dyDescent="0.2">
      <c r="A1443" s="347" t="s">
        <v>10296</v>
      </c>
      <c r="B1443" s="347" t="s">
        <v>295</v>
      </c>
      <c r="C1443" s="1149"/>
      <c r="D1443" s="1152"/>
      <c r="E1443" s="479">
        <v>27</v>
      </c>
      <c r="F1443" s="335" t="s">
        <v>10297</v>
      </c>
      <c r="G1443" s="599" t="s">
        <v>137</v>
      </c>
      <c r="H1443" s="423">
        <v>27.4</v>
      </c>
      <c r="I1443" s="1146"/>
      <c r="J1443" s="415">
        <v>840000</v>
      </c>
      <c r="K1443" s="459">
        <v>564497.47</v>
      </c>
    </row>
    <row r="1444" spans="1:11" x14ac:dyDescent="0.2">
      <c r="A1444" s="351" t="s">
        <v>14646</v>
      </c>
      <c r="B1444" s="1019"/>
      <c r="C1444" s="1182" t="s">
        <v>14297</v>
      </c>
      <c r="D1444" s="1150">
        <v>21</v>
      </c>
      <c r="E1444" s="425"/>
      <c r="F1444" s="178"/>
      <c r="G1444" s="1020"/>
      <c r="H1444" s="837">
        <f>2989-2989</f>
        <v>0</v>
      </c>
      <c r="I1444" s="1145">
        <v>1988</v>
      </c>
      <c r="J1444" s="837">
        <f>1972800-1972800</f>
        <v>0</v>
      </c>
      <c r="K1444" s="437"/>
    </row>
    <row r="1445" spans="1:11" x14ac:dyDescent="0.2">
      <c r="A1445" s="351"/>
      <c r="B1445" s="1019" t="s">
        <v>295</v>
      </c>
      <c r="C1445" s="1157"/>
      <c r="D1445" s="1152"/>
      <c r="E1445" s="421">
        <v>39</v>
      </c>
      <c r="F1445" s="465" t="s">
        <v>14270</v>
      </c>
      <c r="G1445" s="465" t="s">
        <v>127</v>
      </c>
      <c r="H1445" s="473">
        <v>25.7</v>
      </c>
      <c r="I1445" s="1146"/>
      <c r="J1445" s="837">
        <v>1094023.3</v>
      </c>
      <c r="K1445" s="437">
        <v>529473.9</v>
      </c>
    </row>
    <row r="1446" spans="1:11" ht="12.75" customHeight="1" x14ac:dyDescent="0.2">
      <c r="A1446" s="348" t="s">
        <v>1100</v>
      </c>
      <c r="B1446" s="347"/>
      <c r="C1446" s="1147" t="s">
        <v>11315</v>
      </c>
      <c r="D1446" s="1150">
        <v>23</v>
      </c>
      <c r="E1446" s="436"/>
      <c r="F1446" s="178"/>
      <c r="G1446" s="602"/>
      <c r="H1446" s="474">
        <f>2770-2770</f>
        <v>0</v>
      </c>
      <c r="I1446" s="1145">
        <v>1990</v>
      </c>
      <c r="J1446" s="415">
        <f>2926300-2926300</f>
        <v>0</v>
      </c>
      <c r="K1446" s="437"/>
    </row>
    <row r="1447" spans="1:11" ht="12.75" customHeight="1" x14ac:dyDescent="0.2">
      <c r="A1447" s="349" t="s">
        <v>1102</v>
      </c>
      <c r="B1447" s="347" t="s">
        <v>295</v>
      </c>
      <c r="C1447" s="1148"/>
      <c r="D1447" s="1151"/>
      <c r="E1447" s="421">
        <v>12</v>
      </c>
      <c r="F1447" s="422"/>
      <c r="G1447" s="465"/>
      <c r="H1447" s="473">
        <v>63.9</v>
      </c>
      <c r="I1447" s="1153"/>
      <c r="J1447" s="415">
        <v>67505.620938628155</v>
      </c>
      <c r="K1447" s="437"/>
    </row>
    <row r="1448" spans="1:11" ht="25.5" x14ac:dyDescent="0.2">
      <c r="A1448" s="349" t="s">
        <v>1103</v>
      </c>
      <c r="B1448" s="347" t="s">
        <v>9246</v>
      </c>
      <c r="C1448" s="1148"/>
      <c r="D1448" s="1151"/>
      <c r="E1448" s="421">
        <v>46</v>
      </c>
      <c r="F1448" s="465" t="s">
        <v>10298</v>
      </c>
      <c r="G1448" s="465" t="s">
        <v>137</v>
      </c>
      <c r="H1448" s="473">
        <v>56.6</v>
      </c>
      <c r="I1448" s="1153"/>
      <c r="J1448" s="415">
        <v>59793.711191335744</v>
      </c>
      <c r="K1448" s="437"/>
    </row>
    <row r="1449" spans="1:11" ht="12.75" customHeight="1" x14ac:dyDescent="0.2">
      <c r="A1449" s="348" t="s">
        <v>1101</v>
      </c>
      <c r="B1449" s="347"/>
      <c r="C1449" s="1147" t="s">
        <v>11316</v>
      </c>
      <c r="D1449" s="1150">
        <v>24</v>
      </c>
      <c r="E1449" s="425"/>
      <c r="F1449" s="178"/>
      <c r="G1449" s="602"/>
      <c r="H1449" s="474">
        <f>1340-1340</f>
        <v>0</v>
      </c>
      <c r="I1449" s="1145">
        <v>1963</v>
      </c>
      <c r="J1449" s="415">
        <f>729100-729100</f>
        <v>0</v>
      </c>
      <c r="K1449" s="437"/>
    </row>
    <row r="1450" spans="1:11" ht="25.5" customHeight="1" x14ac:dyDescent="0.2">
      <c r="A1450" s="349" t="s">
        <v>1105</v>
      </c>
      <c r="B1450" s="347" t="s">
        <v>295</v>
      </c>
      <c r="C1450" s="1148"/>
      <c r="D1450" s="1151"/>
      <c r="E1450" s="421">
        <v>28</v>
      </c>
      <c r="F1450" s="422"/>
      <c r="G1450" s="465"/>
      <c r="H1450" s="473">
        <v>30.5</v>
      </c>
      <c r="I1450" s="1153"/>
      <c r="J1450" s="415">
        <v>16595.186567164179</v>
      </c>
      <c r="K1450" s="437"/>
    </row>
    <row r="1451" spans="1:11" ht="25.5" customHeight="1" x14ac:dyDescent="0.2">
      <c r="A1451" s="420" t="s">
        <v>13273</v>
      </c>
      <c r="B1451" s="420" t="s">
        <v>295</v>
      </c>
      <c r="C1451" s="1148"/>
      <c r="D1451" s="1151"/>
      <c r="E1451" s="468">
        <v>12</v>
      </c>
      <c r="F1451" s="465" t="s">
        <v>13274</v>
      </c>
      <c r="G1451" s="588" t="s">
        <v>128</v>
      </c>
      <c r="H1451" s="469">
        <v>30.5</v>
      </c>
      <c r="I1451" s="1153"/>
      <c r="J1451" s="837">
        <v>1152924.3999999999</v>
      </c>
      <c r="K1451" s="437">
        <v>604511.82999999996</v>
      </c>
    </row>
    <row r="1452" spans="1:11" ht="25.5" customHeight="1" x14ac:dyDescent="0.2">
      <c r="A1452" s="420" t="s">
        <v>14271</v>
      </c>
      <c r="B1452" s="420" t="s">
        <v>295</v>
      </c>
      <c r="C1452" s="1149"/>
      <c r="D1452" s="1152"/>
      <c r="E1452" s="468">
        <v>16</v>
      </c>
      <c r="F1452" s="465" t="s">
        <v>14272</v>
      </c>
      <c r="G1452" s="588" t="s">
        <v>507</v>
      </c>
      <c r="H1452" s="469">
        <v>27.4</v>
      </c>
      <c r="I1452" s="1146"/>
      <c r="J1452" s="415">
        <v>1188536.45</v>
      </c>
      <c r="K1452" s="437">
        <v>519629.56</v>
      </c>
    </row>
    <row r="1453" spans="1:11" ht="18" customHeight="1" x14ac:dyDescent="0.2">
      <c r="A1453" s="348" t="s">
        <v>1104</v>
      </c>
      <c r="B1453" s="347"/>
      <c r="C1453" s="1147" t="s">
        <v>11317</v>
      </c>
      <c r="D1453" s="1150">
        <v>25</v>
      </c>
      <c r="E1453" s="456"/>
      <c r="F1453" s="43"/>
      <c r="G1453" s="601" t="s">
        <v>5175</v>
      </c>
      <c r="H1453" s="540">
        <f>1332-1332</f>
        <v>0</v>
      </c>
      <c r="I1453" s="1145">
        <v>1963</v>
      </c>
      <c r="J1453" s="415">
        <f>744900-744900</f>
        <v>0</v>
      </c>
      <c r="K1453" s="437"/>
    </row>
    <row r="1454" spans="1:11" ht="25.5" x14ac:dyDescent="0.2">
      <c r="A1454" s="349" t="s">
        <v>9245</v>
      </c>
      <c r="B1454" s="347" t="s">
        <v>9246</v>
      </c>
      <c r="C1454" s="1149"/>
      <c r="D1454" s="1152"/>
      <c r="E1454" s="425">
        <v>14</v>
      </c>
      <c r="F1454" s="178" t="s">
        <v>10030</v>
      </c>
      <c r="G1454" s="601" t="s">
        <v>507</v>
      </c>
      <c r="H1454" s="474">
        <v>40.1</v>
      </c>
      <c r="I1454" s="1146"/>
      <c r="J1454" s="415"/>
      <c r="K1454" s="437">
        <v>742625.07</v>
      </c>
    </row>
    <row r="1455" spans="1:11" ht="12.75" customHeight="1" x14ac:dyDescent="0.2">
      <c r="A1455" s="348" t="s">
        <v>1106</v>
      </c>
      <c r="B1455" s="347"/>
      <c r="C1455" s="1157" t="s">
        <v>11318</v>
      </c>
      <c r="D1455" s="1158">
        <v>29</v>
      </c>
      <c r="E1455" s="425"/>
      <c r="F1455" s="178"/>
      <c r="G1455" s="602"/>
      <c r="H1455" s="474">
        <f>3995-3995</f>
        <v>0</v>
      </c>
      <c r="I1455" s="1159">
        <v>1970</v>
      </c>
      <c r="J1455" s="415">
        <f>1501100-1501100</f>
        <v>0</v>
      </c>
      <c r="K1455" s="437"/>
    </row>
    <row r="1456" spans="1:11" x14ac:dyDescent="0.2">
      <c r="A1456" s="349" t="s">
        <v>1107</v>
      </c>
      <c r="B1456" s="347" t="s">
        <v>295</v>
      </c>
      <c r="C1456" s="1157"/>
      <c r="D1456" s="1158"/>
      <c r="E1456" s="421">
        <v>34</v>
      </c>
      <c r="F1456" s="422"/>
      <c r="G1456" s="465"/>
      <c r="H1456" s="473">
        <v>41.5</v>
      </c>
      <c r="I1456" s="1159"/>
      <c r="J1456" s="415">
        <v>15593.404255319148</v>
      </c>
      <c r="K1456" s="437"/>
    </row>
    <row r="1457" spans="1:11" ht="12.75" customHeight="1" x14ac:dyDescent="0.2">
      <c r="A1457" s="349" t="s">
        <v>1108</v>
      </c>
      <c r="B1457" s="347" t="s">
        <v>295</v>
      </c>
      <c r="C1457" s="1157"/>
      <c r="D1457" s="1158"/>
      <c r="E1457" s="421">
        <v>43</v>
      </c>
      <c r="F1457" s="422"/>
      <c r="G1457" s="465"/>
      <c r="H1457" s="473">
        <v>41.2</v>
      </c>
      <c r="I1457" s="1159"/>
      <c r="J1457" s="415">
        <v>15480.680851063831</v>
      </c>
      <c r="K1457" s="437"/>
    </row>
    <row r="1458" spans="1:11" x14ac:dyDescent="0.2">
      <c r="A1458" s="349" t="s">
        <v>3320</v>
      </c>
      <c r="B1458" s="347" t="s">
        <v>295</v>
      </c>
      <c r="C1458" s="1157"/>
      <c r="D1458" s="1158"/>
      <c r="E1458" s="421">
        <v>4</v>
      </c>
      <c r="F1458" s="465" t="s">
        <v>3321</v>
      </c>
      <c r="G1458" s="465" t="s">
        <v>137</v>
      </c>
      <c r="H1458" s="473">
        <v>44.9</v>
      </c>
      <c r="I1458" s="1159"/>
      <c r="J1458" s="415">
        <v>778750</v>
      </c>
      <c r="K1458" s="437">
        <v>831517.84</v>
      </c>
    </row>
    <row r="1459" spans="1:11" ht="12.75" customHeight="1" x14ac:dyDescent="0.2">
      <c r="A1459" s="348" t="s">
        <v>1109</v>
      </c>
      <c r="B1459" s="347"/>
      <c r="C1459" s="1147" t="s">
        <v>11319</v>
      </c>
      <c r="D1459" s="1150">
        <v>30</v>
      </c>
      <c r="E1459" s="425"/>
      <c r="F1459" s="178"/>
      <c r="G1459" s="602"/>
      <c r="H1459" s="415">
        <f>3732.3-3732.3</f>
        <v>0</v>
      </c>
      <c r="I1459" s="1145">
        <v>1971</v>
      </c>
      <c r="J1459" s="415">
        <f>7394177-7394177</f>
        <v>0</v>
      </c>
      <c r="K1459" s="437"/>
    </row>
    <row r="1460" spans="1:11" x14ac:dyDescent="0.2">
      <c r="A1460" s="349" t="s">
        <v>1111</v>
      </c>
      <c r="B1460" s="347" t="s">
        <v>295</v>
      </c>
      <c r="C1460" s="1148"/>
      <c r="D1460" s="1151"/>
      <c r="E1460" s="421">
        <v>24</v>
      </c>
      <c r="F1460" s="465" t="s">
        <v>14247</v>
      </c>
      <c r="G1460" s="465" t="s">
        <v>512</v>
      </c>
      <c r="H1460" s="473">
        <v>44.3</v>
      </c>
      <c r="I1460" s="1153"/>
      <c r="J1460" s="415">
        <v>87764.124293331173</v>
      </c>
      <c r="K1460" s="437">
        <v>780895.63</v>
      </c>
    </row>
    <row r="1461" spans="1:11" x14ac:dyDescent="0.2">
      <c r="A1461" s="349" t="s">
        <v>1700</v>
      </c>
      <c r="B1461" s="347" t="s">
        <v>295</v>
      </c>
      <c r="C1461" s="1148"/>
      <c r="D1461" s="1151"/>
      <c r="E1461" s="421">
        <v>73</v>
      </c>
      <c r="F1461" s="465" t="s">
        <v>14629</v>
      </c>
      <c r="G1461" s="465"/>
      <c r="H1461" s="473">
        <v>55.9</v>
      </c>
      <c r="I1461" s="1153"/>
      <c r="J1461" s="415">
        <v>110745.24939045627</v>
      </c>
      <c r="K1461" s="437"/>
    </row>
    <row r="1462" spans="1:11" x14ac:dyDescent="0.2">
      <c r="A1462" s="349" t="s">
        <v>8983</v>
      </c>
      <c r="B1462" s="347" t="s">
        <v>295</v>
      </c>
      <c r="C1462" s="1148"/>
      <c r="D1462" s="1151"/>
      <c r="E1462" s="455">
        <v>61</v>
      </c>
      <c r="F1462" s="43" t="s">
        <v>8984</v>
      </c>
      <c r="G1462" s="465" t="s">
        <v>128</v>
      </c>
      <c r="H1462" s="482">
        <v>39</v>
      </c>
      <c r="I1462" s="1153"/>
      <c r="J1462" s="415">
        <v>1050000</v>
      </c>
      <c r="K1462" s="437">
        <v>320074.56</v>
      </c>
    </row>
    <row r="1463" spans="1:11" ht="25.5" x14ac:dyDescent="0.2">
      <c r="A1463" s="347" t="s">
        <v>10744</v>
      </c>
      <c r="B1463" s="347" t="s">
        <v>10681</v>
      </c>
      <c r="C1463" s="1149"/>
      <c r="D1463" s="1152"/>
      <c r="E1463" s="455">
        <v>33</v>
      </c>
      <c r="F1463" s="43" t="s">
        <v>10745</v>
      </c>
      <c r="G1463" s="465" t="s">
        <v>127</v>
      </c>
      <c r="H1463" s="482">
        <v>42.9</v>
      </c>
      <c r="I1463" s="1146"/>
      <c r="J1463" s="415">
        <v>1153053</v>
      </c>
      <c r="K1463" s="437">
        <v>352082.02</v>
      </c>
    </row>
    <row r="1464" spans="1:11" ht="12.75" customHeight="1" x14ac:dyDescent="0.2">
      <c r="A1464" s="348" t="s">
        <v>1110</v>
      </c>
      <c r="B1464" s="347"/>
      <c r="C1464" s="1157" t="s">
        <v>11320</v>
      </c>
      <c r="D1464" s="1158">
        <v>7</v>
      </c>
      <c r="E1464" s="436"/>
      <c r="F1464" s="178"/>
      <c r="G1464" s="602"/>
      <c r="H1464" s="415">
        <f>115.8-115.8</f>
        <v>0</v>
      </c>
      <c r="I1464" s="1159">
        <v>1951</v>
      </c>
      <c r="J1464" s="415">
        <f>208600-208600</f>
        <v>0</v>
      </c>
      <c r="K1464" s="437"/>
    </row>
    <row r="1465" spans="1:11" x14ac:dyDescent="0.2">
      <c r="A1465" s="349" t="s">
        <v>1112</v>
      </c>
      <c r="B1465" s="347" t="s">
        <v>295</v>
      </c>
      <c r="C1465" s="1157"/>
      <c r="D1465" s="1158"/>
      <c r="E1465" s="436">
        <v>1</v>
      </c>
      <c r="F1465" s="178" t="s">
        <v>129</v>
      </c>
      <c r="G1465" s="602"/>
      <c r="H1465" s="415">
        <v>55.6</v>
      </c>
      <c r="I1465" s="1159"/>
      <c r="J1465" s="415">
        <v>100156.82210708119</v>
      </c>
      <c r="K1465" s="437">
        <v>576193.36</v>
      </c>
    </row>
    <row r="1466" spans="1:11" ht="12.75" customHeight="1" x14ac:dyDescent="0.2">
      <c r="A1466" s="349" t="s">
        <v>1113</v>
      </c>
      <c r="B1466" s="347" t="s">
        <v>295</v>
      </c>
      <c r="C1466" s="1157"/>
      <c r="D1466" s="1158"/>
      <c r="E1466" s="436">
        <v>2</v>
      </c>
      <c r="F1466" s="178" t="s">
        <v>130</v>
      </c>
      <c r="G1466" s="602"/>
      <c r="H1466" s="415">
        <v>60.2</v>
      </c>
      <c r="I1466" s="1159"/>
      <c r="J1466" s="415">
        <v>108443.17789291883</v>
      </c>
      <c r="K1466" s="437">
        <v>623864.04</v>
      </c>
    </row>
    <row r="1467" spans="1:11" x14ac:dyDescent="0.2">
      <c r="A1467" s="419" t="s">
        <v>10299</v>
      </c>
      <c r="B1467" s="347"/>
      <c r="C1467" s="1147" t="s">
        <v>11321</v>
      </c>
      <c r="D1467" s="1150">
        <v>5</v>
      </c>
      <c r="E1467" s="436"/>
      <c r="F1467" s="178"/>
      <c r="G1467" s="602"/>
      <c r="H1467" s="415">
        <f>1675-1675</f>
        <v>0</v>
      </c>
      <c r="I1467" s="1145">
        <v>1992</v>
      </c>
      <c r="J1467" s="415">
        <f>293200-293200</f>
        <v>0</v>
      </c>
      <c r="K1467" s="437"/>
    </row>
    <row r="1468" spans="1:11" ht="39" customHeight="1" x14ac:dyDescent="0.2">
      <c r="A1468" s="349" t="s">
        <v>10300</v>
      </c>
      <c r="B1468" s="865" t="s">
        <v>14329</v>
      </c>
      <c r="C1468" s="1149"/>
      <c r="D1468" s="1152"/>
      <c r="E1468" s="421">
        <v>32</v>
      </c>
      <c r="F1468" s="465" t="s">
        <v>10301</v>
      </c>
      <c r="G1468" s="465" t="s">
        <v>507</v>
      </c>
      <c r="H1468" s="473">
        <v>32.1</v>
      </c>
      <c r="I1468" s="1146"/>
      <c r="J1468" s="415">
        <v>779977.11</v>
      </c>
      <c r="K1468" s="437">
        <v>696648.81</v>
      </c>
    </row>
    <row r="1469" spans="1:11" x14ac:dyDescent="0.2">
      <c r="A1469" s="348" t="s">
        <v>1114</v>
      </c>
      <c r="B1469" s="347"/>
      <c r="C1469" s="1157" t="s">
        <v>11322</v>
      </c>
      <c r="D1469" s="1158">
        <v>24</v>
      </c>
      <c r="E1469" s="425"/>
      <c r="F1469" s="541"/>
      <c r="G1469" s="602"/>
      <c r="H1469" s="474">
        <f>107.2-107.2</f>
        <v>0</v>
      </c>
      <c r="I1469" s="1159">
        <v>1934</v>
      </c>
      <c r="J1469" s="415">
        <f>300900-300900</f>
        <v>0</v>
      </c>
      <c r="K1469" s="437"/>
    </row>
    <row r="1470" spans="1:11" ht="12.75" customHeight="1" x14ac:dyDescent="0.2">
      <c r="A1470" s="349" t="s">
        <v>1115</v>
      </c>
      <c r="B1470" s="347" t="s">
        <v>295</v>
      </c>
      <c r="C1470" s="1157"/>
      <c r="D1470" s="1158"/>
      <c r="E1470" s="421">
        <v>1</v>
      </c>
      <c r="F1470" s="465" t="s">
        <v>131</v>
      </c>
      <c r="G1470" s="465"/>
      <c r="H1470" s="473">
        <v>40.299999999999997</v>
      </c>
      <c r="I1470" s="1159"/>
      <c r="J1470" s="415">
        <v>113118.19029850746</v>
      </c>
      <c r="K1470" s="437">
        <v>470308.66</v>
      </c>
    </row>
    <row r="1471" spans="1:11" ht="18.75" customHeight="1" x14ac:dyDescent="0.2">
      <c r="A1471" s="349" t="s">
        <v>1116</v>
      </c>
      <c r="B1471" s="347" t="s">
        <v>295</v>
      </c>
      <c r="C1471" s="1157"/>
      <c r="D1471" s="1158"/>
      <c r="E1471" s="421">
        <v>2</v>
      </c>
      <c r="F1471" s="465" t="s">
        <v>132</v>
      </c>
      <c r="G1471" s="465"/>
      <c r="H1471" s="473">
        <v>26.8</v>
      </c>
      <c r="I1471" s="1159"/>
      <c r="J1471" s="415">
        <v>75225</v>
      </c>
      <c r="K1471" s="437">
        <v>321743.65000000002</v>
      </c>
    </row>
    <row r="1472" spans="1:11" ht="12.75" customHeight="1" x14ac:dyDescent="0.2">
      <c r="A1472" s="349" t="s">
        <v>1117</v>
      </c>
      <c r="B1472" s="347" t="s">
        <v>295</v>
      </c>
      <c r="C1472" s="1157"/>
      <c r="D1472" s="1158"/>
      <c r="E1472" s="421">
        <v>3</v>
      </c>
      <c r="F1472" s="465" t="s">
        <v>133</v>
      </c>
      <c r="G1472" s="465"/>
      <c r="H1472" s="473">
        <v>40.1</v>
      </c>
      <c r="I1472" s="1159"/>
      <c r="J1472" s="415">
        <v>112556.80970149254</v>
      </c>
      <c r="K1472" s="437">
        <v>467974.62</v>
      </c>
    </row>
    <row r="1473" spans="1:11" ht="14.25" customHeight="1" x14ac:dyDescent="0.2">
      <c r="A1473" s="348" t="s">
        <v>1118</v>
      </c>
      <c r="B1473" s="347"/>
      <c r="C1473" s="1157" t="s">
        <v>11323</v>
      </c>
      <c r="D1473" s="1147" t="s">
        <v>10031</v>
      </c>
      <c r="E1473" s="425"/>
      <c r="F1473" s="178"/>
      <c r="G1473" s="602"/>
      <c r="H1473" s="474">
        <f>1448.1-1448.1</f>
        <v>0</v>
      </c>
      <c r="I1473" s="1159">
        <v>1997</v>
      </c>
      <c r="J1473" s="415">
        <f>3177500-3177500</f>
        <v>0</v>
      </c>
      <c r="K1473" s="437"/>
    </row>
    <row r="1474" spans="1:11" ht="25.5" customHeight="1" x14ac:dyDescent="0.2">
      <c r="A1474" s="349" t="s">
        <v>1119</v>
      </c>
      <c r="B1474" s="347" t="s">
        <v>295</v>
      </c>
      <c r="C1474" s="1157"/>
      <c r="D1474" s="1149"/>
      <c r="E1474" s="425">
        <v>3</v>
      </c>
      <c r="F1474" s="178"/>
      <c r="G1474" s="602"/>
      <c r="H1474" s="473">
        <v>37</v>
      </c>
      <c r="I1474" s="1159"/>
      <c r="J1474" s="415">
        <v>81187.417995994765</v>
      </c>
      <c r="K1474" s="437"/>
    </row>
    <row r="1475" spans="1:11" x14ac:dyDescent="0.2">
      <c r="A1475" s="348" t="s">
        <v>1120</v>
      </c>
      <c r="B1475" s="347"/>
      <c r="C1475" s="1157" t="s">
        <v>11324</v>
      </c>
      <c r="D1475" s="1158">
        <v>16</v>
      </c>
      <c r="E1475" s="425"/>
      <c r="F1475" s="178"/>
      <c r="G1475" s="602"/>
      <c r="H1475" s="474">
        <f>755.6-755.6</f>
        <v>0</v>
      </c>
      <c r="I1475" s="1159">
        <v>1979</v>
      </c>
      <c r="J1475" s="415">
        <f>1884700-1884700</f>
        <v>0</v>
      </c>
      <c r="K1475" s="437"/>
    </row>
    <row r="1476" spans="1:11" ht="24" customHeight="1" x14ac:dyDescent="0.2">
      <c r="A1476" s="349" t="s">
        <v>1121</v>
      </c>
      <c r="B1476" s="347" t="s">
        <v>295</v>
      </c>
      <c r="C1476" s="1157"/>
      <c r="D1476" s="1158"/>
      <c r="E1476" s="421">
        <v>15</v>
      </c>
      <c r="F1476" s="465" t="s">
        <v>14628</v>
      </c>
      <c r="G1476" s="465"/>
      <c r="H1476" s="473">
        <v>49</v>
      </c>
      <c r="I1476" s="1159"/>
      <c r="J1476" s="415">
        <v>122221.14875595554</v>
      </c>
      <c r="K1476" s="437"/>
    </row>
    <row r="1477" spans="1:11" x14ac:dyDescent="0.2">
      <c r="A1477" s="348" t="s">
        <v>1122</v>
      </c>
      <c r="B1477" s="347"/>
      <c r="C1477" s="1157" t="s">
        <v>11325</v>
      </c>
      <c r="D1477" s="1158">
        <v>17</v>
      </c>
      <c r="E1477" s="425"/>
      <c r="F1477" s="178"/>
      <c r="G1477" s="602"/>
      <c r="H1477" s="474">
        <f>1125.6-1125.6</f>
        <v>0</v>
      </c>
      <c r="I1477" s="1159">
        <v>1980</v>
      </c>
      <c r="J1477" s="415">
        <f>2022800-2022800</f>
        <v>0</v>
      </c>
      <c r="K1477" s="437"/>
    </row>
    <row r="1478" spans="1:11" ht="25.5" customHeight="1" x14ac:dyDescent="0.2">
      <c r="A1478" s="349" t="s">
        <v>1123</v>
      </c>
      <c r="B1478" s="347" t="s">
        <v>295</v>
      </c>
      <c r="C1478" s="1157"/>
      <c r="D1478" s="1158"/>
      <c r="E1478" s="421">
        <v>1</v>
      </c>
      <c r="F1478" s="465" t="s">
        <v>14627</v>
      </c>
      <c r="G1478" s="465"/>
      <c r="H1478" s="473">
        <v>57.2</v>
      </c>
      <c r="I1478" s="1159"/>
      <c r="J1478" s="415">
        <v>102793.31911869226</v>
      </c>
      <c r="K1478" s="437"/>
    </row>
    <row r="1479" spans="1:11" x14ac:dyDescent="0.2">
      <c r="A1479" s="348" t="s">
        <v>1124</v>
      </c>
      <c r="B1479" s="347"/>
      <c r="C1479" s="1157" t="s">
        <v>11326</v>
      </c>
      <c r="D1479" s="1158">
        <v>6</v>
      </c>
      <c r="E1479" s="425"/>
      <c r="F1479" s="178"/>
      <c r="G1479" s="602"/>
      <c r="H1479" s="474">
        <f>400.4-400.4</f>
        <v>0</v>
      </c>
      <c r="I1479" s="1159">
        <v>1992</v>
      </c>
      <c r="J1479" s="415">
        <f>1193100-1193100</f>
        <v>0</v>
      </c>
      <c r="K1479" s="437"/>
    </row>
    <row r="1480" spans="1:11" ht="24" customHeight="1" x14ac:dyDescent="0.2">
      <c r="A1480" s="349" t="s">
        <v>3085</v>
      </c>
      <c r="B1480" s="347" t="s">
        <v>295</v>
      </c>
      <c r="C1480" s="1157"/>
      <c r="D1480" s="1158"/>
      <c r="E1480" s="425">
        <v>8</v>
      </c>
      <c r="F1480" s="1014" t="s">
        <v>14626</v>
      </c>
      <c r="G1480" s="602"/>
      <c r="H1480" s="474">
        <f>400.4-356.1</f>
        <v>44.299999999999955</v>
      </c>
      <c r="I1480" s="1159"/>
      <c r="J1480" s="415">
        <f>1193100/400.4*44.3</f>
        <v>132003.82117882118</v>
      </c>
      <c r="K1480" s="437"/>
    </row>
    <row r="1481" spans="1:11" x14ac:dyDescent="0.2">
      <c r="A1481" s="348" t="s">
        <v>1125</v>
      </c>
      <c r="B1481" s="347"/>
      <c r="C1481" s="1157" t="s">
        <v>11327</v>
      </c>
      <c r="D1481" s="1158">
        <v>7</v>
      </c>
      <c r="E1481" s="425"/>
      <c r="F1481" s="541"/>
      <c r="G1481" s="602"/>
      <c r="H1481" s="474">
        <f>417.4-417.4</f>
        <v>0</v>
      </c>
      <c r="I1481" s="1159">
        <v>1992</v>
      </c>
      <c r="J1481" s="415">
        <f>2103600-2103600</f>
        <v>0</v>
      </c>
      <c r="K1481" s="437"/>
    </row>
    <row r="1482" spans="1:11" ht="12.75" customHeight="1" x14ac:dyDescent="0.2">
      <c r="A1482" s="349" t="s">
        <v>1701</v>
      </c>
      <c r="B1482" s="347" t="s">
        <v>295</v>
      </c>
      <c r="C1482" s="1157"/>
      <c r="D1482" s="1158"/>
      <c r="E1482" s="421">
        <v>1</v>
      </c>
      <c r="F1482" s="465" t="s">
        <v>14248</v>
      </c>
      <c r="G1482" s="465" t="s">
        <v>137</v>
      </c>
      <c r="H1482" s="473">
        <v>43.9</v>
      </c>
      <c r="I1482" s="1159"/>
      <c r="J1482" s="415">
        <v>221245.90321034979</v>
      </c>
      <c r="K1482" s="437">
        <v>663753.79</v>
      </c>
    </row>
    <row r="1483" spans="1:11" x14ac:dyDescent="0.2">
      <c r="A1483" s="349" t="s">
        <v>1702</v>
      </c>
      <c r="B1483" s="347" t="s">
        <v>295</v>
      </c>
      <c r="C1483" s="1157"/>
      <c r="D1483" s="1158"/>
      <c r="E1483" s="421">
        <v>2</v>
      </c>
      <c r="F1483" s="465" t="s">
        <v>14249</v>
      </c>
      <c r="G1483" s="465" t="s">
        <v>137</v>
      </c>
      <c r="H1483" s="473">
        <v>46.1</v>
      </c>
      <c r="I1483" s="1159"/>
      <c r="J1483" s="415">
        <v>232333.39722089123</v>
      </c>
      <c r="K1483" s="437">
        <v>676057.42</v>
      </c>
    </row>
    <row r="1484" spans="1:11" ht="12.75" customHeight="1" x14ac:dyDescent="0.2">
      <c r="A1484" s="349" t="s">
        <v>1703</v>
      </c>
      <c r="B1484" s="347" t="s">
        <v>295</v>
      </c>
      <c r="C1484" s="1157"/>
      <c r="D1484" s="1158"/>
      <c r="E1484" s="421">
        <v>8</v>
      </c>
      <c r="F1484" s="465" t="s">
        <v>14250</v>
      </c>
      <c r="G1484" s="465" t="s">
        <v>512</v>
      </c>
      <c r="H1484" s="473">
        <v>43.9</v>
      </c>
      <c r="I1484" s="1159"/>
      <c r="J1484" s="415">
        <v>221245.90321034979</v>
      </c>
      <c r="K1484" s="437">
        <v>663753.79</v>
      </c>
    </row>
    <row r="1485" spans="1:11" ht="12.75" customHeight="1" x14ac:dyDescent="0.2">
      <c r="A1485" s="348" t="s">
        <v>1126</v>
      </c>
      <c r="B1485" s="347"/>
      <c r="C1485" s="1147" t="s">
        <v>11328</v>
      </c>
      <c r="D1485" s="1150">
        <v>40</v>
      </c>
      <c r="E1485" s="425"/>
      <c r="F1485" s="541"/>
      <c r="G1485" s="602"/>
      <c r="H1485" s="474">
        <f>781-781</f>
        <v>0</v>
      </c>
      <c r="I1485" s="1145">
        <v>1945</v>
      </c>
      <c r="J1485" s="415">
        <f>386900-386900</f>
        <v>0</v>
      </c>
      <c r="K1485" s="437"/>
    </row>
    <row r="1486" spans="1:11" x14ac:dyDescent="0.2">
      <c r="A1486" s="349" t="s">
        <v>1704</v>
      </c>
      <c r="B1486" s="347" t="s">
        <v>295</v>
      </c>
      <c r="C1486" s="1148"/>
      <c r="D1486" s="1151"/>
      <c r="E1486" s="421">
        <v>6</v>
      </c>
      <c r="F1486" s="465"/>
      <c r="G1486" s="465"/>
      <c r="H1486" s="473">
        <v>58.5</v>
      </c>
      <c r="I1486" s="1153"/>
      <c r="J1486" s="415">
        <v>28980.345710627404</v>
      </c>
      <c r="K1486" s="437"/>
    </row>
    <row r="1487" spans="1:11" ht="12.75" customHeight="1" x14ac:dyDescent="0.2">
      <c r="A1487" s="349" t="s">
        <v>1705</v>
      </c>
      <c r="B1487" s="347" t="s">
        <v>295</v>
      </c>
      <c r="C1487" s="1149"/>
      <c r="D1487" s="1152"/>
      <c r="E1487" s="421">
        <v>12</v>
      </c>
      <c r="F1487" s="465"/>
      <c r="G1487" s="465"/>
      <c r="H1487" s="473">
        <v>45</v>
      </c>
      <c r="I1487" s="1146"/>
      <c r="J1487" s="415">
        <v>22292.57362355954</v>
      </c>
      <c r="K1487" s="437"/>
    </row>
    <row r="1488" spans="1:11" ht="22.5" customHeight="1" x14ac:dyDescent="0.2">
      <c r="A1488" s="348" t="s">
        <v>1127</v>
      </c>
      <c r="B1488" s="347"/>
      <c r="C1488" s="1147" t="s">
        <v>11329</v>
      </c>
      <c r="D1488" s="1150">
        <v>2</v>
      </c>
      <c r="E1488" s="425"/>
      <c r="F1488" s="541"/>
      <c r="G1488" s="602"/>
      <c r="H1488" s="474">
        <f>4359-4359</f>
        <v>0</v>
      </c>
      <c r="I1488" s="1145">
        <v>1976</v>
      </c>
      <c r="J1488" s="415">
        <f>1732500-1732500</f>
        <v>0</v>
      </c>
      <c r="K1488" s="437"/>
    </row>
    <row r="1489" spans="1:11" ht="23.25" customHeight="1" x14ac:dyDescent="0.2">
      <c r="A1489" s="349" t="s">
        <v>1706</v>
      </c>
      <c r="B1489" s="347" t="s">
        <v>295</v>
      </c>
      <c r="C1489" s="1149"/>
      <c r="D1489" s="1152"/>
      <c r="E1489" s="421">
        <v>46</v>
      </c>
      <c r="F1489" s="465" t="s">
        <v>136</v>
      </c>
      <c r="G1489" s="465"/>
      <c r="H1489" s="473">
        <v>42.1</v>
      </c>
      <c r="I1489" s="1146"/>
      <c r="J1489" s="415">
        <v>16732.794218857533</v>
      </c>
      <c r="K1489" s="437">
        <v>809808.67</v>
      </c>
    </row>
    <row r="1490" spans="1:11" ht="12.75" customHeight="1" x14ac:dyDescent="0.2">
      <c r="A1490" s="348" t="s">
        <v>1128</v>
      </c>
      <c r="B1490" s="347"/>
      <c r="C1490" s="1147" t="s">
        <v>11330</v>
      </c>
      <c r="D1490" s="1150">
        <v>7</v>
      </c>
      <c r="E1490" s="425"/>
      <c r="F1490" s="541"/>
      <c r="G1490" s="602" t="s">
        <v>262</v>
      </c>
      <c r="H1490" s="474">
        <f>2303-2303</f>
        <v>0</v>
      </c>
      <c r="I1490" s="1145">
        <v>1989</v>
      </c>
      <c r="J1490" s="415">
        <f>1748700-1748700</f>
        <v>0</v>
      </c>
      <c r="K1490" s="437"/>
    </row>
    <row r="1491" spans="1:11" ht="28.5" customHeight="1" x14ac:dyDescent="0.2">
      <c r="A1491" s="347" t="s">
        <v>3014</v>
      </c>
      <c r="B1491" s="347" t="s">
        <v>295</v>
      </c>
      <c r="C1491" s="1149"/>
      <c r="D1491" s="1152"/>
      <c r="E1491" s="425">
        <v>27</v>
      </c>
      <c r="F1491" s="541" t="s">
        <v>10032</v>
      </c>
      <c r="G1491" s="602" t="s">
        <v>128</v>
      </c>
      <c r="H1491" s="474">
        <f>51</f>
        <v>51</v>
      </c>
      <c r="I1491" s="1146"/>
      <c r="J1491" s="415">
        <v>1000000</v>
      </c>
      <c r="K1491" s="437">
        <v>1025983.32</v>
      </c>
    </row>
    <row r="1492" spans="1:11" ht="51" x14ac:dyDescent="0.2">
      <c r="A1492" s="348" t="s">
        <v>1129</v>
      </c>
      <c r="B1492" s="347" t="s">
        <v>307</v>
      </c>
      <c r="C1492" s="405" t="s">
        <v>11331</v>
      </c>
      <c r="D1492" s="537">
        <v>32</v>
      </c>
      <c r="E1492" s="425"/>
      <c r="F1492" s="541"/>
      <c r="G1492" s="602"/>
      <c r="H1492" s="474">
        <v>424.8</v>
      </c>
      <c r="I1492" s="536">
        <v>1989</v>
      </c>
      <c r="J1492" s="415">
        <f>2219.1*1000</f>
        <v>2219100</v>
      </c>
      <c r="K1492" s="437"/>
    </row>
    <row r="1493" spans="1:11" x14ac:dyDescent="0.2">
      <c r="A1493" s="348" t="s">
        <v>1130</v>
      </c>
      <c r="B1493" s="347"/>
      <c r="C1493" s="1157" t="s">
        <v>11332</v>
      </c>
      <c r="D1493" s="1158">
        <v>7</v>
      </c>
      <c r="E1493" s="425"/>
      <c r="F1493" s="353"/>
      <c r="G1493" s="599"/>
      <c r="H1493" s="539">
        <f>169.5-169.5</f>
        <v>0</v>
      </c>
      <c r="I1493" s="1145">
        <v>1949</v>
      </c>
      <c r="J1493" s="415">
        <f>283600-283600</f>
        <v>0</v>
      </c>
      <c r="K1493" s="437"/>
    </row>
    <row r="1494" spans="1:11" ht="12.75" customHeight="1" x14ac:dyDescent="0.2">
      <c r="A1494" s="349" t="s">
        <v>1707</v>
      </c>
      <c r="B1494" s="347" t="s">
        <v>295</v>
      </c>
      <c r="C1494" s="1157"/>
      <c r="D1494" s="1158"/>
      <c r="E1494" s="421">
        <v>1</v>
      </c>
      <c r="F1494" s="374" t="s">
        <v>11333</v>
      </c>
      <c r="G1494" s="465" t="s">
        <v>137</v>
      </c>
      <c r="H1494" s="473">
        <v>41.7</v>
      </c>
      <c r="I1494" s="1232"/>
      <c r="J1494" s="415">
        <v>69770.619469026555</v>
      </c>
      <c r="K1494" s="437">
        <v>486646.92</v>
      </c>
    </row>
    <row r="1495" spans="1:11" x14ac:dyDescent="0.2">
      <c r="A1495" s="349" t="s">
        <v>1708</v>
      </c>
      <c r="B1495" s="347" t="s">
        <v>295</v>
      </c>
      <c r="C1495" s="1157"/>
      <c r="D1495" s="1158"/>
      <c r="E1495" s="421">
        <v>2</v>
      </c>
      <c r="F1495" s="374" t="s">
        <v>10302</v>
      </c>
      <c r="G1495" s="465" t="s">
        <v>137</v>
      </c>
      <c r="H1495" s="473">
        <v>54.8</v>
      </c>
      <c r="I1495" s="1232"/>
      <c r="J1495" s="415">
        <v>91688.967551622423</v>
      </c>
      <c r="K1495" s="437">
        <v>625567.21</v>
      </c>
    </row>
    <row r="1496" spans="1:11" x14ac:dyDescent="0.2">
      <c r="A1496" s="349" t="s">
        <v>1709</v>
      </c>
      <c r="B1496" s="347" t="s">
        <v>295</v>
      </c>
      <c r="C1496" s="1157"/>
      <c r="D1496" s="1158"/>
      <c r="E1496" s="421">
        <v>3</v>
      </c>
      <c r="F1496" s="374" t="s">
        <v>10303</v>
      </c>
      <c r="G1496" s="465" t="s">
        <v>137</v>
      </c>
      <c r="H1496" s="473">
        <v>31</v>
      </c>
      <c r="I1496" s="1233"/>
      <c r="J1496" s="415">
        <v>51867.84660766962</v>
      </c>
      <c r="K1496" s="437">
        <v>372166.16</v>
      </c>
    </row>
    <row r="1497" spans="1:11" x14ac:dyDescent="0.2">
      <c r="A1497" s="348" t="s">
        <v>1131</v>
      </c>
      <c r="B1497" s="347"/>
      <c r="C1497" s="1157" t="s">
        <v>11334</v>
      </c>
      <c r="D1497" s="1158">
        <v>8</v>
      </c>
      <c r="E1497" s="425"/>
      <c r="F1497" s="465"/>
      <c r="G1497" s="602"/>
      <c r="H1497" s="467">
        <f>173.3-173.3</f>
        <v>0</v>
      </c>
      <c r="I1497" s="1159">
        <v>1949</v>
      </c>
      <c r="J1497" s="415">
        <f>283600-283600</f>
        <v>0</v>
      </c>
      <c r="K1497" s="437"/>
    </row>
    <row r="1498" spans="1:11" x14ac:dyDescent="0.2">
      <c r="A1498" s="349" t="s">
        <v>1710</v>
      </c>
      <c r="B1498" s="347" t="s">
        <v>295</v>
      </c>
      <c r="C1498" s="1157"/>
      <c r="D1498" s="1158"/>
      <c r="E1498" s="421">
        <v>1</v>
      </c>
      <c r="F1498" s="465"/>
      <c r="G1498" s="465"/>
      <c r="H1498" s="466">
        <v>44.1</v>
      </c>
      <c r="I1498" s="1159"/>
      <c r="J1498" s="415">
        <v>72168.263127524522</v>
      </c>
      <c r="K1498" s="437"/>
    </row>
    <row r="1499" spans="1:11" ht="12.75" customHeight="1" x14ac:dyDescent="0.2">
      <c r="A1499" s="349" t="s">
        <v>1711</v>
      </c>
      <c r="B1499" s="347" t="s">
        <v>295</v>
      </c>
      <c r="C1499" s="1157"/>
      <c r="D1499" s="1158"/>
      <c r="E1499" s="421">
        <v>2</v>
      </c>
      <c r="F1499" s="465" t="s">
        <v>10304</v>
      </c>
      <c r="G1499" s="465" t="s">
        <v>137</v>
      </c>
      <c r="H1499" s="466">
        <v>43.9</v>
      </c>
      <c r="I1499" s="1159"/>
      <c r="J1499" s="415">
        <v>71840.969417195607</v>
      </c>
      <c r="K1499" s="437">
        <v>512321.34</v>
      </c>
    </row>
    <row r="1500" spans="1:11" x14ac:dyDescent="0.2">
      <c r="A1500" s="349" t="s">
        <v>1712</v>
      </c>
      <c r="B1500" s="347" t="s">
        <v>295</v>
      </c>
      <c r="C1500" s="1157"/>
      <c r="D1500" s="1158"/>
      <c r="E1500" s="421">
        <v>3</v>
      </c>
      <c r="F1500" s="465" t="s">
        <v>10305</v>
      </c>
      <c r="G1500" s="465" t="s">
        <v>137</v>
      </c>
      <c r="H1500" s="466">
        <v>41.95</v>
      </c>
      <c r="I1500" s="1159"/>
      <c r="J1500" s="415">
        <v>68649.855741488747</v>
      </c>
      <c r="K1500" s="437">
        <v>484312.89</v>
      </c>
    </row>
    <row r="1501" spans="1:11" x14ac:dyDescent="0.2">
      <c r="A1501" s="349" t="s">
        <v>1713</v>
      </c>
      <c r="B1501" s="347" t="s">
        <v>295</v>
      </c>
      <c r="C1501" s="1157"/>
      <c r="D1501" s="1158"/>
      <c r="E1501" s="421">
        <v>4</v>
      </c>
      <c r="F1501" s="465" t="s">
        <v>10306</v>
      </c>
      <c r="G1501" s="465" t="s">
        <v>137</v>
      </c>
      <c r="H1501" s="466">
        <v>43.35</v>
      </c>
      <c r="I1501" s="1159"/>
      <c r="J1501" s="415">
        <v>70940.911713791109</v>
      </c>
      <c r="K1501" s="437">
        <v>511154.32</v>
      </c>
    </row>
    <row r="1502" spans="1:11" ht="12.75" customHeight="1" x14ac:dyDescent="0.2">
      <c r="A1502" s="349" t="s">
        <v>11335</v>
      </c>
      <c r="B1502" s="347" t="s">
        <v>295</v>
      </c>
      <c r="C1502" s="1157"/>
      <c r="D1502" s="1158"/>
      <c r="E1502" s="453">
        <v>3</v>
      </c>
      <c r="F1502" s="465"/>
      <c r="G1502" s="465"/>
      <c r="H1502" s="466">
        <v>31</v>
      </c>
      <c r="I1502" s="1159"/>
      <c r="J1502" s="415">
        <v>50730.525100980951</v>
      </c>
      <c r="K1502" s="437"/>
    </row>
    <row r="1503" spans="1:11" x14ac:dyDescent="0.2">
      <c r="A1503" s="349" t="s">
        <v>11336</v>
      </c>
      <c r="B1503" s="347" t="s">
        <v>295</v>
      </c>
      <c r="C1503" s="1157"/>
      <c r="D1503" s="1158"/>
      <c r="E1503" s="453">
        <v>4</v>
      </c>
      <c r="F1503" s="465"/>
      <c r="G1503" s="465"/>
      <c r="H1503" s="466">
        <v>30.7</v>
      </c>
      <c r="I1503" s="1159"/>
      <c r="J1503" s="415">
        <v>50239.584535487586</v>
      </c>
      <c r="K1503" s="437"/>
    </row>
    <row r="1504" spans="1:11" ht="12.75" customHeight="1" x14ac:dyDescent="0.2">
      <c r="A1504" s="349" t="s">
        <v>11337</v>
      </c>
      <c r="B1504" s="347" t="s">
        <v>295</v>
      </c>
      <c r="C1504" s="1157"/>
      <c r="D1504" s="1158"/>
      <c r="E1504" s="421">
        <v>5</v>
      </c>
      <c r="F1504" s="465"/>
      <c r="G1504" s="465"/>
      <c r="H1504" s="466">
        <v>31.1</v>
      </c>
      <c r="I1504" s="1159"/>
      <c r="J1504" s="415">
        <v>50894.171956145408</v>
      </c>
      <c r="K1504" s="437"/>
    </row>
    <row r="1505" spans="1:11" x14ac:dyDescent="0.2">
      <c r="A1505" s="349" t="s">
        <v>11338</v>
      </c>
      <c r="B1505" s="347" t="s">
        <v>295</v>
      </c>
      <c r="C1505" s="1157"/>
      <c r="D1505" s="1158"/>
      <c r="E1505" s="421">
        <v>6</v>
      </c>
      <c r="F1505" s="200"/>
      <c r="G1505" s="465"/>
      <c r="H1505" s="466">
        <v>30.9</v>
      </c>
      <c r="I1505" s="1159"/>
      <c r="J1505" s="415">
        <v>50566.878245816493</v>
      </c>
      <c r="K1505" s="437"/>
    </row>
    <row r="1506" spans="1:11" ht="12.75" customHeight="1" x14ac:dyDescent="0.2">
      <c r="A1506" s="351" t="s">
        <v>1714</v>
      </c>
      <c r="B1506" s="347"/>
      <c r="C1506" s="1147" t="s">
        <v>11339</v>
      </c>
      <c r="D1506" s="1150">
        <v>4</v>
      </c>
      <c r="E1506" s="425"/>
      <c r="F1506" s="541"/>
      <c r="G1506" s="602"/>
      <c r="H1506" s="474">
        <f>188.7-188.7</f>
        <v>0</v>
      </c>
      <c r="I1506" s="1159">
        <v>1950</v>
      </c>
      <c r="J1506" s="415">
        <f>309300-309300</f>
        <v>0</v>
      </c>
      <c r="K1506" s="437">
        <v>1621550.05</v>
      </c>
    </row>
    <row r="1507" spans="1:11" x14ac:dyDescent="0.2">
      <c r="A1507" s="347" t="s">
        <v>3017</v>
      </c>
      <c r="B1507" s="347" t="s">
        <v>295</v>
      </c>
      <c r="C1507" s="1148"/>
      <c r="D1507" s="1151"/>
      <c r="E1507" s="425">
        <v>1</v>
      </c>
      <c r="F1507" s="541" t="s">
        <v>3021</v>
      </c>
      <c r="G1507" s="602" t="s">
        <v>137</v>
      </c>
      <c r="H1507" s="474">
        <v>56.3</v>
      </c>
      <c r="I1507" s="1159"/>
      <c r="J1507" s="415">
        <f>309300/188.7*H1507</f>
        <v>92281.8759936407</v>
      </c>
      <c r="K1507" s="437">
        <v>592120.61</v>
      </c>
    </row>
    <row r="1508" spans="1:11" ht="12.75" customHeight="1" x14ac:dyDescent="0.2">
      <c r="A1508" s="347" t="s">
        <v>3018</v>
      </c>
      <c r="B1508" s="347" t="s">
        <v>295</v>
      </c>
      <c r="C1508" s="1148"/>
      <c r="D1508" s="1151"/>
      <c r="E1508" s="425">
        <v>2</v>
      </c>
      <c r="F1508" s="541" t="s">
        <v>3022</v>
      </c>
      <c r="G1508" s="602" t="s">
        <v>137</v>
      </c>
      <c r="H1508" s="474">
        <v>34.799999999999997</v>
      </c>
      <c r="I1508" s="1159"/>
      <c r="J1508" s="415">
        <f>309300/188.7*H1508</f>
        <v>57041.017488076308</v>
      </c>
      <c r="K1508" s="437">
        <v>384913.4</v>
      </c>
    </row>
    <row r="1509" spans="1:11" x14ac:dyDescent="0.2">
      <c r="A1509" s="347" t="s">
        <v>3019</v>
      </c>
      <c r="B1509" s="347" t="s">
        <v>295</v>
      </c>
      <c r="C1509" s="1148"/>
      <c r="D1509" s="1151"/>
      <c r="E1509" s="425">
        <v>3</v>
      </c>
      <c r="F1509" s="541" t="s">
        <v>3023</v>
      </c>
      <c r="G1509" s="602" t="s">
        <v>137</v>
      </c>
      <c r="H1509" s="474">
        <v>33.9</v>
      </c>
      <c r="I1509" s="1159"/>
      <c r="J1509" s="415">
        <f>309300/188.7*H1509</f>
        <v>55565.818759936403</v>
      </c>
      <c r="K1509" s="437">
        <v>374958.75</v>
      </c>
    </row>
    <row r="1510" spans="1:11" ht="12.75" customHeight="1" x14ac:dyDescent="0.2">
      <c r="A1510" s="347" t="s">
        <v>3020</v>
      </c>
      <c r="B1510" s="347" t="s">
        <v>295</v>
      </c>
      <c r="C1510" s="1149"/>
      <c r="D1510" s="1152"/>
      <c r="E1510" s="425">
        <v>4</v>
      </c>
      <c r="F1510" s="541" t="s">
        <v>10033</v>
      </c>
      <c r="G1510" s="602" t="s">
        <v>137</v>
      </c>
      <c r="H1510" s="474">
        <v>55.8</v>
      </c>
      <c r="I1510" s="1159"/>
      <c r="J1510" s="415">
        <f>309300/188.7*H1510</f>
        <v>91462.32114467409</v>
      </c>
      <c r="K1510" s="437">
        <v>586861.99</v>
      </c>
    </row>
    <row r="1511" spans="1:11" x14ac:dyDescent="0.2">
      <c r="A1511" s="351" t="s">
        <v>1715</v>
      </c>
      <c r="B1511" s="347"/>
      <c r="C1511" s="1147" t="s">
        <v>11340</v>
      </c>
      <c r="D1511" s="1150" t="s">
        <v>3016</v>
      </c>
      <c r="E1511" s="425"/>
      <c r="F1511" s="541"/>
      <c r="G1511" s="602"/>
      <c r="H1511" s="474">
        <f>385.3-385.3</f>
        <v>0</v>
      </c>
      <c r="I1511" s="1159">
        <v>1983</v>
      </c>
      <c r="J1511" s="415">
        <f>1426300-1426300</f>
        <v>0</v>
      </c>
      <c r="K1511" s="437">
        <v>4047757.59</v>
      </c>
    </row>
    <row r="1512" spans="1:11" ht="12.75" customHeight="1" x14ac:dyDescent="0.2">
      <c r="A1512" s="347" t="s">
        <v>3024</v>
      </c>
      <c r="B1512" s="347" t="s">
        <v>295</v>
      </c>
      <c r="C1512" s="1148"/>
      <c r="D1512" s="1151"/>
      <c r="E1512" s="425">
        <v>1</v>
      </c>
      <c r="F1512" s="541" t="s">
        <v>3032</v>
      </c>
      <c r="G1512" s="602"/>
      <c r="H1512" s="474">
        <v>46.8</v>
      </c>
      <c r="I1512" s="1159"/>
      <c r="J1512" s="415">
        <f t="shared" ref="J1512:J1519" si="8">1426300/385.3*H1512</f>
        <v>173243.81001816763</v>
      </c>
      <c r="K1512" s="437">
        <v>600371.46</v>
      </c>
    </row>
    <row r="1513" spans="1:11" x14ac:dyDescent="0.2">
      <c r="A1513" s="347" t="s">
        <v>3025</v>
      </c>
      <c r="B1513" s="347" t="s">
        <v>295</v>
      </c>
      <c r="C1513" s="1148"/>
      <c r="D1513" s="1151"/>
      <c r="E1513" s="425">
        <v>2</v>
      </c>
      <c r="F1513" s="541" t="s">
        <v>3033</v>
      </c>
      <c r="G1513" s="602"/>
      <c r="H1513" s="474">
        <v>56.1</v>
      </c>
      <c r="I1513" s="1159"/>
      <c r="J1513" s="415">
        <f t="shared" si="8"/>
        <v>207670.46457305996</v>
      </c>
      <c r="K1513" s="437">
        <v>703966.92</v>
      </c>
    </row>
    <row r="1514" spans="1:11" ht="38.25" customHeight="1" x14ac:dyDescent="0.2">
      <c r="A1514" s="347" t="s">
        <v>3026</v>
      </c>
      <c r="B1514" s="347" t="s">
        <v>295</v>
      </c>
      <c r="C1514" s="1148"/>
      <c r="D1514" s="1151"/>
      <c r="E1514" s="425">
        <v>3</v>
      </c>
      <c r="F1514" s="541" t="s">
        <v>3034</v>
      </c>
      <c r="G1514" s="602"/>
      <c r="H1514" s="474">
        <v>48.7</v>
      </c>
      <c r="I1514" s="1159"/>
      <c r="J1514" s="415">
        <f t="shared" si="8"/>
        <v>180277.21256164028</v>
      </c>
      <c r="K1514" s="437">
        <v>624745.52</v>
      </c>
    </row>
    <row r="1515" spans="1:11" x14ac:dyDescent="0.2">
      <c r="A1515" s="347" t="s">
        <v>3027</v>
      </c>
      <c r="B1515" s="347" t="s">
        <v>295</v>
      </c>
      <c r="C1515" s="1148"/>
      <c r="D1515" s="1151"/>
      <c r="E1515" s="425">
        <v>4</v>
      </c>
      <c r="F1515" s="541" t="s">
        <v>3035</v>
      </c>
      <c r="G1515" s="602"/>
      <c r="H1515" s="474">
        <v>40.299999999999997</v>
      </c>
      <c r="I1515" s="1159"/>
      <c r="J1515" s="415">
        <f t="shared" si="8"/>
        <v>149182.16973786658</v>
      </c>
      <c r="K1515" s="437">
        <v>516986.53</v>
      </c>
    </row>
    <row r="1516" spans="1:11" ht="12.75" customHeight="1" x14ac:dyDescent="0.2">
      <c r="A1516" s="347" t="s">
        <v>3028</v>
      </c>
      <c r="B1516" s="347" t="s">
        <v>295</v>
      </c>
      <c r="C1516" s="1148"/>
      <c r="D1516" s="1151"/>
      <c r="E1516" s="425">
        <v>5</v>
      </c>
      <c r="F1516" s="541" t="s">
        <v>3036</v>
      </c>
      <c r="G1516" s="602"/>
      <c r="H1516" s="474">
        <v>47.4</v>
      </c>
      <c r="I1516" s="1159"/>
      <c r="J1516" s="415">
        <f t="shared" si="8"/>
        <v>175464.88450558006</v>
      </c>
      <c r="K1516" s="437">
        <v>608068.53</v>
      </c>
    </row>
    <row r="1517" spans="1:11" x14ac:dyDescent="0.2">
      <c r="A1517" s="347" t="s">
        <v>3029</v>
      </c>
      <c r="B1517" s="347" t="s">
        <v>295</v>
      </c>
      <c r="C1517" s="1148"/>
      <c r="D1517" s="1151"/>
      <c r="E1517" s="425">
        <v>6</v>
      </c>
      <c r="F1517" s="541" t="s">
        <v>3037</v>
      </c>
      <c r="G1517" s="602"/>
      <c r="H1517" s="474">
        <v>56.1</v>
      </c>
      <c r="I1517" s="1159"/>
      <c r="J1517" s="415">
        <f t="shared" si="8"/>
        <v>207670.46457305996</v>
      </c>
      <c r="K1517" s="437">
        <v>703966.92</v>
      </c>
    </row>
    <row r="1518" spans="1:11" ht="12.75" customHeight="1" x14ac:dyDescent="0.2">
      <c r="A1518" s="347" t="s">
        <v>3030</v>
      </c>
      <c r="B1518" s="347" t="s">
        <v>295</v>
      </c>
      <c r="C1518" s="1148"/>
      <c r="D1518" s="1151"/>
      <c r="E1518" s="425">
        <v>7</v>
      </c>
      <c r="F1518" s="541" t="s">
        <v>3038</v>
      </c>
      <c r="G1518" s="602"/>
      <c r="H1518" s="474">
        <v>48.7</v>
      </c>
      <c r="I1518" s="1159"/>
      <c r="J1518" s="415">
        <f t="shared" si="8"/>
        <v>180277.21256164028</v>
      </c>
      <c r="K1518" s="437">
        <v>624745.52</v>
      </c>
    </row>
    <row r="1519" spans="1:11" x14ac:dyDescent="0.2">
      <c r="A1519" s="347" t="s">
        <v>3031</v>
      </c>
      <c r="B1519" s="347" t="s">
        <v>295</v>
      </c>
      <c r="C1519" s="1149"/>
      <c r="D1519" s="1152"/>
      <c r="E1519" s="425">
        <v>8</v>
      </c>
      <c r="F1519" s="541" t="s">
        <v>3039</v>
      </c>
      <c r="G1519" s="602"/>
      <c r="H1519" s="474">
        <v>41.2</v>
      </c>
      <c r="I1519" s="1159"/>
      <c r="J1519" s="415">
        <f t="shared" si="8"/>
        <v>152513.78146898519</v>
      </c>
      <c r="K1519" s="437">
        <v>528532.14</v>
      </c>
    </row>
    <row r="1520" spans="1:11" ht="38.25" x14ac:dyDescent="0.2">
      <c r="A1520" s="351" t="s">
        <v>5576</v>
      </c>
      <c r="B1520" s="347" t="s">
        <v>295</v>
      </c>
      <c r="C1520" s="920" t="s">
        <v>11341</v>
      </c>
      <c r="D1520" s="530">
        <v>18</v>
      </c>
      <c r="E1520" s="425">
        <v>2</v>
      </c>
      <c r="F1520" s="541"/>
      <c r="G1520" s="602" t="s">
        <v>4714</v>
      </c>
      <c r="H1520" s="474">
        <f>153.6-77</f>
        <v>76.599999999999994</v>
      </c>
      <c r="I1520" s="531">
        <v>1987</v>
      </c>
      <c r="J1520" s="415">
        <f>98400-49328.13</f>
        <v>49071.87</v>
      </c>
      <c r="K1520" s="437"/>
    </row>
    <row r="1521" spans="1:11" ht="35.25" customHeight="1" x14ac:dyDescent="0.2">
      <c r="A1521" s="351" t="s">
        <v>1716</v>
      </c>
      <c r="B1521" s="483"/>
      <c r="C1521" s="1157" t="s">
        <v>11342</v>
      </c>
      <c r="D1521" s="1158">
        <v>20</v>
      </c>
      <c r="E1521" s="425"/>
      <c r="F1521" s="541"/>
      <c r="G1521" s="602" t="s">
        <v>4714</v>
      </c>
      <c r="H1521" s="272"/>
      <c r="I1521" s="1159">
        <v>1987</v>
      </c>
      <c r="J1521" s="437"/>
      <c r="K1521" s="437"/>
    </row>
    <row r="1522" spans="1:11" ht="12.75" customHeight="1" x14ac:dyDescent="0.2">
      <c r="A1522" s="349" t="s">
        <v>1717</v>
      </c>
      <c r="B1522" s="483" t="s">
        <v>295</v>
      </c>
      <c r="C1522" s="1157"/>
      <c r="D1522" s="1158"/>
      <c r="E1522" s="425">
        <v>1</v>
      </c>
      <c r="F1522" s="541"/>
      <c r="G1522" s="602" t="s">
        <v>190</v>
      </c>
      <c r="H1522" s="474">
        <v>72.5</v>
      </c>
      <c r="I1522" s="1159"/>
      <c r="J1522" s="415">
        <v>48830</v>
      </c>
      <c r="K1522" s="437"/>
    </row>
    <row r="1523" spans="1:11" x14ac:dyDescent="0.2">
      <c r="A1523" s="349" t="s">
        <v>1720</v>
      </c>
      <c r="B1523" s="483" t="s">
        <v>295</v>
      </c>
      <c r="C1523" s="1157"/>
      <c r="D1523" s="1158"/>
      <c r="E1523" s="425">
        <v>2</v>
      </c>
      <c r="F1523" s="541"/>
      <c r="G1523" s="602" t="s">
        <v>190</v>
      </c>
      <c r="H1523" s="474">
        <v>73.599999999999994</v>
      </c>
      <c r="I1523" s="1159"/>
      <c r="J1523" s="415">
        <v>49570</v>
      </c>
      <c r="K1523" s="437"/>
    </row>
    <row r="1524" spans="1:11" ht="38.25" x14ac:dyDescent="0.2">
      <c r="A1524" s="348" t="s">
        <v>1132</v>
      </c>
      <c r="B1524" s="483" t="s">
        <v>307</v>
      </c>
      <c r="C1524" s="405" t="s">
        <v>11343</v>
      </c>
      <c r="D1524" s="537">
        <v>21</v>
      </c>
      <c r="E1524" s="425"/>
      <c r="F1524" s="541"/>
      <c r="G1524" s="602" t="s">
        <v>4714</v>
      </c>
      <c r="H1524" s="474">
        <f>151.5-36.7</f>
        <v>114.8</v>
      </c>
      <c r="I1524" s="536">
        <v>1987</v>
      </c>
      <c r="J1524" s="415">
        <f>98400-23836.83</f>
        <v>74563.17</v>
      </c>
      <c r="K1524" s="437"/>
    </row>
    <row r="1525" spans="1:11" ht="12.75" customHeight="1" x14ac:dyDescent="0.2">
      <c r="A1525" s="348" t="s">
        <v>1133</v>
      </c>
      <c r="B1525" s="483"/>
      <c r="C1525" s="1157" t="s">
        <v>11344</v>
      </c>
      <c r="D1525" s="1158">
        <v>23</v>
      </c>
      <c r="E1525" s="425"/>
      <c r="F1525" s="725"/>
      <c r="G1525" s="722" t="s">
        <v>4714</v>
      </c>
      <c r="H1525" s="474">
        <f>151.5-151.5</f>
        <v>0</v>
      </c>
      <c r="I1525" s="715">
        <v>1987</v>
      </c>
      <c r="J1525" s="415">
        <f>98400-98400</f>
        <v>0</v>
      </c>
      <c r="K1525" s="437"/>
    </row>
    <row r="1526" spans="1:11" ht="38.25" customHeight="1" x14ac:dyDescent="0.2">
      <c r="A1526" s="349" t="s">
        <v>1134</v>
      </c>
      <c r="B1526" s="483" t="s">
        <v>295</v>
      </c>
      <c r="C1526" s="1157"/>
      <c r="D1526" s="1158"/>
      <c r="E1526" s="425">
        <v>1</v>
      </c>
      <c r="F1526" s="725"/>
      <c r="G1526" s="722" t="s">
        <v>137</v>
      </c>
      <c r="H1526" s="474">
        <v>76.8</v>
      </c>
      <c r="I1526" s="715"/>
      <c r="J1526" s="415">
        <v>49881.980198019795</v>
      </c>
      <c r="K1526" s="437"/>
    </row>
    <row r="1527" spans="1:11" ht="25.5" customHeight="1" x14ac:dyDescent="0.2">
      <c r="A1527" s="419" t="s">
        <v>1135</v>
      </c>
      <c r="B1527" s="347"/>
      <c r="C1527" s="1147" t="s">
        <v>11345</v>
      </c>
      <c r="D1527" s="1150">
        <v>24</v>
      </c>
      <c r="E1527" s="425"/>
      <c r="F1527" s="42"/>
      <c r="G1527" s="722" t="s">
        <v>4714</v>
      </c>
      <c r="H1527" s="474">
        <f>174-174</f>
        <v>0</v>
      </c>
      <c r="I1527" s="1145">
        <v>1987</v>
      </c>
      <c r="J1527" s="415">
        <f>98400-98400</f>
        <v>0</v>
      </c>
      <c r="K1527" s="437"/>
    </row>
    <row r="1528" spans="1:11" x14ac:dyDescent="0.2">
      <c r="A1528" s="349" t="s">
        <v>9054</v>
      </c>
      <c r="B1528" s="347" t="s">
        <v>295</v>
      </c>
      <c r="C1528" s="1148"/>
      <c r="D1528" s="1151"/>
      <c r="E1528" s="425">
        <v>1</v>
      </c>
      <c r="F1528" s="42"/>
      <c r="G1528" s="722" t="s">
        <v>137</v>
      </c>
      <c r="H1528" s="474">
        <v>39</v>
      </c>
      <c r="I1528" s="1153"/>
      <c r="J1528" s="415">
        <f>98400/174*H1528</f>
        <v>22055.172413793105</v>
      </c>
      <c r="K1528" s="437"/>
    </row>
    <row r="1529" spans="1:11" x14ac:dyDescent="0.2">
      <c r="A1529" s="349" t="s">
        <v>11346</v>
      </c>
      <c r="B1529" s="347" t="s">
        <v>295</v>
      </c>
      <c r="C1529" s="1148"/>
      <c r="D1529" s="1151"/>
      <c r="E1529" s="425">
        <v>2</v>
      </c>
      <c r="F1529" s="42"/>
      <c r="G1529" s="722" t="s">
        <v>137</v>
      </c>
      <c r="H1529" s="474">
        <v>38.1</v>
      </c>
      <c r="I1529" s="1153"/>
      <c r="J1529" s="415">
        <f>98400/174*H1529</f>
        <v>21546.206896551725</v>
      </c>
      <c r="K1529" s="437"/>
    </row>
    <row r="1530" spans="1:11" ht="18.75" customHeight="1" x14ac:dyDescent="0.2">
      <c r="A1530" s="349" t="s">
        <v>9055</v>
      </c>
      <c r="B1530" s="347" t="s">
        <v>295</v>
      </c>
      <c r="C1530" s="1148"/>
      <c r="D1530" s="1151"/>
      <c r="E1530" s="425">
        <v>3</v>
      </c>
      <c r="F1530" s="42"/>
      <c r="G1530" s="722" t="s">
        <v>137</v>
      </c>
      <c r="H1530" s="474">
        <v>48.4</v>
      </c>
      <c r="I1530" s="1153"/>
      <c r="J1530" s="415">
        <f>98400/174*H1530</f>
        <v>27371.03448275862</v>
      </c>
      <c r="K1530" s="437"/>
    </row>
    <row r="1531" spans="1:11" ht="12.75" customHeight="1" x14ac:dyDescent="0.2">
      <c r="A1531" s="349" t="s">
        <v>9056</v>
      </c>
      <c r="B1531" s="347" t="s">
        <v>295</v>
      </c>
      <c r="C1531" s="1149"/>
      <c r="D1531" s="1152"/>
      <c r="E1531" s="425">
        <v>4</v>
      </c>
      <c r="F1531" s="42"/>
      <c r="G1531" s="722" t="s">
        <v>137</v>
      </c>
      <c r="H1531" s="474">
        <v>48.5</v>
      </c>
      <c r="I1531" s="1146"/>
      <c r="J1531" s="415">
        <f>98400/174*H1531</f>
        <v>27427.586206896551</v>
      </c>
      <c r="K1531" s="437"/>
    </row>
    <row r="1532" spans="1:11" ht="39" customHeight="1" x14ac:dyDescent="0.2">
      <c r="A1532" s="348" t="s">
        <v>1136</v>
      </c>
      <c r="B1532" s="483"/>
      <c r="C1532" s="1157" t="s">
        <v>11347</v>
      </c>
      <c r="D1532" s="1158">
        <v>25</v>
      </c>
      <c r="E1532" s="425"/>
      <c r="F1532" s="725"/>
      <c r="G1532" s="722" t="s">
        <v>4714</v>
      </c>
      <c r="H1532" s="474">
        <f>151.5-151.5</f>
        <v>0</v>
      </c>
      <c r="I1532" s="1159">
        <v>1987</v>
      </c>
      <c r="J1532" s="415">
        <v>0</v>
      </c>
      <c r="K1532" s="437"/>
    </row>
    <row r="1533" spans="1:11" x14ac:dyDescent="0.2">
      <c r="A1533" s="349" t="s">
        <v>1718</v>
      </c>
      <c r="B1533" s="483" t="s">
        <v>295</v>
      </c>
      <c r="C1533" s="1157"/>
      <c r="D1533" s="1158"/>
      <c r="E1533" s="425">
        <v>2</v>
      </c>
      <c r="F1533" s="725"/>
      <c r="G1533" s="722" t="s">
        <v>137</v>
      </c>
      <c r="H1533" s="474">
        <v>76.5</v>
      </c>
      <c r="I1533" s="1159"/>
      <c r="J1533" s="415">
        <v>48518</v>
      </c>
      <c r="K1533" s="437"/>
    </row>
    <row r="1534" spans="1:11" ht="38.25" x14ac:dyDescent="0.2">
      <c r="A1534" s="348" t="s">
        <v>1137</v>
      </c>
      <c r="B1534" s="347"/>
      <c r="C1534" s="1147" t="s">
        <v>11348</v>
      </c>
      <c r="D1534" s="1230">
        <v>26</v>
      </c>
      <c r="E1534" s="425"/>
      <c r="F1534" s="722"/>
      <c r="G1534" s="722" t="s">
        <v>4714</v>
      </c>
      <c r="H1534" s="474">
        <f>153.6-153.6</f>
        <v>0</v>
      </c>
      <c r="I1534" s="1145">
        <v>1987</v>
      </c>
      <c r="J1534" s="415">
        <f>98400-98400</f>
        <v>0</v>
      </c>
      <c r="K1534" s="484"/>
    </row>
    <row r="1535" spans="1:11" ht="12.75" customHeight="1" x14ac:dyDescent="0.2">
      <c r="A1535" s="347" t="s">
        <v>10921</v>
      </c>
      <c r="B1535" s="347" t="s">
        <v>295</v>
      </c>
      <c r="C1535" s="1149"/>
      <c r="D1535" s="1231"/>
      <c r="E1535" s="425">
        <v>2</v>
      </c>
      <c r="F1535" s="722" t="s">
        <v>10920</v>
      </c>
      <c r="G1535" s="722" t="s">
        <v>137</v>
      </c>
      <c r="H1535" s="474">
        <v>76.8</v>
      </c>
      <c r="I1535" s="1146"/>
      <c r="J1535" s="415">
        <v>49904.69</v>
      </c>
      <c r="K1535" s="484"/>
    </row>
    <row r="1536" spans="1:11" ht="41.25" customHeight="1" x14ac:dyDescent="0.2">
      <c r="A1536" s="419" t="s">
        <v>1138</v>
      </c>
      <c r="B1536" s="347" t="s">
        <v>307</v>
      </c>
      <c r="C1536" s="1147" t="s">
        <v>11349</v>
      </c>
      <c r="D1536" s="1150">
        <v>27</v>
      </c>
      <c r="E1536" s="425"/>
      <c r="F1536" s="42"/>
      <c r="G1536" s="722" t="s">
        <v>4714</v>
      </c>
      <c r="H1536" s="474">
        <f>174-174</f>
        <v>0</v>
      </c>
      <c r="I1536" s="1145">
        <v>1987</v>
      </c>
      <c r="J1536" s="415">
        <f>98400-98400</f>
        <v>0</v>
      </c>
      <c r="K1536" s="437"/>
    </row>
    <row r="1537" spans="1:11" x14ac:dyDescent="0.2">
      <c r="A1537" s="349" t="s">
        <v>8221</v>
      </c>
      <c r="B1537" s="347" t="s">
        <v>295</v>
      </c>
      <c r="C1537" s="1148"/>
      <c r="D1537" s="1151"/>
      <c r="E1537" s="425">
        <v>2</v>
      </c>
      <c r="F1537" s="42"/>
      <c r="G1537" s="722" t="s">
        <v>137</v>
      </c>
      <c r="H1537" s="474">
        <v>38.1</v>
      </c>
      <c r="I1537" s="1153"/>
      <c r="J1537" s="415">
        <f>98400/174*H1537</f>
        <v>21546.206896551725</v>
      </c>
      <c r="K1537" s="437"/>
    </row>
    <row r="1538" spans="1:11" ht="38.25" x14ac:dyDescent="0.2">
      <c r="A1538" s="348" t="s">
        <v>1139</v>
      </c>
      <c r="B1538" s="347"/>
      <c r="C1538" s="1147" t="s">
        <v>11350</v>
      </c>
      <c r="D1538" s="1150">
        <v>28</v>
      </c>
      <c r="E1538" s="425"/>
      <c r="F1538" s="725"/>
      <c r="G1538" s="722" t="s">
        <v>4714</v>
      </c>
      <c r="H1538" s="474">
        <f>201.4-201.4</f>
        <v>0</v>
      </c>
      <c r="I1538" s="1145">
        <v>1987</v>
      </c>
      <c r="J1538" s="415">
        <f>98400-98400</f>
        <v>0</v>
      </c>
      <c r="K1538" s="437"/>
    </row>
    <row r="1539" spans="1:11" x14ac:dyDescent="0.2">
      <c r="A1539" s="349" t="s">
        <v>5409</v>
      </c>
      <c r="B1539" s="347" t="s">
        <v>295</v>
      </c>
      <c r="C1539" s="1148"/>
      <c r="D1539" s="1151"/>
      <c r="E1539" s="425">
        <v>1</v>
      </c>
      <c r="F1539" s="725"/>
      <c r="G1539" s="722" t="s">
        <v>2886</v>
      </c>
      <c r="H1539" s="474">
        <v>50</v>
      </c>
      <c r="I1539" s="1153"/>
      <c r="J1539" s="415">
        <f>98400/201.4*H1539</f>
        <v>24428.997020854022</v>
      </c>
      <c r="K1539" s="437"/>
    </row>
    <row r="1540" spans="1:11" x14ac:dyDescent="0.2">
      <c r="A1540" s="349" t="s">
        <v>5410</v>
      </c>
      <c r="B1540" s="347" t="s">
        <v>295</v>
      </c>
      <c r="C1540" s="1148"/>
      <c r="D1540" s="1151"/>
      <c r="E1540" s="425">
        <v>2</v>
      </c>
      <c r="F1540" s="725"/>
      <c r="G1540" s="722" t="s">
        <v>2886</v>
      </c>
      <c r="H1540" s="474">
        <v>50.7</v>
      </c>
      <c r="I1540" s="1153"/>
      <c r="J1540" s="415">
        <f>98400/201.4*H1540</f>
        <v>24771.002979145978</v>
      </c>
      <c r="K1540" s="437"/>
    </row>
    <row r="1541" spans="1:11" x14ac:dyDescent="0.2">
      <c r="A1541" s="349" t="s">
        <v>5411</v>
      </c>
      <c r="B1541" s="347" t="s">
        <v>295</v>
      </c>
      <c r="C1541" s="1148"/>
      <c r="D1541" s="1151"/>
      <c r="E1541" s="425">
        <v>3</v>
      </c>
      <c r="F1541" s="725"/>
      <c r="G1541" s="722" t="s">
        <v>2886</v>
      </c>
      <c r="H1541" s="474">
        <v>50.7</v>
      </c>
      <c r="I1541" s="1153"/>
      <c r="J1541" s="415">
        <f>98400/201.4*H1541</f>
        <v>24771.002979145978</v>
      </c>
      <c r="K1541" s="437"/>
    </row>
    <row r="1542" spans="1:11" ht="38.25" x14ac:dyDescent="0.2">
      <c r="A1542" s="348" t="s">
        <v>1140</v>
      </c>
      <c r="B1542" s="347"/>
      <c r="C1542" s="1147" t="s">
        <v>11351</v>
      </c>
      <c r="D1542" s="1150">
        <v>12</v>
      </c>
      <c r="E1542" s="425"/>
      <c r="F1542" s="725"/>
      <c r="G1542" s="722" t="s">
        <v>4714</v>
      </c>
      <c r="H1542" s="474">
        <f>78-78</f>
        <v>0</v>
      </c>
      <c r="I1542" s="1145">
        <v>1972</v>
      </c>
      <c r="J1542" s="415">
        <f>671900-671900</f>
        <v>0</v>
      </c>
      <c r="K1542" s="437"/>
    </row>
    <row r="1543" spans="1:11" x14ac:dyDescent="0.2">
      <c r="A1543" s="349" t="s">
        <v>9053</v>
      </c>
      <c r="B1543" s="347" t="s">
        <v>295</v>
      </c>
      <c r="C1543" s="1148"/>
      <c r="D1543" s="1151"/>
      <c r="E1543" s="425">
        <v>1</v>
      </c>
      <c r="F1543" s="725"/>
      <c r="G1543" s="722" t="s">
        <v>137</v>
      </c>
      <c r="H1543" s="474">
        <v>39</v>
      </c>
      <c r="I1543" s="1153"/>
      <c r="J1543" s="415">
        <f>671900/78*H1543</f>
        <v>335950</v>
      </c>
      <c r="K1543" s="437"/>
    </row>
    <row r="1544" spans="1:11" ht="51" x14ac:dyDescent="0.2">
      <c r="A1544" s="351" t="s">
        <v>1141</v>
      </c>
      <c r="B1544" s="347" t="s">
        <v>307</v>
      </c>
      <c r="C1544" s="405" t="s">
        <v>11352</v>
      </c>
      <c r="D1544" s="714">
        <v>4</v>
      </c>
      <c r="E1544" s="425"/>
      <c r="F1544" s="725"/>
      <c r="G1544" s="722"/>
      <c r="H1544" s="474">
        <v>73.400000000000006</v>
      </c>
      <c r="I1544" s="715">
        <v>1972</v>
      </c>
      <c r="J1544" s="415">
        <v>671900</v>
      </c>
      <c r="K1544" s="437"/>
    </row>
    <row r="1545" spans="1:11" ht="38.25" x14ac:dyDescent="0.2">
      <c r="A1545" s="351" t="s">
        <v>1142</v>
      </c>
      <c r="B1545" s="347" t="s">
        <v>9967</v>
      </c>
      <c r="C1545" s="405" t="s">
        <v>11353</v>
      </c>
      <c r="D1545" s="714">
        <v>1</v>
      </c>
      <c r="E1545" s="425"/>
      <c r="F1545" s="725"/>
      <c r="G1545" s="722"/>
      <c r="H1545" s="474">
        <v>76.2</v>
      </c>
      <c r="I1545" s="715">
        <v>1974</v>
      </c>
      <c r="J1545" s="415">
        <v>8500</v>
      </c>
      <c r="K1545" s="437"/>
    </row>
    <row r="1546" spans="1:11" ht="38.25" customHeight="1" x14ac:dyDescent="0.2">
      <c r="A1546" s="351" t="s">
        <v>1719</v>
      </c>
      <c r="B1546" s="347" t="s">
        <v>9967</v>
      </c>
      <c r="C1546" s="405" t="s">
        <v>11354</v>
      </c>
      <c r="D1546" s="714">
        <v>20</v>
      </c>
      <c r="E1546" s="425"/>
      <c r="F1546" s="178" t="s">
        <v>41</v>
      </c>
      <c r="G1546" s="722"/>
      <c r="H1546" s="467">
        <v>51.8</v>
      </c>
      <c r="I1546" s="715">
        <v>1950</v>
      </c>
      <c r="J1546" s="415">
        <v>22000</v>
      </c>
      <c r="K1546" s="437">
        <v>412696.3</v>
      </c>
    </row>
    <row r="1547" spans="1:11" ht="38.25" x14ac:dyDescent="0.2">
      <c r="A1547" s="348" t="s">
        <v>1143</v>
      </c>
      <c r="B1547" s="347" t="s">
        <v>9967</v>
      </c>
      <c r="C1547" s="405" t="s">
        <v>11355</v>
      </c>
      <c r="D1547" s="714">
        <v>4</v>
      </c>
      <c r="E1547" s="425"/>
      <c r="F1547" s="178" t="s">
        <v>187</v>
      </c>
      <c r="G1547" s="722"/>
      <c r="H1547" s="441">
        <v>31.4</v>
      </c>
      <c r="I1547" s="715">
        <v>1950</v>
      </c>
      <c r="J1547" s="415">
        <v>11300</v>
      </c>
      <c r="K1547" s="437">
        <v>250167.25</v>
      </c>
    </row>
    <row r="1548" spans="1:11" ht="39.75" customHeight="1" x14ac:dyDescent="0.2">
      <c r="A1548" s="348" t="s">
        <v>1144</v>
      </c>
      <c r="B1548" s="347" t="s">
        <v>295</v>
      </c>
      <c r="C1548" s="405" t="s">
        <v>11356</v>
      </c>
      <c r="D1548" s="714">
        <v>17</v>
      </c>
      <c r="E1548" s="425">
        <v>2</v>
      </c>
      <c r="F1548" s="178" t="s">
        <v>188</v>
      </c>
      <c r="G1548" s="722"/>
      <c r="H1548" s="441">
        <v>29</v>
      </c>
      <c r="I1548" s="715">
        <v>1936</v>
      </c>
      <c r="J1548" s="415">
        <f>19000/60.3*29</f>
        <v>9137.645107794362</v>
      </c>
      <c r="K1548" s="437">
        <v>320761.17</v>
      </c>
    </row>
    <row r="1549" spans="1:11" x14ac:dyDescent="0.2">
      <c r="A1549" s="419" t="s">
        <v>1145</v>
      </c>
      <c r="B1549" s="347"/>
      <c r="C1549" s="1147" t="s">
        <v>11357</v>
      </c>
      <c r="D1549" s="1150" t="s">
        <v>331</v>
      </c>
      <c r="E1549" s="436"/>
      <c r="F1549" s="38"/>
      <c r="G1549" s="722"/>
      <c r="H1549" s="415">
        <f>80.9-80.9</f>
        <v>0</v>
      </c>
      <c r="I1549" s="1145">
        <v>1976</v>
      </c>
      <c r="J1549" s="415">
        <f>36700-36700</f>
        <v>0</v>
      </c>
      <c r="K1549" s="437"/>
    </row>
    <row r="1550" spans="1:11" x14ac:dyDescent="0.2">
      <c r="A1550" s="349" t="s">
        <v>9012</v>
      </c>
      <c r="B1550" s="347" t="s">
        <v>295</v>
      </c>
      <c r="C1550" s="1148"/>
      <c r="D1550" s="1151"/>
      <c r="E1550" s="436">
        <v>1</v>
      </c>
      <c r="F1550" s="38"/>
      <c r="G1550" s="722"/>
      <c r="H1550" s="415">
        <v>40.5</v>
      </c>
      <c r="I1550" s="1153"/>
      <c r="J1550" s="415">
        <f>36700/80.9*H1550</f>
        <v>18372.68232385661</v>
      </c>
      <c r="K1550" s="437"/>
    </row>
    <row r="1551" spans="1:11" ht="12.75" customHeight="1" x14ac:dyDescent="0.2">
      <c r="A1551" s="349" t="s">
        <v>9013</v>
      </c>
      <c r="B1551" s="347" t="s">
        <v>295</v>
      </c>
      <c r="C1551" s="1149"/>
      <c r="D1551" s="1152"/>
      <c r="E1551" s="436">
        <v>2</v>
      </c>
      <c r="F1551" s="38"/>
      <c r="G1551" s="722"/>
      <c r="H1551" s="415">
        <v>40.4</v>
      </c>
      <c r="I1551" s="1146"/>
      <c r="J1551" s="415">
        <f>36700/80.9*H1551</f>
        <v>18327.317676143386</v>
      </c>
      <c r="K1551" s="437"/>
    </row>
    <row r="1552" spans="1:11" x14ac:dyDescent="0.2">
      <c r="A1552" s="348" t="s">
        <v>1146</v>
      </c>
      <c r="B1552" s="347"/>
      <c r="C1552" s="1157" t="s">
        <v>11358</v>
      </c>
      <c r="D1552" s="1158">
        <v>84</v>
      </c>
      <c r="E1552" s="436"/>
      <c r="F1552" s="178"/>
      <c r="G1552" s="722"/>
      <c r="H1552" s="441">
        <f>94.5-94.5</f>
        <v>0</v>
      </c>
      <c r="I1552" s="1159">
        <v>1962</v>
      </c>
      <c r="J1552" s="415">
        <f>40200-40200</f>
        <v>0</v>
      </c>
      <c r="K1552" s="437"/>
    </row>
    <row r="1553" spans="1:11" ht="25.5" customHeight="1" x14ac:dyDescent="0.2">
      <c r="A1553" s="349" t="s">
        <v>1721</v>
      </c>
      <c r="B1553" s="347" t="s">
        <v>295</v>
      </c>
      <c r="C1553" s="1157"/>
      <c r="D1553" s="1158"/>
      <c r="E1553" s="436">
        <v>2</v>
      </c>
      <c r="F1553" s="178" t="s">
        <v>42</v>
      </c>
      <c r="G1553" s="606"/>
      <c r="H1553" s="441">
        <v>23.1</v>
      </c>
      <c r="I1553" s="1159"/>
      <c r="J1553" s="415">
        <v>9826.6666666666679</v>
      </c>
      <c r="K1553" s="437">
        <v>255502.86</v>
      </c>
    </row>
    <row r="1554" spans="1:11" ht="38.25" x14ac:dyDescent="0.2">
      <c r="A1554" s="348" t="s">
        <v>1147</v>
      </c>
      <c r="B1554" s="347"/>
      <c r="C1554" s="1157" t="s">
        <v>11359</v>
      </c>
      <c r="D1554" s="1158">
        <v>23</v>
      </c>
      <c r="E1554" s="436"/>
      <c r="F1554" s="178" t="s">
        <v>43</v>
      </c>
      <c r="G1554" s="722" t="s">
        <v>4714</v>
      </c>
      <c r="H1554" s="441">
        <f>79.7-79.7</f>
        <v>0</v>
      </c>
      <c r="I1554" s="1159">
        <v>1975</v>
      </c>
      <c r="J1554" s="415">
        <f>30300-30300</f>
        <v>0</v>
      </c>
      <c r="K1554" s="437">
        <v>660603.81000000006</v>
      </c>
    </row>
    <row r="1555" spans="1:11" x14ac:dyDescent="0.2">
      <c r="A1555" s="349" t="s">
        <v>4729</v>
      </c>
      <c r="B1555" s="347" t="s">
        <v>295</v>
      </c>
      <c r="C1555" s="1157"/>
      <c r="D1555" s="1158"/>
      <c r="E1555" s="436">
        <v>2</v>
      </c>
      <c r="F1555" s="178" t="s">
        <v>4730</v>
      </c>
      <c r="G1555" s="722" t="s">
        <v>137</v>
      </c>
      <c r="H1555" s="441">
        <v>39.700000000000003</v>
      </c>
      <c r="I1555" s="1159"/>
      <c r="J1555" s="415">
        <f>30300/79.9*H1555</f>
        <v>15055.193992490615</v>
      </c>
      <c r="K1555" s="437">
        <v>426851.62</v>
      </c>
    </row>
    <row r="1556" spans="1:11" ht="38.25" x14ac:dyDescent="0.2">
      <c r="A1556" s="348" t="s">
        <v>1148</v>
      </c>
      <c r="B1556" s="347" t="s">
        <v>307</v>
      </c>
      <c r="C1556" s="405" t="s">
        <v>11360</v>
      </c>
      <c r="D1556" s="714">
        <v>3</v>
      </c>
      <c r="E1556" s="425"/>
      <c r="F1556" s="178"/>
      <c r="G1556" s="722"/>
      <c r="H1556" s="441">
        <v>92</v>
      </c>
      <c r="I1556" s="715">
        <v>1968</v>
      </c>
      <c r="J1556" s="415">
        <f>41.3*1000</f>
        <v>41300</v>
      </c>
      <c r="K1556" s="437"/>
    </row>
    <row r="1557" spans="1:11" ht="26.25" customHeight="1" x14ac:dyDescent="0.2">
      <c r="A1557" s="348" t="s">
        <v>1149</v>
      </c>
      <c r="B1557" s="347"/>
      <c r="C1557" s="1157" t="s">
        <v>11361</v>
      </c>
      <c r="D1557" s="1158">
        <v>4</v>
      </c>
      <c r="E1557" s="425"/>
      <c r="F1557" s="178" t="s">
        <v>10034</v>
      </c>
      <c r="G1557" s="722"/>
      <c r="H1557" s="441">
        <f>95.4-95.4</f>
        <v>0</v>
      </c>
      <c r="I1557" s="1159">
        <v>1959</v>
      </c>
      <c r="J1557" s="415">
        <f>46200-46200</f>
        <v>0</v>
      </c>
      <c r="K1557" s="437"/>
    </row>
    <row r="1558" spans="1:11" x14ac:dyDescent="0.2">
      <c r="A1558" s="349" t="s">
        <v>4731</v>
      </c>
      <c r="B1558" s="347" t="s">
        <v>295</v>
      </c>
      <c r="C1558" s="1157"/>
      <c r="D1558" s="1158"/>
      <c r="E1558" s="425">
        <v>2</v>
      </c>
      <c r="F1558" s="178" t="s">
        <v>4732</v>
      </c>
      <c r="G1558" s="722" t="s">
        <v>137</v>
      </c>
      <c r="H1558" s="441">
        <v>46.6</v>
      </c>
      <c r="I1558" s="1159"/>
      <c r="J1558" s="415">
        <f>46200/95.4*H1558</f>
        <v>22567.295597484277</v>
      </c>
      <c r="K1558" s="437">
        <v>482924.65</v>
      </c>
    </row>
    <row r="1559" spans="1:11" x14ac:dyDescent="0.2">
      <c r="A1559" s="348" t="s">
        <v>1150</v>
      </c>
      <c r="B1559" s="347"/>
      <c r="C1559" s="1147" t="s">
        <v>11362</v>
      </c>
      <c r="D1559" s="1150">
        <v>8</v>
      </c>
      <c r="E1559" s="425"/>
      <c r="F1559" s="178"/>
      <c r="G1559" s="722"/>
      <c r="H1559" s="415">
        <f>92.4-92.4</f>
        <v>0</v>
      </c>
      <c r="I1559" s="1145">
        <v>1976</v>
      </c>
      <c r="J1559" s="415">
        <f>36736-36736</f>
        <v>0</v>
      </c>
      <c r="K1559" s="437"/>
    </row>
    <row r="1560" spans="1:11" x14ac:dyDescent="0.2">
      <c r="A1560" s="349" t="s">
        <v>1722</v>
      </c>
      <c r="B1560" s="347" t="s">
        <v>295</v>
      </c>
      <c r="C1560" s="1148"/>
      <c r="D1560" s="1151"/>
      <c r="E1560" s="425">
        <v>1</v>
      </c>
      <c r="F1560" s="178" t="s">
        <v>44</v>
      </c>
      <c r="G1560" s="722"/>
      <c r="H1560" s="415">
        <v>21.6</v>
      </c>
      <c r="I1560" s="1153"/>
      <c r="J1560" s="415">
        <v>8579.2207792207791</v>
      </c>
      <c r="K1560" s="437">
        <v>223844.9</v>
      </c>
    </row>
    <row r="1561" spans="1:11" x14ac:dyDescent="0.2">
      <c r="A1561" s="349" t="s">
        <v>1723</v>
      </c>
      <c r="B1561" s="347" t="s">
        <v>295</v>
      </c>
      <c r="C1561" s="1148"/>
      <c r="D1561" s="1151"/>
      <c r="E1561" s="425">
        <v>2</v>
      </c>
      <c r="F1561" s="178"/>
      <c r="G1561" s="722"/>
      <c r="H1561" s="415">
        <v>22</v>
      </c>
      <c r="I1561" s="1153"/>
      <c r="J1561" s="415">
        <v>8738.0952380952367</v>
      </c>
      <c r="K1561" s="437"/>
    </row>
    <row r="1562" spans="1:11" x14ac:dyDescent="0.2">
      <c r="A1562" s="349" t="s">
        <v>5833</v>
      </c>
      <c r="B1562" s="347" t="s">
        <v>295</v>
      </c>
      <c r="C1562" s="1149"/>
      <c r="D1562" s="1152"/>
      <c r="E1562" s="425">
        <v>3</v>
      </c>
      <c r="F1562" s="178" t="s">
        <v>5834</v>
      </c>
      <c r="G1562" s="722"/>
      <c r="H1562" s="415">
        <v>48.3</v>
      </c>
      <c r="I1562" s="1146"/>
      <c r="J1562" s="415">
        <f>36700-8579.22-8738.1</f>
        <v>19382.68</v>
      </c>
      <c r="K1562" s="437"/>
    </row>
    <row r="1563" spans="1:11" ht="12.75" customHeight="1" x14ac:dyDescent="0.2">
      <c r="A1563" s="348" t="s">
        <v>1151</v>
      </c>
      <c r="B1563" s="347"/>
      <c r="C1563" s="1147" t="s">
        <v>11363</v>
      </c>
      <c r="D1563" s="1150">
        <v>3</v>
      </c>
      <c r="E1563" s="425"/>
      <c r="F1563" s="178" t="s">
        <v>45</v>
      </c>
      <c r="G1563" s="722" t="s">
        <v>4714</v>
      </c>
      <c r="H1563" s="441">
        <f>74.3-74.3</f>
        <v>0</v>
      </c>
      <c r="I1563" s="1145">
        <v>1935</v>
      </c>
      <c r="J1563" s="415">
        <f>34600-34600</f>
        <v>0</v>
      </c>
      <c r="K1563" s="437">
        <v>318684.40000000002</v>
      </c>
    </row>
    <row r="1564" spans="1:11" ht="26.25" customHeight="1" x14ac:dyDescent="0.2">
      <c r="A1564" s="349" t="s">
        <v>4713</v>
      </c>
      <c r="B1564" s="347" t="s">
        <v>295</v>
      </c>
      <c r="C1564" s="1149"/>
      <c r="D1564" s="1152"/>
      <c r="E1564" s="425">
        <v>1</v>
      </c>
      <c r="F1564" s="178"/>
      <c r="G1564" s="722" t="s">
        <v>2886</v>
      </c>
      <c r="H1564" s="441">
        <v>40</v>
      </c>
      <c r="I1564" s="1146"/>
      <c r="J1564" s="415">
        <f>34600/74.3*H1564</f>
        <v>18627.187079407806</v>
      </c>
      <c r="K1564" s="437">
        <v>414527.6</v>
      </c>
    </row>
    <row r="1565" spans="1:11" ht="38.25" x14ac:dyDescent="0.2">
      <c r="A1565" s="348" t="s">
        <v>1152</v>
      </c>
      <c r="B1565" s="347" t="s">
        <v>295</v>
      </c>
      <c r="C1565" s="405" t="s">
        <v>11364</v>
      </c>
      <c r="D1565" s="714">
        <v>10</v>
      </c>
      <c r="E1565" s="425">
        <v>1</v>
      </c>
      <c r="F1565" s="178" t="s">
        <v>46</v>
      </c>
      <c r="G1565" s="722" t="s">
        <v>4714</v>
      </c>
      <c r="H1565" s="441">
        <f>96-28.5</f>
        <v>67.5</v>
      </c>
      <c r="I1565" s="715">
        <v>1968</v>
      </c>
      <c r="J1565" s="415">
        <f>30200/96*67.5</f>
        <v>21234.375</v>
      </c>
      <c r="K1565" s="437">
        <v>709913.7</v>
      </c>
    </row>
    <row r="1566" spans="1:11" ht="38.25" x14ac:dyDescent="0.2">
      <c r="A1566" s="348" t="s">
        <v>1153</v>
      </c>
      <c r="B1566" s="347" t="s">
        <v>9967</v>
      </c>
      <c r="C1566" s="405" t="s">
        <v>11365</v>
      </c>
      <c r="D1566" s="714">
        <v>13</v>
      </c>
      <c r="E1566" s="425"/>
      <c r="F1566" s="178"/>
      <c r="G1566" s="722" t="s">
        <v>4714</v>
      </c>
      <c r="H1566" s="441">
        <v>24</v>
      </c>
      <c r="I1566" s="715">
        <v>1946</v>
      </c>
      <c r="J1566" s="415">
        <v>10500</v>
      </c>
      <c r="K1566" s="437"/>
    </row>
    <row r="1567" spans="1:11" ht="38.25" x14ac:dyDescent="0.2">
      <c r="A1567" s="348" t="s">
        <v>1154</v>
      </c>
      <c r="B1567" s="347" t="s">
        <v>9967</v>
      </c>
      <c r="C1567" s="405" t="s">
        <v>11366</v>
      </c>
      <c r="D1567" s="714">
        <v>16</v>
      </c>
      <c r="E1567" s="425"/>
      <c r="F1567" s="178" t="s">
        <v>47</v>
      </c>
      <c r="G1567" s="722"/>
      <c r="H1567" s="441">
        <v>34.4</v>
      </c>
      <c r="I1567" s="715">
        <v>1981</v>
      </c>
      <c r="J1567" s="415">
        <v>7900</v>
      </c>
      <c r="K1567" s="437">
        <v>274068.58</v>
      </c>
    </row>
    <row r="1568" spans="1:11" x14ac:dyDescent="0.2">
      <c r="A1568" s="348" t="s">
        <v>1155</v>
      </c>
      <c r="B1568" s="347"/>
      <c r="C1568" s="1147" t="s">
        <v>11367</v>
      </c>
      <c r="D1568" s="1150">
        <v>9</v>
      </c>
      <c r="E1568" s="425"/>
      <c r="F1568" s="178" t="s">
        <v>48</v>
      </c>
      <c r="G1568" s="722"/>
      <c r="H1568" s="441">
        <f>91.7-91.7</f>
        <v>0</v>
      </c>
      <c r="I1568" s="1145">
        <v>1986</v>
      </c>
      <c r="J1568" s="415">
        <f>75400-75400</f>
        <v>0</v>
      </c>
      <c r="K1568" s="437">
        <v>730583.99</v>
      </c>
    </row>
    <row r="1569" spans="1:11" ht="36" customHeight="1" x14ac:dyDescent="0.2">
      <c r="A1569" s="349" t="s">
        <v>4733</v>
      </c>
      <c r="B1569" s="347" t="s">
        <v>295</v>
      </c>
      <c r="C1569" s="1148"/>
      <c r="D1569" s="1151"/>
      <c r="E1569" s="425">
        <v>1</v>
      </c>
      <c r="F1569" s="178" t="s">
        <v>4736</v>
      </c>
      <c r="G1569" s="722"/>
      <c r="H1569" s="441">
        <v>35.4</v>
      </c>
      <c r="I1569" s="1153"/>
      <c r="J1569" s="415">
        <f>75400/91.7*H1569</f>
        <v>29107.524536532168</v>
      </c>
      <c r="K1569" s="437">
        <v>366856.93</v>
      </c>
    </row>
    <row r="1570" spans="1:11" ht="26.25" customHeight="1" x14ac:dyDescent="0.2">
      <c r="A1570" s="349" t="s">
        <v>4734</v>
      </c>
      <c r="B1570" s="347" t="s">
        <v>295</v>
      </c>
      <c r="C1570" s="1149"/>
      <c r="D1570" s="1152"/>
      <c r="E1570" s="425">
        <v>2</v>
      </c>
      <c r="F1570" s="178" t="s">
        <v>4735</v>
      </c>
      <c r="G1570" s="722"/>
      <c r="H1570" s="441">
        <v>56.3</v>
      </c>
      <c r="I1570" s="1146"/>
      <c r="J1570" s="415">
        <f>75400/91.7*H1570</f>
        <v>46292.475463467825</v>
      </c>
      <c r="K1570" s="437">
        <v>583447.6</v>
      </c>
    </row>
    <row r="1571" spans="1:11" ht="38.25" x14ac:dyDescent="0.2">
      <c r="A1571" s="348" t="s">
        <v>1156</v>
      </c>
      <c r="B1571" s="347" t="s">
        <v>9967</v>
      </c>
      <c r="C1571" s="405" t="s">
        <v>11368</v>
      </c>
      <c r="D1571" s="714">
        <v>25</v>
      </c>
      <c r="E1571" s="425"/>
      <c r="F1571" s="178"/>
      <c r="G1571" s="722"/>
      <c r="H1571" s="441">
        <v>42</v>
      </c>
      <c r="I1571" s="715">
        <v>1988</v>
      </c>
      <c r="J1571" s="415">
        <v>36100</v>
      </c>
      <c r="K1571" s="437"/>
    </row>
    <row r="1572" spans="1:11" ht="38.25" x14ac:dyDescent="0.2">
      <c r="A1572" s="348" t="s">
        <v>1157</v>
      </c>
      <c r="B1572" s="347" t="s">
        <v>9967</v>
      </c>
      <c r="C1572" s="405" t="s">
        <v>11369</v>
      </c>
      <c r="D1572" s="714">
        <v>6</v>
      </c>
      <c r="E1572" s="425"/>
      <c r="F1572" s="178" t="s">
        <v>141</v>
      </c>
      <c r="G1572" s="722" t="s">
        <v>4714</v>
      </c>
      <c r="H1572" s="415">
        <v>27.8</v>
      </c>
      <c r="I1572" s="715">
        <v>1958</v>
      </c>
      <c r="J1572" s="415">
        <v>82300</v>
      </c>
      <c r="K1572" s="437">
        <v>221485.66</v>
      </c>
    </row>
    <row r="1573" spans="1:11" ht="38.25" x14ac:dyDescent="0.2">
      <c r="A1573" s="348" t="s">
        <v>1158</v>
      </c>
      <c r="B1573" s="347" t="s">
        <v>9967</v>
      </c>
      <c r="C1573" s="405" t="s">
        <v>11370</v>
      </c>
      <c r="D1573" s="714">
        <v>67</v>
      </c>
      <c r="E1573" s="425"/>
      <c r="F1573" s="178"/>
      <c r="G1573" s="722" t="s">
        <v>4714</v>
      </c>
      <c r="H1573" s="415">
        <v>27.4</v>
      </c>
      <c r="I1573" s="715">
        <v>1966</v>
      </c>
      <c r="J1573" s="415">
        <v>27100</v>
      </c>
      <c r="K1573" s="437"/>
    </row>
    <row r="1574" spans="1:11" ht="36.75" customHeight="1" x14ac:dyDescent="0.2">
      <c r="A1574" s="348" t="s">
        <v>1159</v>
      </c>
      <c r="B1574" s="347" t="s">
        <v>9967</v>
      </c>
      <c r="C1574" s="405" t="s">
        <v>11371</v>
      </c>
      <c r="D1574" s="714">
        <v>19</v>
      </c>
      <c r="E1574" s="425"/>
      <c r="F1574" s="178"/>
      <c r="G1574" s="722" t="s">
        <v>4714</v>
      </c>
      <c r="H1574" s="415">
        <v>16.5</v>
      </c>
      <c r="I1574" s="715">
        <v>1979</v>
      </c>
      <c r="J1574" s="415">
        <v>9500</v>
      </c>
      <c r="K1574" s="437"/>
    </row>
    <row r="1575" spans="1:11" ht="39.75" customHeight="1" x14ac:dyDescent="0.2">
      <c r="A1575" s="348" t="s">
        <v>1160</v>
      </c>
      <c r="B1575" s="347" t="s">
        <v>9967</v>
      </c>
      <c r="C1575" s="405" t="s">
        <v>11372</v>
      </c>
      <c r="D1575" s="714">
        <v>45</v>
      </c>
      <c r="E1575" s="425"/>
      <c r="F1575" s="178"/>
      <c r="G1575" s="722" t="s">
        <v>4714</v>
      </c>
      <c r="H1575" s="415">
        <v>34.700000000000003</v>
      </c>
      <c r="I1575" s="715">
        <v>1977</v>
      </c>
      <c r="J1575" s="415">
        <v>70800</v>
      </c>
      <c r="K1575" s="437"/>
    </row>
    <row r="1576" spans="1:11" ht="38.25" x14ac:dyDescent="0.2">
      <c r="A1576" s="419" t="s">
        <v>1161</v>
      </c>
      <c r="B1576" s="347"/>
      <c r="C1576" s="1147" t="s">
        <v>11373</v>
      </c>
      <c r="D1576" s="1150">
        <v>24</v>
      </c>
      <c r="E1576" s="425"/>
      <c r="F1576" s="485"/>
      <c r="G1576" s="722" t="s">
        <v>4714</v>
      </c>
      <c r="H1576" s="415">
        <f>149.7-149.7</f>
        <v>0</v>
      </c>
      <c r="I1576" s="1145">
        <v>1971</v>
      </c>
      <c r="J1576" s="415">
        <f>423940-423940</f>
        <v>0</v>
      </c>
      <c r="K1576" s="437"/>
    </row>
    <row r="1577" spans="1:11" x14ac:dyDescent="0.2">
      <c r="A1577" s="349" t="s">
        <v>9030</v>
      </c>
      <c r="B1577" s="347" t="s">
        <v>295</v>
      </c>
      <c r="C1577" s="1148"/>
      <c r="D1577" s="1151"/>
      <c r="E1577" s="425">
        <v>1</v>
      </c>
      <c r="F1577" s="485"/>
      <c r="G1577" s="722" t="s">
        <v>137</v>
      </c>
      <c r="H1577" s="415">
        <v>38.200000000000003</v>
      </c>
      <c r="I1577" s="1153"/>
      <c r="J1577" s="415">
        <f>423940/149.7*H1577</f>
        <v>108179.74615898465</v>
      </c>
      <c r="K1577" s="437"/>
    </row>
    <row r="1578" spans="1:11" ht="14.25" customHeight="1" x14ac:dyDescent="0.2">
      <c r="A1578" s="349" t="s">
        <v>9031</v>
      </c>
      <c r="B1578" s="347" t="s">
        <v>295</v>
      </c>
      <c r="C1578" s="1148"/>
      <c r="D1578" s="1151"/>
      <c r="E1578" s="425">
        <v>2</v>
      </c>
      <c r="F1578" s="485"/>
      <c r="G1578" s="722" t="s">
        <v>137</v>
      </c>
      <c r="H1578" s="415">
        <v>36.5</v>
      </c>
      <c r="I1578" s="1153"/>
      <c r="J1578" s="415">
        <f>423940/149.7*H1578</f>
        <v>103365.46426185705</v>
      </c>
      <c r="K1578" s="437"/>
    </row>
    <row r="1579" spans="1:11" x14ac:dyDescent="0.2">
      <c r="A1579" s="349" t="s">
        <v>9032</v>
      </c>
      <c r="B1579" s="347" t="s">
        <v>295</v>
      </c>
      <c r="C1579" s="1148"/>
      <c r="D1579" s="1151"/>
      <c r="E1579" s="425">
        <v>3</v>
      </c>
      <c r="F1579" s="485"/>
      <c r="G1579" s="722" t="s">
        <v>137</v>
      </c>
      <c r="H1579" s="415">
        <v>36.6</v>
      </c>
      <c r="I1579" s="1153"/>
      <c r="J1579" s="415">
        <f>423940/149.7*H1579</f>
        <v>103648.65731462926</v>
      </c>
      <c r="K1579" s="437"/>
    </row>
    <row r="1580" spans="1:11" ht="25.5" customHeight="1" x14ac:dyDescent="0.2">
      <c r="A1580" s="349" t="s">
        <v>9033</v>
      </c>
      <c r="B1580" s="347" t="s">
        <v>295</v>
      </c>
      <c r="C1580" s="1149"/>
      <c r="D1580" s="1152"/>
      <c r="E1580" s="425">
        <v>4</v>
      </c>
      <c r="F1580" s="485"/>
      <c r="G1580" s="722" t="s">
        <v>137</v>
      </c>
      <c r="H1580" s="415">
        <v>38.4</v>
      </c>
      <c r="I1580" s="1146"/>
      <c r="J1580" s="415">
        <f>423940/149.7*H1580</f>
        <v>108746.13226452906</v>
      </c>
      <c r="K1580" s="437"/>
    </row>
    <row r="1581" spans="1:11" ht="14.25" customHeight="1" x14ac:dyDescent="0.2">
      <c r="A1581" s="419" t="s">
        <v>1162</v>
      </c>
      <c r="B1581" s="347"/>
      <c r="C1581" s="1147" t="s">
        <v>11374</v>
      </c>
      <c r="D1581" s="1150">
        <v>13</v>
      </c>
      <c r="E1581" s="425"/>
      <c r="F1581" s="485"/>
      <c r="G1581" s="722" t="s">
        <v>4714</v>
      </c>
      <c r="H1581" s="415">
        <f>140.9-140.9</f>
        <v>0</v>
      </c>
      <c r="I1581" s="1145">
        <v>1971</v>
      </c>
      <c r="J1581" s="415">
        <f>132348-132348</f>
        <v>0</v>
      </c>
      <c r="K1581" s="437"/>
    </row>
    <row r="1582" spans="1:11" x14ac:dyDescent="0.2">
      <c r="A1582" s="349" t="s">
        <v>9034</v>
      </c>
      <c r="B1582" s="347" t="s">
        <v>295</v>
      </c>
      <c r="C1582" s="1148"/>
      <c r="D1582" s="1151"/>
      <c r="E1582" s="425">
        <v>1</v>
      </c>
      <c r="F1582" s="485"/>
      <c r="G1582" s="722" t="s">
        <v>137</v>
      </c>
      <c r="H1582" s="415">
        <v>33.799999999999997</v>
      </c>
      <c r="I1582" s="1153"/>
      <c r="J1582" s="415">
        <f>132348/140*H1582</f>
        <v>31952.588571428569</v>
      </c>
      <c r="K1582" s="437"/>
    </row>
    <row r="1583" spans="1:11" x14ac:dyDescent="0.2">
      <c r="A1583" s="349" t="s">
        <v>9035</v>
      </c>
      <c r="B1583" s="347" t="s">
        <v>295</v>
      </c>
      <c r="C1583" s="1148"/>
      <c r="D1583" s="1151"/>
      <c r="E1583" s="425">
        <v>2</v>
      </c>
      <c r="F1583" s="485"/>
      <c r="G1583" s="722" t="s">
        <v>137</v>
      </c>
      <c r="H1583" s="415">
        <v>38.6</v>
      </c>
      <c r="I1583" s="1153"/>
      <c r="J1583" s="415">
        <f>132348/140*H1583</f>
        <v>36490.234285714287</v>
      </c>
      <c r="K1583" s="437"/>
    </row>
    <row r="1584" spans="1:11" ht="12.75" customHeight="1" x14ac:dyDescent="0.2">
      <c r="A1584" s="349" t="s">
        <v>9036</v>
      </c>
      <c r="B1584" s="347" t="s">
        <v>295</v>
      </c>
      <c r="C1584" s="1148"/>
      <c r="D1584" s="1151"/>
      <c r="E1584" s="425">
        <v>3</v>
      </c>
      <c r="F1584" s="485"/>
      <c r="G1584" s="722" t="s">
        <v>137</v>
      </c>
      <c r="H1584" s="415">
        <v>37.799999999999997</v>
      </c>
      <c r="I1584" s="1153"/>
      <c r="J1584" s="415">
        <f>132348/140*H1584</f>
        <v>35733.96</v>
      </c>
      <c r="K1584" s="437"/>
    </row>
    <row r="1585" spans="1:11" ht="15" customHeight="1" x14ac:dyDescent="0.2">
      <c r="A1585" s="349" t="s">
        <v>9037</v>
      </c>
      <c r="B1585" s="347" t="s">
        <v>295</v>
      </c>
      <c r="C1585" s="1149"/>
      <c r="D1585" s="1152"/>
      <c r="E1585" s="425">
        <v>4</v>
      </c>
      <c r="F1585" s="485"/>
      <c r="G1585" s="722" t="s">
        <v>137</v>
      </c>
      <c r="H1585" s="415">
        <v>30.7</v>
      </c>
      <c r="I1585" s="1146"/>
      <c r="J1585" s="415">
        <f>132348/140*H1585</f>
        <v>29022.025714285715</v>
      </c>
      <c r="K1585" s="437"/>
    </row>
    <row r="1586" spans="1:11" ht="25.5" x14ac:dyDescent="0.2">
      <c r="A1586" s="348" t="s">
        <v>1163</v>
      </c>
      <c r="B1586" s="347"/>
      <c r="C1586" s="1147" t="s">
        <v>11375</v>
      </c>
      <c r="D1586" s="1150">
        <v>3</v>
      </c>
      <c r="E1586" s="425"/>
      <c r="F1586" s="178" t="s">
        <v>143</v>
      </c>
      <c r="G1586" s="722" t="s">
        <v>145</v>
      </c>
      <c r="H1586" s="415">
        <f>391.5-391.5</f>
        <v>0</v>
      </c>
      <c r="I1586" s="1145">
        <v>1990</v>
      </c>
      <c r="J1586" s="415">
        <f>58400-58400</f>
        <v>0</v>
      </c>
      <c r="K1586" s="437">
        <v>3119123.57</v>
      </c>
    </row>
    <row r="1587" spans="1:11" x14ac:dyDescent="0.2">
      <c r="A1587" s="349" t="s">
        <v>4737</v>
      </c>
      <c r="B1587" s="347" t="s">
        <v>295</v>
      </c>
      <c r="C1587" s="1148"/>
      <c r="D1587" s="1151"/>
      <c r="E1587" s="425">
        <v>1</v>
      </c>
      <c r="F1587" s="178" t="s">
        <v>4749</v>
      </c>
      <c r="G1587" s="722" t="s">
        <v>137</v>
      </c>
      <c r="H1587" s="415">
        <v>34.299999999999997</v>
      </c>
      <c r="I1587" s="1153"/>
      <c r="J1587" s="415">
        <f>58400/391.5*H1587</f>
        <v>5116.5261813537663</v>
      </c>
      <c r="K1587" s="437">
        <v>355457.42</v>
      </c>
    </row>
    <row r="1588" spans="1:11" x14ac:dyDescent="0.2">
      <c r="A1588" s="349" t="s">
        <v>4738</v>
      </c>
      <c r="B1588" s="347" t="s">
        <v>295</v>
      </c>
      <c r="C1588" s="1148"/>
      <c r="D1588" s="1151"/>
      <c r="E1588" s="425">
        <v>2</v>
      </c>
      <c r="F1588" s="178" t="s">
        <v>4750</v>
      </c>
      <c r="G1588" s="722" t="s">
        <v>137</v>
      </c>
      <c r="H1588" s="415">
        <v>49.1</v>
      </c>
      <c r="I1588" s="1153"/>
      <c r="J1588" s="415">
        <f t="shared" ref="J1588:J1594" si="9">58400/391.5*H1588</f>
        <v>7324.2401021711366</v>
      </c>
      <c r="K1588" s="437">
        <v>508832.63</v>
      </c>
    </row>
    <row r="1589" spans="1:11" ht="12.75" customHeight="1" x14ac:dyDescent="0.2">
      <c r="A1589" s="349" t="s">
        <v>4739</v>
      </c>
      <c r="B1589" s="347" t="s">
        <v>295</v>
      </c>
      <c r="C1589" s="1148"/>
      <c r="D1589" s="1151"/>
      <c r="E1589" s="425">
        <v>3</v>
      </c>
      <c r="F1589" s="178" t="s">
        <v>4751</v>
      </c>
      <c r="G1589" s="722" t="s">
        <v>137</v>
      </c>
      <c r="H1589" s="415">
        <v>50.7</v>
      </c>
      <c r="I1589" s="1153"/>
      <c r="J1589" s="415">
        <f t="shared" si="9"/>
        <v>7562.9118773946357</v>
      </c>
      <c r="K1589" s="437">
        <v>525413.73</v>
      </c>
    </row>
    <row r="1590" spans="1:11" x14ac:dyDescent="0.2">
      <c r="A1590" s="349" t="s">
        <v>4740</v>
      </c>
      <c r="B1590" s="347" t="s">
        <v>295</v>
      </c>
      <c r="C1590" s="1148"/>
      <c r="D1590" s="1151"/>
      <c r="E1590" s="425">
        <v>4</v>
      </c>
      <c r="F1590" s="178" t="s">
        <v>4752</v>
      </c>
      <c r="G1590" s="722" t="s">
        <v>137</v>
      </c>
      <c r="H1590" s="415">
        <v>56.8</v>
      </c>
      <c r="I1590" s="1153"/>
      <c r="J1590" s="415">
        <f t="shared" si="9"/>
        <v>8472.8480204342268</v>
      </c>
      <c r="K1590" s="437">
        <v>588629.18999999994</v>
      </c>
    </row>
    <row r="1591" spans="1:11" x14ac:dyDescent="0.2">
      <c r="A1591" s="349" t="s">
        <v>4741</v>
      </c>
      <c r="B1591" s="347" t="s">
        <v>295</v>
      </c>
      <c r="C1591" s="1148"/>
      <c r="D1591" s="1151"/>
      <c r="E1591" s="425">
        <v>5</v>
      </c>
      <c r="F1591" s="178" t="s">
        <v>4745</v>
      </c>
      <c r="G1591" s="722" t="s">
        <v>137</v>
      </c>
      <c r="H1591" s="415">
        <v>44.9</v>
      </c>
      <c r="I1591" s="1153"/>
      <c r="J1591" s="415">
        <f t="shared" si="9"/>
        <v>6697.7266922094504</v>
      </c>
      <c r="K1591" s="437">
        <v>465307.23</v>
      </c>
    </row>
    <row r="1592" spans="1:11" x14ac:dyDescent="0.2">
      <c r="A1592" s="349" t="s">
        <v>4742</v>
      </c>
      <c r="B1592" s="347" t="s">
        <v>295</v>
      </c>
      <c r="C1592" s="1148"/>
      <c r="D1592" s="1151"/>
      <c r="E1592" s="425">
        <v>6</v>
      </c>
      <c r="F1592" s="178" t="s">
        <v>4746</v>
      </c>
      <c r="G1592" s="722" t="s">
        <v>137</v>
      </c>
      <c r="H1592" s="415">
        <v>51.7</v>
      </c>
      <c r="I1592" s="1153"/>
      <c r="J1592" s="415">
        <f t="shared" si="9"/>
        <v>7712.0817369093229</v>
      </c>
      <c r="K1592" s="437">
        <v>535776.92000000004</v>
      </c>
    </row>
    <row r="1593" spans="1:11" x14ac:dyDescent="0.2">
      <c r="A1593" s="349" t="s">
        <v>4743</v>
      </c>
      <c r="B1593" s="347" t="s">
        <v>295</v>
      </c>
      <c r="C1593" s="1148"/>
      <c r="D1593" s="1151"/>
      <c r="E1593" s="425">
        <v>7</v>
      </c>
      <c r="F1593" s="178" t="s">
        <v>4747</v>
      </c>
      <c r="G1593" s="722" t="s">
        <v>137</v>
      </c>
      <c r="H1593" s="415">
        <v>54.3</v>
      </c>
      <c r="I1593" s="1153"/>
      <c r="J1593" s="415">
        <f t="shared" si="9"/>
        <v>8099.9233716475082</v>
      </c>
      <c r="K1593" s="437">
        <v>562721.22</v>
      </c>
    </row>
    <row r="1594" spans="1:11" ht="12.75" customHeight="1" x14ac:dyDescent="0.2">
      <c r="A1594" s="349" t="s">
        <v>4744</v>
      </c>
      <c r="B1594" s="347" t="s">
        <v>295</v>
      </c>
      <c r="C1594" s="1149"/>
      <c r="D1594" s="1152"/>
      <c r="E1594" s="425">
        <v>8</v>
      </c>
      <c r="F1594" s="178" t="s">
        <v>4748</v>
      </c>
      <c r="G1594" s="722" t="s">
        <v>137</v>
      </c>
      <c r="H1594" s="415">
        <v>49.7</v>
      </c>
      <c r="I1594" s="1146"/>
      <c r="J1594" s="415">
        <f t="shared" si="9"/>
        <v>7413.7420178799484</v>
      </c>
      <c r="K1594" s="437">
        <v>515050.54</v>
      </c>
    </row>
    <row r="1595" spans="1:11" x14ac:dyDescent="0.2">
      <c r="A1595" s="419" t="s">
        <v>1164</v>
      </c>
      <c r="B1595" s="347"/>
      <c r="C1595" s="1147" t="s">
        <v>11376</v>
      </c>
      <c r="D1595" s="1150">
        <v>6</v>
      </c>
      <c r="E1595" s="425"/>
      <c r="F1595" s="38"/>
      <c r="G1595" s="722" t="s">
        <v>2584</v>
      </c>
      <c r="H1595" s="415">
        <f>125.3-125.3</f>
        <v>0</v>
      </c>
      <c r="I1595" s="1145">
        <v>1961</v>
      </c>
      <c r="J1595" s="415">
        <f>177120-177120</f>
        <v>0</v>
      </c>
      <c r="K1595" s="437"/>
    </row>
    <row r="1596" spans="1:11" x14ac:dyDescent="0.2">
      <c r="A1596" s="349" t="s">
        <v>9038</v>
      </c>
      <c r="B1596" s="347" t="s">
        <v>295</v>
      </c>
      <c r="C1596" s="1148"/>
      <c r="D1596" s="1151"/>
      <c r="E1596" s="425">
        <v>1</v>
      </c>
      <c r="F1596" s="38" t="s">
        <v>10307</v>
      </c>
      <c r="G1596" s="722" t="s">
        <v>137</v>
      </c>
      <c r="H1596" s="415">
        <v>49.2</v>
      </c>
      <c r="I1596" s="1153"/>
      <c r="J1596" s="415">
        <f>177120/125.3*H1596</f>
        <v>69547.517956903437</v>
      </c>
      <c r="K1596" s="437">
        <v>441383.04</v>
      </c>
    </row>
    <row r="1597" spans="1:11" ht="12.75" customHeight="1" x14ac:dyDescent="0.2">
      <c r="A1597" s="349" t="s">
        <v>9039</v>
      </c>
      <c r="B1597" s="347" t="s">
        <v>295</v>
      </c>
      <c r="C1597" s="1148"/>
      <c r="D1597" s="1151"/>
      <c r="E1597" s="425">
        <v>2</v>
      </c>
      <c r="F1597" s="38"/>
      <c r="G1597" s="722" t="s">
        <v>137</v>
      </c>
      <c r="H1597" s="415">
        <v>45.1</v>
      </c>
      <c r="I1597" s="1153"/>
      <c r="J1597" s="415">
        <f>177120/125.3*H1597</f>
        <v>63751.891460494815</v>
      </c>
      <c r="K1597" s="437"/>
    </row>
    <row r="1598" spans="1:11" x14ac:dyDescent="0.2">
      <c r="A1598" s="349" t="s">
        <v>9040</v>
      </c>
      <c r="B1598" s="347" t="s">
        <v>295</v>
      </c>
      <c r="C1598" s="1149"/>
      <c r="D1598" s="1152"/>
      <c r="E1598" s="425">
        <v>3</v>
      </c>
      <c r="F1598" s="38"/>
      <c r="G1598" s="722" t="s">
        <v>137</v>
      </c>
      <c r="H1598" s="415">
        <v>31</v>
      </c>
      <c r="I1598" s="1146"/>
      <c r="J1598" s="415">
        <f>177120/125.3*H1598</f>
        <v>43820.590582601755</v>
      </c>
      <c r="K1598" s="437"/>
    </row>
    <row r="1599" spans="1:11" ht="51" x14ac:dyDescent="0.2">
      <c r="A1599" s="348" t="s">
        <v>1165</v>
      </c>
      <c r="B1599" s="347" t="s">
        <v>307</v>
      </c>
      <c r="C1599" s="405" t="s">
        <v>11377</v>
      </c>
      <c r="D1599" s="714">
        <v>4</v>
      </c>
      <c r="E1599" s="425"/>
      <c r="F1599" s="178"/>
      <c r="G1599" s="722" t="s">
        <v>190</v>
      </c>
      <c r="H1599" s="415">
        <v>246</v>
      </c>
      <c r="I1599" s="715">
        <v>1990</v>
      </c>
      <c r="J1599" s="415">
        <v>277800</v>
      </c>
      <c r="K1599" s="437"/>
    </row>
    <row r="1600" spans="1:11" ht="12.75" customHeight="1" x14ac:dyDescent="0.2">
      <c r="A1600" s="348" t="s">
        <v>1166</v>
      </c>
      <c r="B1600" s="347"/>
      <c r="C1600" s="1147" t="s">
        <v>11378</v>
      </c>
      <c r="D1600" s="1150">
        <v>2</v>
      </c>
      <c r="E1600" s="425"/>
      <c r="F1600" s="178" t="s">
        <v>144</v>
      </c>
      <c r="G1600" s="722" t="s">
        <v>190</v>
      </c>
      <c r="H1600" s="415">
        <f>107.8-107.8</f>
        <v>0</v>
      </c>
      <c r="I1600" s="1145">
        <v>1990</v>
      </c>
      <c r="J1600" s="415">
        <f>176136-176136</f>
        <v>0</v>
      </c>
      <c r="K1600" s="437">
        <v>858854.46</v>
      </c>
    </row>
    <row r="1601" spans="1:11" x14ac:dyDescent="0.2">
      <c r="A1601" s="349" t="s">
        <v>5835</v>
      </c>
      <c r="B1601" s="347" t="s">
        <v>295</v>
      </c>
      <c r="C1601" s="1148"/>
      <c r="D1601" s="1151"/>
      <c r="E1601" s="425">
        <v>1</v>
      </c>
      <c r="F1601" s="178" t="s">
        <v>5837</v>
      </c>
      <c r="G1601" s="722" t="s">
        <v>137</v>
      </c>
      <c r="H1601" s="415">
        <v>49.5</v>
      </c>
      <c r="I1601" s="1153"/>
      <c r="J1601" s="415">
        <f>176100/107.8*H1601</f>
        <v>80862.244897959186</v>
      </c>
      <c r="K1601" s="437">
        <v>512977.91</v>
      </c>
    </row>
    <row r="1602" spans="1:11" ht="12.75" customHeight="1" x14ac:dyDescent="0.2">
      <c r="A1602" s="349" t="s">
        <v>5836</v>
      </c>
      <c r="B1602" s="347" t="s">
        <v>295</v>
      </c>
      <c r="C1602" s="1149"/>
      <c r="D1602" s="1152"/>
      <c r="E1602" s="425">
        <v>2</v>
      </c>
      <c r="F1602" s="178" t="s">
        <v>5838</v>
      </c>
      <c r="G1602" s="722" t="s">
        <v>137</v>
      </c>
      <c r="H1602" s="415">
        <v>58.3</v>
      </c>
      <c r="I1602" s="1146"/>
      <c r="J1602" s="415">
        <f>176100/107.8*H1602</f>
        <v>95237.755102040814</v>
      </c>
      <c r="K1602" s="437">
        <v>604173.98</v>
      </c>
    </row>
    <row r="1603" spans="1:11" x14ac:dyDescent="0.2">
      <c r="A1603" s="348" t="s">
        <v>1167</v>
      </c>
      <c r="B1603" s="347"/>
      <c r="C1603" s="1147" t="s">
        <v>11379</v>
      </c>
      <c r="D1603" s="1150">
        <v>15</v>
      </c>
      <c r="E1603" s="425"/>
      <c r="F1603" s="178"/>
      <c r="G1603" s="722" t="s">
        <v>2584</v>
      </c>
      <c r="H1603" s="415">
        <f>168.9-168.9</f>
        <v>0</v>
      </c>
      <c r="I1603" s="1145">
        <v>1985</v>
      </c>
      <c r="J1603" s="415">
        <f>130872-130872</f>
        <v>0</v>
      </c>
      <c r="K1603" s="437"/>
    </row>
    <row r="1604" spans="1:11" x14ac:dyDescent="0.2">
      <c r="A1604" s="349" t="s">
        <v>9041</v>
      </c>
      <c r="B1604" s="347" t="s">
        <v>295</v>
      </c>
      <c r="C1604" s="1148"/>
      <c r="D1604" s="1151"/>
      <c r="E1604" s="425">
        <v>1</v>
      </c>
      <c r="F1604" s="432" t="s">
        <v>13064</v>
      </c>
      <c r="G1604" s="722" t="s">
        <v>137</v>
      </c>
      <c r="H1604" s="415">
        <v>40.1</v>
      </c>
      <c r="I1604" s="1153"/>
      <c r="J1604" s="415">
        <f>130872/168.9*H1604</f>
        <v>31071.445825932504</v>
      </c>
      <c r="K1604" s="443">
        <v>432336.95</v>
      </c>
    </row>
    <row r="1605" spans="1:11" x14ac:dyDescent="0.2">
      <c r="A1605" s="349" t="s">
        <v>9042</v>
      </c>
      <c r="B1605" s="347" t="s">
        <v>295</v>
      </c>
      <c r="C1605" s="1148"/>
      <c r="D1605" s="1151"/>
      <c r="E1605" s="425">
        <v>3</v>
      </c>
      <c r="F1605" s="432" t="s">
        <v>13065</v>
      </c>
      <c r="G1605" s="722" t="s">
        <v>137</v>
      </c>
      <c r="H1605" s="415">
        <v>39.6</v>
      </c>
      <c r="I1605" s="1153"/>
      <c r="J1605" s="415">
        <f>130872/168.9*H1605</f>
        <v>30684.02131438721</v>
      </c>
      <c r="K1605" s="443">
        <v>426946.21</v>
      </c>
    </row>
    <row r="1606" spans="1:11" x14ac:dyDescent="0.2">
      <c r="A1606" s="349" t="s">
        <v>9043</v>
      </c>
      <c r="B1606" s="347" t="s">
        <v>295</v>
      </c>
      <c r="C1606" s="1149"/>
      <c r="D1606" s="1152"/>
      <c r="E1606" s="425">
        <v>4</v>
      </c>
      <c r="F1606" s="432" t="s">
        <v>13066</v>
      </c>
      <c r="G1606" s="722" t="s">
        <v>137</v>
      </c>
      <c r="H1606" s="415">
        <v>49.6</v>
      </c>
      <c r="I1606" s="1146"/>
      <c r="J1606" s="415">
        <f>130872/168.9*H1606</f>
        <v>38432.51154529307</v>
      </c>
      <c r="K1606" s="443">
        <v>534760.91</v>
      </c>
    </row>
    <row r="1607" spans="1:11" ht="12.75" customHeight="1" x14ac:dyDescent="0.2">
      <c r="A1607" s="419" t="s">
        <v>1168</v>
      </c>
      <c r="B1607" s="347"/>
      <c r="C1607" s="1147" t="s">
        <v>11380</v>
      </c>
      <c r="D1607" s="1150">
        <v>9</v>
      </c>
      <c r="E1607" s="425"/>
      <c r="F1607" s="38"/>
      <c r="G1607" s="722" t="s">
        <v>2584</v>
      </c>
      <c r="H1607" s="415">
        <f>136-136</f>
        <v>0</v>
      </c>
      <c r="I1607" s="1145">
        <v>1971</v>
      </c>
      <c r="J1607" s="415">
        <f>184336-184336</f>
        <v>0</v>
      </c>
      <c r="K1607" s="437"/>
    </row>
    <row r="1608" spans="1:11" ht="12.75" customHeight="1" x14ac:dyDescent="0.2">
      <c r="A1608" s="349" t="s">
        <v>9044</v>
      </c>
      <c r="B1608" s="347" t="s">
        <v>295</v>
      </c>
      <c r="C1608" s="1148"/>
      <c r="D1608" s="1151"/>
      <c r="E1608" s="425">
        <v>1</v>
      </c>
      <c r="F1608" s="38" t="s">
        <v>10308</v>
      </c>
      <c r="G1608" s="722" t="s">
        <v>137</v>
      </c>
      <c r="H1608" s="415">
        <v>34</v>
      </c>
      <c r="I1608" s="1153"/>
      <c r="J1608" s="415">
        <f>184336/136*H1608</f>
        <v>46084</v>
      </c>
      <c r="K1608" s="437">
        <v>305020.79999999999</v>
      </c>
    </row>
    <row r="1609" spans="1:11" x14ac:dyDescent="0.2">
      <c r="A1609" s="349" t="s">
        <v>9045</v>
      </c>
      <c r="B1609" s="347" t="s">
        <v>295</v>
      </c>
      <c r="C1609" s="1148"/>
      <c r="D1609" s="1151"/>
      <c r="E1609" s="425">
        <v>2</v>
      </c>
      <c r="F1609" s="38"/>
      <c r="G1609" s="722" t="s">
        <v>137</v>
      </c>
      <c r="H1609" s="415">
        <v>34</v>
      </c>
      <c r="I1609" s="1153"/>
      <c r="J1609" s="415">
        <f>184336/136*H1609</f>
        <v>46084</v>
      </c>
      <c r="K1609" s="437"/>
    </row>
    <row r="1610" spans="1:11" ht="12.75" customHeight="1" x14ac:dyDescent="0.2">
      <c r="A1610" s="349" t="s">
        <v>9046</v>
      </c>
      <c r="B1610" s="347" t="s">
        <v>295</v>
      </c>
      <c r="C1610" s="1148"/>
      <c r="D1610" s="1151"/>
      <c r="E1610" s="425">
        <v>3</v>
      </c>
      <c r="F1610" s="38"/>
      <c r="G1610" s="722" t="s">
        <v>137</v>
      </c>
      <c r="H1610" s="415">
        <v>34</v>
      </c>
      <c r="I1610" s="1153"/>
      <c r="J1610" s="415">
        <f>184336/136*H1610</f>
        <v>46084</v>
      </c>
      <c r="K1610" s="437"/>
    </row>
    <row r="1611" spans="1:11" ht="12.75" customHeight="1" x14ac:dyDescent="0.2">
      <c r="A1611" s="349" t="s">
        <v>9047</v>
      </c>
      <c r="B1611" s="347" t="s">
        <v>295</v>
      </c>
      <c r="C1611" s="1149"/>
      <c r="D1611" s="1152"/>
      <c r="E1611" s="425">
        <v>4</v>
      </c>
      <c r="F1611" s="38"/>
      <c r="G1611" s="722" t="s">
        <v>137</v>
      </c>
      <c r="H1611" s="415">
        <v>34</v>
      </c>
      <c r="I1611" s="1146"/>
      <c r="J1611" s="415">
        <f>184336/136*H1611</f>
        <v>46084</v>
      </c>
      <c r="K1611" s="437"/>
    </row>
    <row r="1612" spans="1:11" ht="25.5" x14ac:dyDescent="0.2">
      <c r="A1612" s="348" t="s">
        <v>1169</v>
      </c>
      <c r="B1612" s="347" t="s">
        <v>307</v>
      </c>
      <c r="C1612" s="405" t="s">
        <v>11381</v>
      </c>
      <c r="D1612" s="714" t="s">
        <v>392</v>
      </c>
      <c r="E1612" s="425"/>
      <c r="F1612" s="178" t="s">
        <v>189</v>
      </c>
      <c r="G1612" s="722"/>
      <c r="H1612" s="415">
        <v>49.5</v>
      </c>
      <c r="I1612" s="715">
        <v>1969</v>
      </c>
      <c r="J1612" s="415">
        <v>88700</v>
      </c>
      <c r="K1612" s="437">
        <v>394371.95</v>
      </c>
    </row>
    <row r="1613" spans="1:11" ht="12.75" customHeight="1" x14ac:dyDescent="0.2">
      <c r="A1613" s="348" t="s">
        <v>1170</v>
      </c>
      <c r="B1613" s="432"/>
      <c r="C1613" s="1147" t="s">
        <v>11382</v>
      </c>
      <c r="D1613" s="1150">
        <v>137</v>
      </c>
      <c r="E1613" s="425"/>
      <c r="F1613" s="178"/>
      <c r="G1613" s="722" t="s">
        <v>382</v>
      </c>
      <c r="H1613" s="415">
        <f>975-975</f>
        <v>0</v>
      </c>
      <c r="I1613" s="1145">
        <v>1999</v>
      </c>
      <c r="J1613" s="415">
        <f>8208200-8208200</f>
        <v>0</v>
      </c>
      <c r="K1613" s="437"/>
    </row>
    <row r="1614" spans="1:11" x14ac:dyDescent="0.2">
      <c r="A1614" s="349" t="s">
        <v>2542</v>
      </c>
      <c r="B1614" s="432" t="s">
        <v>295</v>
      </c>
      <c r="C1614" s="1148"/>
      <c r="D1614" s="1151"/>
      <c r="E1614" s="425">
        <v>10</v>
      </c>
      <c r="F1614" s="178"/>
      <c r="G1614" s="722"/>
      <c r="H1614" s="415">
        <f>57-57</f>
        <v>0</v>
      </c>
      <c r="I1614" s="1153"/>
      <c r="J1614" s="415">
        <f>479864-479864</f>
        <v>0</v>
      </c>
      <c r="K1614" s="437"/>
    </row>
    <row r="1615" spans="1:11" x14ac:dyDescent="0.2">
      <c r="A1615" s="1051" t="s">
        <v>14327</v>
      </c>
      <c r="B1615" s="432" t="s">
        <v>295</v>
      </c>
      <c r="C1615" s="1148"/>
      <c r="D1615" s="1151"/>
      <c r="E1615" s="425">
        <v>11</v>
      </c>
      <c r="F1615" s="178" t="s">
        <v>14328</v>
      </c>
      <c r="G1615" s="615" t="s">
        <v>137</v>
      </c>
      <c r="H1615" s="837">
        <v>48.4</v>
      </c>
      <c r="I1615" s="1153"/>
      <c r="J1615" s="837">
        <v>5233111.8</v>
      </c>
      <c r="K1615" s="437">
        <v>684178.04</v>
      </c>
    </row>
    <row r="1616" spans="1:11" x14ac:dyDescent="0.2">
      <c r="A1616" s="863" t="s">
        <v>14354</v>
      </c>
      <c r="B1616" s="432" t="s">
        <v>295</v>
      </c>
      <c r="C1616" s="1149"/>
      <c r="D1616" s="1152"/>
      <c r="E1616" s="425">
        <v>6</v>
      </c>
      <c r="F1616" s="869" t="s">
        <v>14355</v>
      </c>
      <c r="G1616" s="869"/>
      <c r="H1616" s="870">
        <v>57.1</v>
      </c>
      <c r="I1616" s="1146"/>
      <c r="J1616" s="837">
        <v>5573987.7999999998</v>
      </c>
      <c r="K1616" s="437">
        <v>783958.45</v>
      </c>
    </row>
    <row r="1617" spans="1:11" x14ac:dyDescent="0.2">
      <c r="A1617" s="348" t="s">
        <v>1724</v>
      </c>
      <c r="B1617" s="432"/>
      <c r="C1617" s="1147" t="s">
        <v>11383</v>
      </c>
      <c r="D1617" s="714">
        <v>5</v>
      </c>
      <c r="E1617" s="425"/>
      <c r="F1617" s="178" t="s">
        <v>2551</v>
      </c>
      <c r="G1617" s="722"/>
      <c r="H1617" s="415">
        <f>179.4-179.4</f>
        <v>0</v>
      </c>
      <c r="I1617" s="715">
        <v>1985</v>
      </c>
      <c r="J1617" s="415">
        <f>117424-117424</f>
        <v>0</v>
      </c>
      <c r="K1617" s="437">
        <v>1429299.53</v>
      </c>
    </row>
    <row r="1618" spans="1:11" ht="15.75" customHeight="1" x14ac:dyDescent="0.2">
      <c r="A1618" s="349" t="s">
        <v>2556</v>
      </c>
      <c r="B1618" s="432" t="s">
        <v>295</v>
      </c>
      <c r="C1618" s="1148"/>
      <c r="D1618" s="712"/>
      <c r="E1618" s="425">
        <v>1</v>
      </c>
      <c r="F1618" s="178" t="s">
        <v>2552</v>
      </c>
      <c r="G1618" s="722"/>
      <c r="H1618" s="415">
        <v>42.9</v>
      </c>
      <c r="I1618" s="715"/>
      <c r="J1618" s="415">
        <f>117400/179.4*H1618</f>
        <v>28073.91304347826</v>
      </c>
      <c r="K1618" s="437">
        <v>444580.85</v>
      </c>
    </row>
    <row r="1619" spans="1:11" x14ac:dyDescent="0.2">
      <c r="A1619" s="349" t="s">
        <v>2557</v>
      </c>
      <c r="B1619" s="432" t="s">
        <v>295</v>
      </c>
      <c r="C1619" s="1148"/>
      <c r="D1619" s="712"/>
      <c r="E1619" s="425">
        <v>2</v>
      </c>
      <c r="F1619" s="178" t="s">
        <v>2553</v>
      </c>
      <c r="G1619" s="722"/>
      <c r="H1619" s="415">
        <v>44.1</v>
      </c>
      <c r="I1619" s="715"/>
      <c r="J1619" s="415">
        <f>117400/179.4*H1619</f>
        <v>28859.197324414716</v>
      </c>
      <c r="K1619" s="437">
        <v>457016.68</v>
      </c>
    </row>
    <row r="1620" spans="1:11" ht="12.75" customHeight="1" x14ac:dyDescent="0.2">
      <c r="A1620" s="349" t="s">
        <v>2558</v>
      </c>
      <c r="B1620" s="432" t="s">
        <v>295</v>
      </c>
      <c r="C1620" s="1148"/>
      <c r="D1620" s="712"/>
      <c r="E1620" s="425">
        <v>3</v>
      </c>
      <c r="F1620" s="178" t="s">
        <v>2554</v>
      </c>
      <c r="G1620" s="722"/>
      <c r="H1620" s="415">
        <v>44.2</v>
      </c>
      <c r="I1620" s="715"/>
      <c r="J1620" s="415">
        <f>117400/179.4*H1620</f>
        <v>28924.637681159424</v>
      </c>
      <c r="K1620" s="437">
        <v>458053</v>
      </c>
    </row>
    <row r="1621" spans="1:11" x14ac:dyDescent="0.2">
      <c r="A1621" s="349" t="s">
        <v>2559</v>
      </c>
      <c r="B1621" s="432" t="s">
        <v>295</v>
      </c>
      <c r="C1621" s="1149"/>
      <c r="D1621" s="712"/>
      <c r="E1621" s="425">
        <v>4</v>
      </c>
      <c r="F1621" s="178" t="s">
        <v>2555</v>
      </c>
      <c r="G1621" s="722"/>
      <c r="H1621" s="415">
        <v>41.5</v>
      </c>
      <c r="I1621" s="715"/>
      <c r="J1621" s="415">
        <f>J1620/H1620*H1621</f>
        <v>27157.748049052396</v>
      </c>
      <c r="K1621" s="437">
        <v>430072.39</v>
      </c>
    </row>
    <row r="1622" spans="1:11" ht="45" x14ac:dyDescent="0.2">
      <c r="A1622" s="406" t="s">
        <v>1171</v>
      </c>
      <c r="B1622" s="347"/>
      <c r="C1622" s="1157" t="s">
        <v>11384</v>
      </c>
      <c r="D1622" s="1158">
        <v>11</v>
      </c>
      <c r="E1622" s="425"/>
      <c r="F1622" s="716" t="s">
        <v>2546</v>
      </c>
      <c r="G1622" s="354" t="s">
        <v>2548</v>
      </c>
      <c r="H1622" s="474">
        <f>4102.2-4102.2</f>
        <v>0</v>
      </c>
      <c r="I1622" s="1145" t="s">
        <v>2547</v>
      </c>
      <c r="J1622" s="474">
        <f>2741400+1813300+2663200+2663200+6803400-(2741400+1813300+2663200+2663200+6803400)</f>
        <v>0</v>
      </c>
      <c r="K1622" s="437">
        <v>75814879.090000004</v>
      </c>
    </row>
    <row r="1623" spans="1:11" x14ac:dyDescent="0.2">
      <c r="A1623" s="349" t="s">
        <v>2543</v>
      </c>
      <c r="B1623" s="347" t="s">
        <v>295</v>
      </c>
      <c r="C1623" s="1157"/>
      <c r="D1623" s="1158"/>
      <c r="E1623" s="425">
        <v>14</v>
      </c>
      <c r="F1623" s="178"/>
      <c r="G1623" s="722"/>
      <c r="H1623" s="415">
        <v>62.84</v>
      </c>
      <c r="I1623" s="1153"/>
      <c r="J1623" s="415">
        <v>507043</v>
      </c>
      <c r="K1623" s="437"/>
    </row>
    <row r="1624" spans="1:11" ht="12.75" customHeight="1" x14ac:dyDescent="0.2">
      <c r="A1624" s="349" t="s">
        <v>2544</v>
      </c>
      <c r="B1624" s="347" t="s">
        <v>295</v>
      </c>
      <c r="C1624" s="1157"/>
      <c r="D1624" s="1158"/>
      <c r="E1624" s="425">
        <v>33</v>
      </c>
      <c r="F1624" s="178"/>
      <c r="G1624" s="722"/>
      <c r="H1624" s="415">
        <v>59.36</v>
      </c>
      <c r="I1624" s="1153"/>
      <c r="J1624" s="415">
        <v>478963.59</v>
      </c>
      <c r="K1624" s="437"/>
    </row>
    <row r="1625" spans="1:11" x14ac:dyDescent="0.2">
      <c r="A1625" s="349" t="s">
        <v>2545</v>
      </c>
      <c r="B1625" s="347" t="s">
        <v>295</v>
      </c>
      <c r="C1625" s="1157"/>
      <c r="D1625" s="1158"/>
      <c r="E1625" s="425">
        <v>35</v>
      </c>
      <c r="F1625" s="178"/>
      <c r="G1625" s="722"/>
      <c r="H1625" s="415">
        <v>59.36</v>
      </c>
      <c r="I1625" s="1146"/>
      <c r="J1625" s="415">
        <v>478963.59</v>
      </c>
      <c r="K1625" s="437"/>
    </row>
    <row r="1626" spans="1:11" ht="42" customHeight="1" x14ac:dyDescent="0.2">
      <c r="A1626" s="351" t="s">
        <v>12083</v>
      </c>
      <c r="B1626" s="347" t="s">
        <v>295</v>
      </c>
      <c r="C1626" s="672" t="s">
        <v>13512</v>
      </c>
      <c r="D1626" s="714">
        <v>1</v>
      </c>
      <c r="E1626" s="425"/>
      <c r="F1626" s="3" t="s">
        <v>12084</v>
      </c>
      <c r="G1626" s="724"/>
      <c r="H1626" s="435">
        <f>27.8</f>
        <v>27.8</v>
      </c>
      <c r="I1626" s="586">
        <v>1963</v>
      </c>
      <c r="J1626" s="435">
        <f>14104</f>
        <v>14104</v>
      </c>
      <c r="K1626" s="437">
        <v>221485.66</v>
      </c>
    </row>
    <row r="1627" spans="1:11" x14ac:dyDescent="0.2">
      <c r="A1627" s="348" t="s">
        <v>1172</v>
      </c>
      <c r="B1627" s="347"/>
      <c r="C1627" s="1147" t="s">
        <v>11385</v>
      </c>
      <c r="D1627" s="1150" t="s">
        <v>333</v>
      </c>
      <c r="E1627" s="425"/>
      <c r="F1627" s="178"/>
      <c r="G1627" s="722"/>
      <c r="H1627" s="474">
        <f>1336.8-1336.8</f>
        <v>0</v>
      </c>
      <c r="I1627" s="1145">
        <v>1995</v>
      </c>
      <c r="J1627" s="415">
        <f>2081800-2081800</f>
        <v>0</v>
      </c>
      <c r="K1627" s="437"/>
    </row>
    <row r="1628" spans="1:11" ht="15.75" customHeight="1" x14ac:dyDescent="0.2">
      <c r="A1628" s="349" t="s">
        <v>1725</v>
      </c>
      <c r="B1628" s="347" t="s">
        <v>295</v>
      </c>
      <c r="C1628" s="1148"/>
      <c r="D1628" s="1151"/>
      <c r="E1628" s="421">
        <v>4</v>
      </c>
      <c r="F1628" s="475"/>
      <c r="G1628" s="465"/>
      <c r="H1628" s="473">
        <v>32.5</v>
      </c>
      <c r="I1628" s="1153"/>
      <c r="J1628" s="415">
        <v>50612.283064033516</v>
      </c>
      <c r="K1628" s="437"/>
    </row>
    <row r="1629" spans="1:11" ht="12.75" customHeight="1" x14ac:dyDescent="0.2">
      <c r="A1629" s="349" t="s">
        <v>1726</v>
      </c>
      <c r="B1629" s="347" t="s">
        <v>295</v>
      </c>
      <c r="C1629" s="1148"/>
      <c r="D1629" s="1151"/>
      <c r="E1629" s="421">
        <v>21</v>
      </c>
      <c r="F1629" s="475"/>
      <c r="G1629" s="465"/>
      <c r="H1629" s="473">
        <v>32.700000000000003</v>
      </c>
      <c r="I1629" s="1153"/>
      <c r="J1629" s="415">
        <v>50923.743267504491</v>
      </c>
      <c r="K1629" s="437"/>
    </row>
    <row r="1630" spans="1:11" x14ac:dyDescent="0.2">
      <c r="A1630" s="349" t="s">
        <v>10309</v>
      </c>
      <c r="B1630" s="347" t="s">
        <v>295</v>
      </c>
      <c r="C1630" s="1149"/>
      <c r="D1630" s="1152"/>
      <c r="E1630" s="421">
        <v>17</v>
      </c>
      <c r="F1630" s="475" t="s">
        <v>10310</v>
      </c>
      <c r="G1630" s="465" t="s">
        <v>137</v>
      </c>
      <c r="H1630" s="473">
        <v>49.3</v>
      </c>
      <c r="I1630" s="1146"/>
      <c r="J1630" s="415">
        <v>1090881</v>
      </c>
      <c r="K1630" s="437">
        <v>676867.8</v>
      </c>
    </row>
    <row r="1631" spans="1:11" ht="12.75" customHeight="1" x14ac:dyDescent="0.2">
      <c r="A1631" s="348" t="s">
        <v>1173</v>
      </c>
      <c r="B1631" s="347"/>
      <c r="C1631" s="1147" t="s">
        <v>11386</v>
      </c>
      <c r="D1631" s="1150">
        <v>21</v>
      </c>
      <c r="E1631" s="425"/>
      <c r="F1631" s="178"/>
      <c r="G1631" s="722"/>
      <c r="H1631" s="474">
        <f>824-824</f>
        <v>0</v>
      </c>
      <c r="I1631" s="1145">
        <v>1995</v>
      </c>
      <c r="J1631" s="415">
        <f>977900-977900</f>
        <v>0</v>
      </c>
      <c r="K1631" s="437"/>
    </row>
    <row r="1632" spans="1:11" x14ac:dyDescent="0.2">
      <c r="A1632" s="349" t="s">
        <v>1174</v>
      </c>
      <c r="B1632" s="347" t="s">
        <v>295</v>
      </c>
      <c r="C1632" s="1148"/>
      <c r="D1632" s="1151"/>
      <c r="E1632" s="421">
        <v>3</v>
      </c>
      <c r="F1632" s="475" t="s">
        <v>26</v>
      </c>
      <c r="G1632" s="465"/>
      <c r="H1632" s="473">
        <v>60.7</v>
      </c>
      <c r="I1632" s="1153"/>
      <c r="J1632" s="415">
        <v>72037.050970873781</v>
      </c>
      <c r="K1632" s="437">
        <v>833384.9</v>
      </c>
    </row>
    <row r="1633" spans="1:11" x14ac:dyDescent="0.2">
      <c r="A1633" s="349" t="s">
        <v>1175</v>
      </c>
      <c r="B1633" s="347" t="s">
        <v>295</v>
      </c>
      <c r="C1633" s="1148"/>
      <c r="D1633" s="1151"/>
      <c r="E1633" s="421">
        <v>10</v>
      </c>
      <c r="F1633" s="475"/>
      <c r="G1633" s="465"/>
      <c r="H1633" s="473">
        <v>62.1</v>
      </c>
      <c r="I1633" s="1153"/>
      <c r="J1633" s="415">
        <v>73698.531553398061</v>
      </c>
      <c r="K1633" s="437"/>
    </row>
    <row r="1634" spans="1:11" x14ac:dyDescent="0.2">
      <c r="A1634" s="349" t="s">
        <v>1176</v>
      </c>
      <c r="B1634" s="347" t="s">
        <v>295</v>
      </c>
      <c r="C1634" s="1148"/>
      <c r="D1634" s="1151"/>
      <c r="E1634" s="421">
        <v>13</v>
      </c>
      <c r="F1634" s="475"/>
      <c r="G1634" s="465"/>
      <c r="H1634" s="473">
        <v>61.1</v>
      </c>
      <c r="I1634" s="1153"/>
      <c r="J1634" s="415">
        <v>72511.759708737867</v>
      </c>
      <c r="K1634" s="437"/>
    </row>
    <row r="1635" spans="1:11" x14ac:dyDescent="0.2">
      <c r="A1635" s="433" t="s">
        <v>12664</v>
      </c>
      <c r="B1635" s="433" t="s">
        <v>295</v>
      </c>
      <c r="C1635" s="1148"/>
      <c r="D1635" s="1151"/>
      <c r="E1635" s="675">
        <v>14</v>
      </c>
      <c r="F1635" s="678" t="s">
        <v>12665</v>
      </c>
      <c r="G1635" s="679" t="s">
        <v>512</v>
      </c>
      <c r="H1635" s="680">
        <v>45.5</v>
      </c>
      <c r="I1635" s="1153"/>
      <c r="J1635" s="435">
        <v>1590992.7</v>
      </c>
      <c r="K1635" s="443">
        <v>375840.46</v>
      </c>
    </row>
    <row r="1636" spans="1:11" x14ac:dyDescent="0.2">
      <c r="A1636" s="347" t="s">
        <v>13287</v>
      </c>
      <c r="B1636" s="347" t="s">
        <v>295</v>
      </c>
      <c r="C1636" s="1149"/>
      <c r="D1636" s="1152"/>
      <c r="E1636" s="468">
        <v>18</v>
      </c>
      <c r="F1636" s="475" t="s">
        <v>13288</v>
      </c>
      <c r="G1636" s="588" t="s">
        <v>128</v>
      </c>
      <c r="H1636" s="469">
        <v>30.4</v>
      </c>
      <c r="I1636" s="1146"/>
      <c r="J1636" s="415">
        <v>1149144.3</v>
      </c>
      <c r="K1636" s="437">
        <v>438947.42</v>
      </c>
    </row>
    <row r="1637" spans="1:11" x14ac:dyDescent="0.2">
      <c r="A1637" s="419" t="s">
        <v>1177</v>
      </c>
      <c r="B1637" s="347"/>
      <c r="C1637" s="1147" t="s">
        <v>11887</v>
      </c>
      <c r="D1637" s="1150">
        <v>28</v>
      </c>
      <c r="E1637" s="456"/>
      <c r="F1637" s="43"/>
      <c r="G1637" s="721"/>
      <c r="H1637" s="540">
        <f>1299.2-1299.2</f>
        <v>0</v>
      </c>
      <c r="I1637" s="1145">
        <v>1985</v>
      </c>
      <c r="J1637" s="415">
        <f>3559128-3559128</f>
        <v>0</v>
      </c>
      <c r="K1637" s="437"/>
    </row>
    <row r="1638" spans="1:11" ht="12.75" customHeight="1" x14ac:dyDescent="0.2">
      <c r="A1638" s="349" t="s">
        <v>1178</v>
      </c>
      <c r="B1638" s="347" t="s">
        <v>295</v>
      </c>
      <c r="C1638" s="1148"/>
      <c r="D1638" s="1151"/>
      <c r="E1638" s="421">
        <v>1</v>
      </c>
      <c r="F1638" s="475"/>
      <c r="G1638" s="465"/>
      <c r="H1638" s="441">
        <v>18</v>
      </c>
      <c r="I1638" s="1153"/>
      <c r="J1638" s="415">
        <v>49584.136391625623</v>
      </c>
      <c r="K1638" s="437"/>
    </row>
    <row r="1639" spans="1:11" x14ac:dyDescent="0.2">
      <c r="A1639" s="349" t="s">
        <v>1179</v>
      </c>
      <c r="B1639" s="347" t="s">
        <v>295</v>
      </c>
      <c r="C1639" s="1148"/>
      <c r="D1639" s="1151"/>
      <c r="E1639" s="421">
        <v>2</v>
      </c>
      <c r="F1639" s="475"/>
      <c r="G1639" s="465"/>
      <c r="H1639" s="441">
        <v>18</v>
      </c>
      <c r="I1639" s="1153"/>
      <c r="J1639" s="415">
        <v>49584.136391625623</v>
      </c>
      <c r="K1639" s="437"/>
    </row>
    <row r="1640" spans="1:11" x14ac:dyDescent="0.2">
      <c r="A1640" s="349" t="s">
        <v>1180</v>
      </c>
      <c r="B1640" s="347" t="s">
        <v>295</v>
      </c>
      <c r="C1640" s="1148"/>
      <c r="D1640" s="1151"/>
      <c r="E1640" s="421">
        <v>3</v>
      </c>
      <c r="F1640" s="475"/>
      <c r="G1640" s="465"/>
      <c r="H1640" s="441">
        <v>18</v>
      </c>
      <c r="I1640" s="1153"/>
      <c r="J1640" s="415">
        <v>47118.626847290638</v>
      </c>
      <c r="K1640" s="437"/>
    </row>
    <row r="1641" spans="1:11" x14ac:dyDescent="0.2">
      <c r="A1641" s="349" t="s">
        <v>1181</v>
      </c>
      <c r="B1641" s="347" t="s">
        <v>295</v>
      </c>
      <c r="C1641" s="1148"/>
      <c r="D1641" s="1151"/>
      <c r="E1641" s="421">
        <v>4</v>
      </c>
      <c r="F1641" s="475"/>
      <c r="G1641" s="465"/>
      <c r="H1641" s="441">
        <v>18</v>
      </c>
      <c r="I1641" s="1153"/>
      <c r="J1641" s="415">
        <v>47666.517857142855</v>
      </c>
      <c r="K1641" s="437"/>
    </row>
    <row r="1642" spans="1:11" x14ac:dyDescent="0.2">
      <c r="A1642" s="349" t="s">
        <v>1727</v>
      </c>
      <c r="B1642" s="347" t="s">
        <v>295</v>
      </c>
      <c r="C1642" s="1148"/>
      <c r="D1642" s="1151"/>
      <c r="E1642" s="421">
        <v>5</v>
      </c>
      <c r="F1642" s="475"/>
      <c r="G1642" s="465"/>
      <c r="H1642" s="441">
        <v>18</v>
      </c>
      <c r="I1642" s="1153"/>
      <c r="J1642" s="415">
        <v>41639.716748768471</v>
      </c>
      <c r="K1642" s="437"/>
    </row>
    <row r="1643" spans="1:11" ht="12.75" customHeight="1" x14ac:dyDescent="0.2">
      <c r="A1643" s="349" t="s">
        <v>1728</v>
      </c>
      <c r="B1643" s="347" t="s">
        <v>295</v>
      </c>
      <c r="C1643" s="1148"/>
      <c r="D1643" s="1151"/>
      <c r="E1643" s="421">
        <v>6</v>
      </c>
      <c r="F1643" s="475"/>
      <c r="G1643" s="618"/>
      <c r="H1643" s="441">
        <v>18</v>
      </c>
      <c r="I1643" s="1153"/>
      <c r="J1643" s="415">
        <v>52049.645935960594</v>
      </c>
      <c r="K1643" s="437"/>
    </row>
    <row r="1644" spans="1:11" x14ac:dyDescent="0.2">
      <c r="A1644" s="349" t="s">
        <v>9838</v>
      </c>
      <c r="B1644" s="347" t="s">
        <v>299</v>
      </c>
      <c r="C1644" s="1148"/>
      <c r="D1644" s="1151"/>
      <c r="E1644" s="421">
        <v>7</v>
      </c>
      <c r="F1644" s="477"/>
      <c r="G1644" s="619"/>
      <c r="H1644" s="441">
        <v>18</v>
      </c>
      <c r="I1644" s="1153"/>
      <c r="J1644" s="415">
        <f>3559128/1299.2*H1644</f>
        <v>49310.578817733985</v>
      </c>
      <c r="K1644" s="437"/>
    </row>
    <row r="1645" spans="1:11" x14ac:dyDescent="0.2">
      <c r="A1645" s="349" t="s">
        <v>9839</v>
      </c>
      <c r="B1645" s="347" t="s">
        <v>299</v>
      </c>
      <c r="C1645" s="1148"/>
      <c r="D1645" s="1151"/>
      <c r="E1645" s="421">
        <v>8</v>
      </c>
      <c r="F1645" s="477"/>
      <c r="G1645" s="619"/>
      <c r="H1645" s="441">
        <v>18</v>
      </c>
      <c r="I1645" s="1153"/>
      <c r="J1645" s="415">
        <f t="shared" ref="J1645:J1657" si="10">3559128/1299.2*H1645</f>
        <v>49310.578817733985</v>
      </c>
      <c r="K1645" s="437"/>
    </row>
    <row r="1646" spans="1:11" ht="12.75" customHeight="1" x14ac:dyDescent="0.2">
      <c r="A1646" s="349" t="s">
        <v>9840</v>
      </c>
      <c r="B1646" s="347" t="s">
        <v>299</v>
      </c>
      <c r="C1646" s="1148"/>
      <c r="D1646" s="1151"/>
      <c r="E1646" s="421">
        <v>9</v>
      </c>
      <c r="F1646" s="477"/>
      <c r="G1646" s="619"/>
      <c r="H1646" s="441">
        <v>18.399999999999999</v>
      </c>
      <c r="I1646" s="1153"/>
      <c r="J1646" s="415">
        <f t="shared" si="10"/>
        <v>50406.369458128072</v>
      </c>
      <c r="K1646" s="437"/>
    </row>
    <row r="1647" spans="1:11" x14ac:dyDescent="0.2">
      <c r="A1647" s="349" t="s">
        <v>9841</v>
      </c>
      <c r="B1647" s="347" t="s">
        <v>299</v>
      </c>
      <c r="C1647" s="1148"/>
      <c r="D1647" s="1151"/>
      <c r="E1647" s="421">
        <v>10</v>
      </c>
      <c r="F1647" s="477"/>
      <c r="G1647" s="619"/>
      <c r="H1647" s="441">
        <v>19.600000000000001</v>
      </c>
      <c r="I1647" s="1153"/>
      <c r="J1647" s="415">
        <f t="shared" si="10"/>
        <v>53693.741379310348</v>
      </c>
      <c r="K1647" s="437"/>
    </row>
    <row r="1648" spans="1:11" x14ac:dyDescent="0.2">
      <c r="A1648" s="349" t="s">
        <v>9842</v>
      </c>
      <c r="B1648" s="347" t="s">
        <v>299</v>
      </c>
      <c r="C1648" s="1148"/>
      <c r="D1648" s="1151"/>
      <c r="E1648" s="421">
        <v>11</v>
      </c>
      <c r="F1648" s="477"/>
      <c r="G1648" s="619"/>
      <c r="H1648" s="441">
        <v>18</v>
      </c>
      <c r="I1648" s="1153"/>
      <c r="J1648" s="415">
        <f t="shared" si="10"/>
        <v>49310.578817733985</v>
      </c>
      <c r="K1648" s="437"/>
    </row>
    <row r="1649" spans="1:11" x14ac:dyDescent="0.2">
      <c r="A1649" s="349" t="s">
        <v>9843</v>
      </c>
      <c r="B1649" s="347" t="s">
        <v>299</v>
      </c>
      <c r="C1649" s="1148"/>
      <c r="D1649" s="1151"/>
      <c r="E1649" s="421">
        <v>12</v>
      </c>
      <c r="F1649" s="477"/>
      <c r="G1649" s="619"/>
      <c r="H1649" s="441">
        <v>17.600000000000001</v>
      </c>
      <c r="I1649" s="1153"/>
      <c r="J1649" s="415">
        <f t="shared" si="10"/>
        <v>48214.788177339899</v>
      </c>
      <c r="K1649" s="437"/>
    </row>
    <row r="1650" spans="1:11" x14ac:dyDescent="0.2">
      <c r="A1650" s="349" t="s">
        <v>9844</v>
      </c>
      <c r="B1650" s="347" t="s">
        <v>299</v>
      </c>
      <c r="C1650" s="1148"/>
      <c r="D1650" s="1151"/>
      <c r="E1650" s="421">
        <v>13</v>
      </c>
      <c r="F1650" s="477"/>
      <c r="G1650" s="619"/>
      <c r="H1650" s="441">
        <v>18.399999999999999</v>
      </c>
      <c r="I1650" s="1153"/>
      <c r="J1650" s="415">
        <f t="shared" si="10"/>
        <v>50406.369458128072</v>
      </c>
      <c r="K1650" s="437"/>
    </row>
    <row r="1651" spans="1:11" ht="12.75" customHeight="1" x14ac:dyDescent="0.2">
      <c r="A1651" s="349" t="s">
        <v>9845</v>
      </c>
      <c r="B1651" s="347" t="s">
        <v>299</v>
      </c>
      <c r="C1651" s="1148"/>
      <c r="D1651" s="1151"/>
      <c r="E1651" s="421">
        <v>14</v>
      </c>
      <c r="F1651" s="477"/>
      <c r="G1651" s="619"/>
      <c r="H1651" s="441">
        <v>18</v>
      </c>
      <c r="I1651" s="1153"/>
      <c r="J1651" s="415">
        <f t="shared" si="10"/>
        <v>49310.578817733985</v>
      </c>
      <c r="K1651" s="437"/>
    </row>
    <row r="1652" spans="1:11" x14ac:dyDescent="0.2">
      <c r="A1652" s="349" t="s">
        <v>9846</v>
      </c>
      <c r="B1652" s="347" t="s">
        <v>299</v>
      </c>
      <c r="C1652" s="1148"/>
      <c r="D1652" s="1151"/>
      <c r="E1652" s="421">
        <v>15</v>
      </c>
      <c r="F1652" s="477"/>
      <c r="G1652" s="619"/>
      <c r="H1652" s="441">
        <v>18</v>
      </c>
      <c r="I1652" s="1153"/>
      <c r="J1652" s="415">
        <f t="shared" si="10"/>
        <v>49310.578817733985</v>
      </c>
      <c r="K1652" s="437"/>
    </row>
    <row r="1653" spans="1:11" x14ac:dyDescent="0.2">
      <c r="A1653" s="349" t="s">
        <v>9847</v>
      </c>
      <c r="B1653" s="347" t="s">
        <v>299</v>
      </c>
      <c r="C1653" s="1148"/>
      <c r="D1653" s="1151"/>
      <c r="E1653" s="421">
        <v>16</v>
      </c>
      <c r="F1653" s="477"/>
      <c r="G1653" s="619"/>
      <c r="H1653" s="441">
        <v>18.100000000000001</v>
      </c>
      <c r="I1653" s="1153"/>
      <c r="J1653" s="415">
        <f t="shared" si="10"/>
        <v>49584.526477832515</v>
      </c>
      <c r="K1653" s="437"/>
    </row>
    <row r="1654" spans="1:11" x14ac:dyDescent="0.2">
      <c r="A1654" s="349" t="s">
        <v>9848</v>
      </c>
      <c r="B1654" s="347" t="s">
        <v>299</v>
      </c>
      <c r="C1654" s="1148"/>
      <c r="D1654" s="1151"/>
      <c r="E1654" s="421">
        <v>17</v>
      </c>
      <c r="F1654" s="477"/>
      <c r="G1654" s="619"/>
      <c r="H1654" s="441">
        <v>18.5</v>
      </c>
      <c r="I1654" s="1153"/>
      <c r="J1654" s="415">
        <f t="shared" si="10"/>
        <v>50680.317118226594</v>
      </c>
      <c r="K1654" s="437"/>
    </row>
    <row r="1655" spans="1:11" x14ac:dyDescent="0.2">
      <c r="A1655" s="349" t="s">
        <v>9849</v>
      </c>
      <c r="B1655" s="347" t="s">
        <v>299</v>
      </c>
      <c r="C1655" s="1148"/>
      <c r="D1655" s="1151"/>
      <c r="E1655" s="421">
        <v>18</v>
      </c>
      <c r="F1655" s="477"/>
      <c r="G1655" s="619"/>
      <c r="H1655" s="441">
        <v>18</v>
      </c>
      <c r="I1655" s="1153"/>
      <c r="J1655" s="415">
        <f t="shared" si="10"/>
        <v>49310.578817733985</v>
      </c>
      <c r="K1655" s="437"/>
    </row>
    <row r="1656" spans="1:11" ht="12.75" customHeight="1" x14ac:dyDescent="0.2">
      <c r="A1656" s="349" t="s">
        <v>9850</v>
      </c>
      <c r="B1656" s="347" t="s">
        <v>299</v>
      </c>
      <c r="C1656" s="1148"/>
      <c r="D1656" s="1151"/>
      <c r="E1656" s="421">
        <v>19</v>
      </c>
      <c r="F1656" s="477"/>
      <c r="G1656" s="619"/>
      <c r="H1656" s="441">
        <v>18</v>
      </c>
      <c r="I1656" s="1153"/>
      <c r="J1656" s="415">
        <f t="shared" si="10"/>
        <v>49310.578817733985</v>
      </c>
      <c r="K1656" s="437"/>
    </row>
    <row r="1657" spans="1:11" x14ac:dyDescent="0.2">
      <c r="A1657" s="349" t="s">
        <v>9851</v>
      </c>
      <c r="B1657" s="347" t="s">
        <v>299</v>
      </c>
      <c r="C1657" s="1148"/>
      <c r="D1657" s="1151"/>
      <c r="E1657" s="421">
        <v>20</v>
      </c>
      <c r="F1657" s="477"/>
      <c r="G1657" s="619"/>
      <c r="H1657" s="441">
        <v>18</v>
      </c>
      <c r="I1657" s="1153"/>
      <c r="J1657" s="415">
        <f t="shared" si="10"/>
        <v>49310.578817733985</v>
      </c>
      <c r="K1657" s="437"/>
    </row>
    <row r="1658" spans="1:11" x14ac:dyDescent="0.2">
      <c r="A1658" s="349" t="s">
        <v>9852</v>
      </c>
      <c r="B1658" s="347" t="s">
        <v>299</v>
      </c>
      <c r="C1658" s="1148"/>
      <c r="D1658" s="1151"/>
      <c r="E1658" s="421">
        <v>21</v>
      </c>
      <c r="F1658" s="477"/>
      <c r="G1658" s="619"/>
      <c r="H1658" s="441">
        <v>18</v>
      </c>
      <c r="I1658" s="1153"/>
      <c r="J1658" s="415">
        <f>3559128/1299.2*H1658</f>
        <v>49310.578817733985</v>
      </c>
      <c r="K1658" s="437"/>
    </row>
    <row r="1659" spans="1:11" ht="12.75" customHeight="1" x14ac:dyDescent="0.2">
      <c r="A1659" s="349" t="s">
        <v>9853</v>
      </c>
      <c r="B1659" s="347" t="s">
        <v>299</v>
      </c>
      <c r="C1659" s="1148"/>
      <c r="D1659" s="1151"/>
      <c r="E1659" s="421">
        <v>26</v>
      </c>
      <c r="F1659" s="477"/>
      <c r="G1659" s="619"/>
      <c r="H1659" s="441">
        <v>18</v>
      </c>
      <c r="I1659" s="1153"/>
      <c r="J1659" s="415">
        <f t="shared" ref="J1659:J1681" si="11">3559128/1299.2*H1659</f>
        <v>49310.578817733985</v>
      </c>
      <c r="K1659" s="437"/>
    </row>
    <row r="1660" spans="1:11" x14ac:dyDescent="0.2">
      <c r="A1660" s="349" t="s">
        <v>9854</v>
      </c>
      <c r="B1660" s="347" t="s">
        <v>299</v>
      </c>
      <c r="C1660" s="1148"/>
      <c r="D1660" s="1151"/>
      <c r="E1660" s="421">
        <v>27</v>
      </c>
      <c r="F1660" s="477"/>
      <c r="G1660" s="619"/>
      <c r="H1660" s="441">
        <v>15</v>
      </c>
      <c r="I1660" s="1153"/>
      <c r="J1660" s="415">
        <f t="shared" si="11"/>
        <v>41092.149014778319</v>
      </c>
      <c r="K1660" s="437"/>
    </row>
    <row r="1661" spans="1:11" x14ac:dyDescent="0.2">
      <c r="A1661" s="349" t="s">
        <v>9855</v>
      </c>
      <c r="B1661" s="347" t="s">
        <v>299</v>
      </c>
      <c r="C1661" s="1148"/>
      <c r="D1661" s="1151"/>
      <c r="E1661" s="421">
        <v>28</v>
      </c>
      <c r="F1661" s="477"/>
      <c r="G1661" s="619"/>
      <c r="H1661" s="441">
        <v>18.600000000000001</v>
      </c>
      <c r="I1661" s="1153"/>
      <c r="J1661" s="415">
        <f t="shared" si="11"/>
        <v>50954.264778325123</v>
      </c>
      <c r="K1661" s="437"/>
    </row>
    <row r="1662" spans="1:11" x14ac:dyDescent="0.2">
      <c r="A1662" s="349" t="s">
        <v>9856</v>
      </c>
      <c r="B1662" s="347" t="s">
        <v>299</v>
      </c>
      <c r="C1662" s="1148"/>
      <c r="D1662" s="1151"/>
      <c r="E1662" s="421">
        <v>29</v>
      </c>
      <c r="F1662" s="477"/>
      <c r="G1662" s="619"/>
      <c r="H1662" s="441">
        <v>18</v>
      </c>
      <c r="I1662" s="1153"/>
      <c r="J1662" s="415">
        <f t="shared" si="11"/>
        <v>49310.578817733985</v>
      </c>
      <c r="K1662" s="437"/>
    </row>
    <row r="1663" spans="1:11" ht="12.75" customHeight="1" x14ac:dyDescent="0.2">
      <c r="A1663" s="349" t="s">
        <v>9857</v>
      </c>
      <c r="B1663" s="347" t="s">
        <v>299</v>
      </c>
      <c r="C1663" s="1148"/>
      <c r="D1663" s="1151"/>
      <c r="E1663" s="421">
        <v>30</v>
      </c>
      <c r="F1663" s="477"/>
      <c r="G1663" s="619"/>
      <c r="H1663" s="441">
        <v>18</v>
      </c>
      <c r="I1663" s="1153"/>
      <c r="J1663" s="415">
        <f t="shared" si="11"/>
        <v>49310.578817733985</v>
      </c>
      <c r="K1663" s="437"/>
    </row>
    <row r="1664" spans="1:11" x14ac:dyDescent="0.2">
      <c r="A1664" s="349" t="s">
        <v>9858</v>
      </c>
      <c r="B1664" s="347" t="s">
        <v>299</v>
      </c>
      <c r="C1664" s="1148"/>
      <c r="D1664" s="1151"/>
      <c r="E1664" s="421">
        <v>31</v>
      </c>
      <c r="F1664" s="477"/>
      <c r="G1664" s="619"/>
      <c r="H1664" s="441">
        <v>18</v>
      </c>
      <c r="I1664" s="1153"/>
      <c r="J1664" s="415">
        <f t="shared" si="11"/>
        <v>49310.578817733985</v>
      </c>
      <c r="K1664" s="437"/>
    </row>
    <row r="1665" spans="1:11" x14ac:dyDescent="0.2">
      <c r="A1665" s="349" t="s">
        <v>9859</v>
      </c>
      <c r="B1665" s="347" t="s">
        <v>299</v>
      </c>
      <c r="C1665" s="1148"/>
      <c r="D1665" s="1151"/>
      <c r="E1665" s="421">
        <v>32</v>
      </c>
      <c r="F1665" s="477"/>
      <c r="G1665" s="619"/>
      <c r="H1665" s="441">
        <v>18</v>
      </c>
      <c r="I1665" s="1153"/>
      <c r="J1665" s="415">
        <f t="shared" si="11"/>
        <v>49310.578817733985</v>
      </c>
      <c r="K1665" s="437"/>
    </row>
    <row r="1666" spans="1:11" x14ac:dyDescent="0.2">
      <c r="A1666" s="349" t="s">
        <v>9860</v>
      </c>
      <c r="B1666" s="347" t="s">
        <v>299</v>
      </c>
      <c r="C1666" s="1148"/>
      <c r="D1666" s="1151"/>
      <c r="E1666" s="421">
        <v>33</v>
      </c>
      <c r="F1666" s="477"/>
      <c r="G1666" s="619"/>
      <c r="H1666" s="441">
        <v>18</v>
      </c>
      <c r="I1666" s="1153"/>
      <c r="J1666" s="415">
        <f t="shared" si="11"/>
        <v>49310.578817733985</v>
      </c>
      <c r="K1666" s="437"/>
    </row>
    <row r="1667" spans="1:11" x14ac:dyDescent="0.2">
      <c r="A1667" s="349" t="s">
        <v>9861</v>
      </c>
      <c r="B1667" s="347" t="s">
        <v>299</v>
      </c>
      <c r="C1667" s="1148"/>
      <c r="D1667" s="1151"/>
      <c r="E1667" s="421">
        <v>34</v>
      </c>
      <c r="F1667" s="477"/>
      <c r="G1667" s="619"/>
      <c r="H1667" s="441">
        <v>18.7</v>
      </c>
      <c r="I1667" s="1153"/>
      <c r="J1667" s="415">
        <f t="shared" si="11"/>
        <v>51228.212438423638</v>
      </c>
      <c r="K1667" s="437"/>
    </row>
    <row r="1668" spans="1:11" ht="12.75" customHeight="1" x14ac:dyDescent="0.2">
      <c r="A1668" s="349" t="s">
        <v>9862</v>
      </c>
      <c r="B1668" s="347" t="s">
        <v>299</v>
      </c>
      <c r="C1668" s="1148"/>
      <c r="D1668" s="1151"/>
      <c r="E1668" s="421">
        <v>35</v>
      </c>
      <c r="F1668" s="477"/>
      <c r="G1668" s="619"/>
      <c r="H1668" s="441">
        <v>18</v>
      </c>
      <c r="I1668" s="1153"/>
      <c r="J1668" s="415">
        <f t="shared" si="11"/>
        <v>49310.578817733985</v>
      </c>
      <c r="K1668" s="437"/>
    </row>
    <row r="1669" spans="1:11" x14ac:dyDescent="0.2">
      <c r="A1669" s="349" t="s">
        <v>9863</v>
      </c>
      <c r="B1669" s="347" t="s">
        <v>299</v>
      </c>
      <c r="C1669" s="1148"/>
      <c r="D1669" s="1151"/>
      <c r="E1669" s="421">
        <v>36</v>
      </c>
      <c r="F1669" s="477"/>
      <c r="G1669" s="619"/>
      <c r="H1669" s="441">
        <v>18</v>
      </c>
      <c r="I1669" s="1153"/>
      <c r="J1669" s="415">
        <f t="shared" si="11"/>
        <v>49310.578817733985</v>
      </c>
      <c r="K1669" s="437"/>
    </row>
    <row r="1670" spans="1:11" x14ac:dyDescent="0.2">
      <c r="A1670" s="349" t="s">
        <v>9864</v>
      </c>
      <c r="B1670" s="347" t="s">
        <v>299</v>
      </c>
      <c r="C1670" s="1148"/>
      <c r="D1670" s="1151"/>
      <c r="E1670" s="421">
        <v>37</v>
      </c>
      <c r="F1670" s="477"/>
      <c r="G1670" s="619"/>
      <c r="H1670" s="441">
        <v>18</v>
      </c>
      <c r="I1670" s="1153"/>
      <c r="J1670" s="415">
        <f t="shared" si="11"/>
        <v>49310.578817733985</v>
      </c>
      <c r="K1670" s="437"/>
    </row>
    <row r="1671" spans="1:11" x14ac:dyDescent="0.2">
      <c r="A1671" s="349" t="s">
        <v>9865</v>
      </c>
      <c r="B1671" s="347" t="s">
        <v>299</v>
      </c>
      <c r="C1671" s="1148"/>
      <c r="D1671" s="1151"/>
      <c r="E1671" s="421">
        <v>38</v>
      </c>
      <c r="F1671" s="477"/>
      <c r="G1671" s="619"/>
      <c r="H1671" s="441">
        <v>18</v>
      </c>
      <c r="I1671" s="1153"/>
      <c r="J1671" s="415">
        <f t="shared" si="11"/>
        <v>49310.578817733985</v>
      </c>
      <c r="K1671" s="437"/>
    </row>
    <row r="1672" spans="1:11" ht="67.5" customHeight="1" x14ac:dyDescent="0.2">
      <c r="A1672" s="349" t="s">
        <v>9866</v>
      </c>
      <c r="B1672" s="865" t="s">
        <v>14598</v>
      </c>
      <c r="C1672" s="1148"/>
      <c r="D1672" s="1151"/>
      <c r="E1672" s="421">
        <v>39</v>
      </c>
      <c r="F1672" s="477"/>
      <c r="G1672" s="619"/>
      <c r="H1672" s="441">
        <v>18.7</v>
      </c>
      <c r="I1672" s="1153"/>
      <c r="J1672" s="415">
        <f t="shared" si="11"/>
        <v>51228.212438423638</v>
      </c>
      <c r="K1672" s="437"/>
    </row>
    <row r="1673" spans="1:11" ht="12.75" customHeight="1" x14ac:dyDescent="0.2">
      <c r="A1673" s="349" t="s">
        <v>9867</v>
      </c>
      <c r="B1673" s="347" t="s">
        <v>299</v>
      </c>
      <c r="C1673" s="1148"/>
      <c r="D1673" s="1151"/>
      <c r="E1673" s="421">
        <v>40</v>
      </c>
      <c r="F1673" s="477"/>
      <c r="G1673" s="619"/>
      <c r="H1673" s="441">
        <v>18</v>
      </c>
      <c r="I1673" s="1153"/>
      <c r="J1673" s="415">
        <f t="shared" si="11"/>
        <v>49310.578817733985</v>
      </c>
      <c r="K1673" s="437"/>
    </row>
    <row r="1674" spans="1:11" x14ac:dyDescent="0.2">
      <c r="A1674" s="349" t="s">
        <v>9868</v>
      </c>
      <c r="B1674" s="347" t="s">
        <v>299</v>
      </c>
      <c r="C1674" s="1148"/>
      <c r="D1674" s="1151"/>
      <c r="E1674" s="421">
        <v>41</v>
      </c>
      <c r="F1674" s="477"/>
      <c r="G1674" s="619"/>
      <c r="H1674" s="441">
        <v>18</v>
      </c>
      <c r="I1674" s="1153"/>
      <c r="J1674" s="415">
        <f t="shared" si="11"/>
        <v>49310.578817733985</v>
      </c>
      <c r="K1674" s="437"/>
    </row>
    <row r="1675" spans="1:11" x14ac:dyDescent="0.2">
      <c r="A1675" s="349" t="s">
        <v>9869</v>
      </c>
      <c r="B1675" s="347" t="s">
        <v>299</v>
      </c>
      <c r="C1675" s="1148"/>
      <c r="D1675" s="1151"/>
      <c r="E1675" s="421">
        <v>42</v>
      </c>
      <c r="F1675" s="477"/>
      <c r="G1675" s="619"/>
      <c r="H1675" s="441">
        <v>19</v>
      </c>
      <c r="I1675" s="1153"/>
      <c r="J1675" s="415">
        <f t="shared" si="11"/>
        <v>52050.05541871921</v>
      </c>
      <c r="K1675" s="437"/>
    </row>
    <row r="1676" spans="1:11" ht="12.75" customHeight="1" x14ac:dyDescent="0.2">
      <c r="A1676" s="349" t="s">
        <v>9870</v>
      </c>
      <c r="B1676" s="347" t="s">
        <v>299</v>
      </c>
      <c r="C1676" s="1148"/>
      <c r="D1676" s="1151"/>
      <c r="E1676" s="421">
        <v>43</v>
      </c>
      <c r="F1676" s="477"/>
      <c r="G1676" s="619"/>
      <c r="H1676" s="441">
        <v>18</v>
      </c>
      <c r="I1676" s="1153"/>
      <c r="J1676" s="415">
        <f t="shared" si="11"/>
        <v>49310.578817733985</v>
      </c>
      <c r="K1676" s="437"/>
    </row>
    <row r="1677" spans="1:11" x14ac:dyDescent="0.2">
      <c r="A1677" s="349" t="s">
        <v>9871</v>
      </c>
      <c r="B1677" s="347" t="s">
        <v>299</v>
      </c>
      <c r="C1677" s="1148"/>
      <c r="D1677" s="1151"/>
      <c r="E1677" s="421">
        <v>44</v>
      </c>
      <c r="F1677" s="477"/>
      <c r="G1677" s="619"/>
      <c r="H1677" s="441">
        <v>18.2</v>
      </c>
      <c r="I1677" s="1153"/>
      <c r="J1677" s="415">
        <f t="shared" si="11"/>
        <v>49858.474137931029</v>
      </c>
      <c r="K1677" s="437"/>
    </row>
    <row r="1678" spans="1:11" x14ac:dyDescent="0.2">
      <c r="A1678" s="349" t="s">
        <v>9872</v>
      </c>
      <c r="B1678" s="347" t="s">
        <v>299</v>
      </c>
      <c r="C1678" s="1148"/>
      <c r="D1678" s="1151"/>
      <c r="E1678" s="421">
        <v>46</v>
      </c>
      <c r="F1678" s="477"/>
      <c r="G1678" s="619"/>
      <c r="H1678" s="441">
        <v>18</v>
      </c>
      <c r="I1678" s="1153"/>
      <c r="J1678" s="415">
        <f t="shared" si="11"/>
        <v>49310.578817733985</v>
      </c>
      <c r="K1678" s="437"/>
    </row>
    <row r="1679" spans="1:11" ht="12.75" customHeight="1" x14ac:dyDescent="0.2">
      <c r="A1679" s="349" t="s">
        <v>9873</v>
      </c>
      <c r="B1679" s="347" t="s">
        <v>299</v>
      </c>
      <c r="C1679" s="1148"/>
      <c r="D1679" s="1151"/>
      <c r="E1679" s="421">
        <v>47</v>
      </c>
      <c r="F1679" s="477"/>
      <c r="G1679" s="619"/>
      <c r="H1679" s="441">
        <v>18</v>
      </c>
      <c r="I1679" s="1153"/>
      <c r="J1679" s="415">
        <f t="shared" si="11"/>
        <v>49310.578817733985</v>
      </c>
      <c r="K1679" s="437"/>
    </row>
    <row r="1680" spans="1:11" x14ac:dyDescent="0.2">
      <c r="A1680" s="349" t="s">
        <v>9874</v>
      </c>
      <c r="B1680" s="347" t="s">
        <v>299</v>
      </c>
      <c r="C1680" s="1148"/>
      <c r="D1680" s="1151"/>
      <c r="E1680" s="421">
        <v>48</v>
      </c>
      <c r="F1680" s="477"/>
      <c r="G1680" s="619"/>
      <c r="H1680" s="441">
        <v>18</v>
      </c>
      <c r="I1680" s="1153"/>
      <c r="J1680" s="415">
        <f t="shared" si="11"/>
        <v>49310.578817733985</v>
      </c>
      <c r="K1680" s="437"/>
    </row>
    <row r="1681" spans="1:11" ht="12.75" customHeight="1" x14ac:dyDescent="0.2">
      <c r="A1681" s="349" t="s">
        <v>9875</v>
      </c>
      <c r="B1681" s="347" t="s">
        <v>299</v>
      </c>
      <c r="C1681" s="1149"/>
      <c r="D1681" s="1152"/>
      <c r="E1681" s="421">
        <v>49</v>
      </c>
      <c r="F1681" s="477"/>
      <c r="G1681" s="619"/>
      <c r="H1681" s="441">
        <v>18</v>
      </c>
      <c r="I1681" s="1146"/>
      <c r="J1681" s="415">
        <f t="shared" si="11"/>
        <v>49310.578817733985</v>
      </c>
      <c r="K1681" s="437"/>
    </row>
    <row r="1682" spans="1:11" x14ac:dyDescent="0.2">
      <c r="A1682" s="348" t="s">
        <v>1182</v>
      </c>
      <c r="B1682" s="347"/>
      <c r="C1682" s="1147" t="s">
        <v>11387</v>
      </c>
      <c r="D1682" s="1150">
        <v>14</v>
      </c>
      <c r="E1682" s="436"/>
      <c r="F1682" s="178"/>
      <c r="G1682" s="722"/>
      <c r="H1682" s="415">
        <f>1116.9-1116.9</f>
        <v>0</v>
      </c>
      <c r="I1682" s="1145">
        <v>1995</v>
      </c>
      <c r="J1682" s="415">
        <f>935500-935500</f>
        <v>0</v>
      </c>
      <c r="K1682" s="437"/>
    </row>
    <row r="1683" spans="1:11" ht="12.75" customHeight="1" x14ac:dyDescent="0.2">
      <c r="A1683" s="349" t="s">
        <v>1729</v>
      </c>
      <c r="B1683" s="347" t="s">
        <v>295</v>
      </c>
      <c r="C1683" s="1148"/>
      <c r="D1683" s="1151"/>
      <c r="E1683" s="425">
        <v>1</v>
      </c>
      <c r="F1683" s="178" t="s">
        <v>27</v>
      </c>
      <c r="G1683" s="620"/>
      <c r="H1683" s="415">
        <v>90.7</v>
      </c>
      <c r="I1683" s="1153"/>
      <c r="J1683" s="415">
        <v>75969.066165278899</v>
      </c>
      <c r="K1683" s="437">
        <v>939941.33</v>
      </c>
    </row>
    <row r="1684" spans="1:11" ht="13.5" customHeight="1" x14ac:dyDescent="0.2">
      <c r="A1684" s="349" t="s">
        <v>1730</v>
      </c>
      <c r="B1684" s="347" t="s">
        <v>295</v>
      </c>
      <c r="C1684" s="1149"/>
      <c r="D1684" s="1152"/>
      <c r="E1684" s="425">
        <v>2</v>
      </c>
      <c r="F1684" s="178" t="s">
        <v>28</v>
      </c>
      <c r="G1684" s="620"/>
      <c r="H1684" s="415">
        <v>91.2</v>
      </c>
      <c r="I1684" s="1146"/>
      <c r="J1684" s="415">
        <v>76387.859253290357</v>
      </c>
      <c r="K1684" s="437">
        <v>945122.93</v>
      </c>
    </row>
    <row r="1685" spans="1:11" ht="13.5" customHeight="1" x14ac:dyDescent="0.2">
      <c r="A1685" s="348" t="s">
        <v>14291</v>
      </c>
      <c r="B1685" s="833"/>
      <c r="C1685" s="1165" t="s">
        <v>14292</v>
      </c>
      <c r="D1685" s="919">
        <v>1</v>
      </c>
      <c r="E1685" s="425"/>
      <c r="F1685" s="178"/>
      <c r="G1685" s="620"/>
      <c r="H1685" s="837"/>
      <c r="I1685" s="1145">
        <v>1989</v>
      </c>
      <c r="J1685" s="837"/>
      <c r="K1685" s="437"/>
    </row>
    <row r="1686" spans="1:11" ht="13.5" customHeight="1" x14ac:dyDescent="0.2">
      <c r="A1686" s="863" t="s">
        <v>14293</v>
      </c>
      <c r="B1686" s="833" t="s">
        <v>295</v>
      </c>
      <c r="C1686" s="1164"/>
      <c r="D1686" s="919"/>
      <c r="E1686" s="425">
        <v>7</v>
      </c>
      <c r="F1686" s="178" t="s">
        <v>14294</v>
      </c>
      <c r="G1686" s="465" t="s">
        <v>512</v>
      </c>
      <c r="H1686" s="837">
        <v>53.3</v>
      </c>
      <c r="I1686" s="1146"/>
      <c r="J1686" s="837">
        <v>6395581.4000000004</v>
      </c>
      <c r="K1686" s="437">
        <v>681770.43</v>
      </c>
    </row>
    <row r="1687" spans="1:11" ht="16.5" customHeight="1" x14ac:dyDescent="0.2">
      <c r="A1687" s="348" t="s">
        <v>1183</v>
      </c>
      <c r="B1687" s="347"/>
      <c r="C1687" s="1147" t="s">
        <v>11388</v>
      </c>
      <c r="D1687" s="1158">
        <v>14</v>
      </c>
      <c r="E1687" s="436"/>
      <c r="F1687" s="178"/>
      <c r="G1687" s="722"/>
      <c r="H1687" s="415">
        <f>3308.1-65-32.2-76.9-18.2-16-18.8-23.2-21.2-13.7-21.4-26-81.2-32.6-66.4-68.1-64.6-67.9-88.4-83-89.4-66.6-80.7-67.3-60-88.8-63-65.5-69.6-89.1-31.8-66.8-32.3-69.5-62.8-60.7-63.6-81.2-76.5-34.2-65+80.7-83-66.4-76.7-62.7-12.6-24.8-18.3</f>
        <v>775.10000000000105</v>
      </c>
      <c r="I1687" s="1145">
        <v>1995</v>
      </c>
      <c r="J1687" s="415">
        <f>4666620/3308.1*H1687</f>
        <v>1093406.2337897902</v>
      </c>
      <c r="K1687" s="437"/>
    </row>
    <row r="1688" spans="1:11" ht="12.75" customHeight="1" x14ac:dyDescent="0.2">
      <c r="A1688" s="349" t="s">
        <v>1731</v>
      </c>
      <c r="B1688" s="347" t="s">
        <v>295</v>
      </c>
      <c r="C1688" s="1148"/>
      <c r="D1688" s="1158"/>
      <c r="E1688" s="436">
        <v>41</v>
      </c>
      <c r="F1688" s="178"/>
      <c r="G1688" s="722"/>
      <c r="H1688" s="441"/>
      <c r="I1688" s="1153"/>
      <c r="J1688" s="415"/>
      <c r="K1688" s="437"/>
    </row>
    <row r="1689" spans="1:11" ht="12.75" customHeight="1" x14ac:dyDescent="0.2">
      <c r="A1689" s="349" t="s">
        <v>1732</v>
      </c>
      <c r="B1689" s="347" t="s">
        <v>299</v>
      </c>
      <c r="C1689" s="1148"/>
      <c r="D1689" s="1150" t="s">
        <v>493</v>
      </c>
      <c r="E1689" s="436">
        <v>3</v>
      </c>
      <c r="F1689" s="178"/>
      <c r="G1689" s="722" t="s">
        <v>137</v>
      </c>
      <c r="H1689" s="441"/>
      <c r="I1689" s="1153"/>
      <c r="J1689" s="415"/>
      <c r="K1689" s="437"/>
    </row>
    <row r="1690" spans="1:11" x14ac:dyDescent="0.2">
      <c r="A1690" s="349" t="s">
        <v>1733</v>
      </c>
      <c r="B1690" s="347" t="s">
        <v>299</v>
      </c>
      <c r="C1690" s="1148"/>
      <c r="D1690" s="1151"/>
      <c r="E1690" s="436">
        <v>4</v>
      </c>
      <c r="F1690" s="178"/>
      <c r="G1690" s="722" t="s">
        <v>137</v>
      </c>
      <c r="H1690" s="441">
        <v>16</v>
      </c>
      <c r="I1690" s="1153"/>
      <c r="J1690" s="415"/>
      <c r="K1690" s="437"/>
    </row>
    <row r="1691" spans="1:11" x14ac:dyDescent="0.2">
      <c r="A1691" s="420" t="s">
        <v>1734</v>
      </c>
      <c r="B1691" s="420" t="s">
        <v>299</v>
      </c>
      <c r="C1691" s="1148"/>
      <c r="D1691" s="1151"/>
      <c r="E1691" s="436">
        <v>6</v>
      </c>
      <c r="F1691" s="178" t="s">
        <v>12415</v>
      </c>
      <c r="G1691" s="722" t="s">
        <v>137</v>
      </c>
      <c r="H1691" s="415">
        <v>12.6</v>
      </c>
      <c r="I1691" s="1153"/>
      <c r="J1691" s="415">
        <f t="shared" ref="J1691:J1695" si="12">4666620/3308.1*H1691</f>
        <v>17774.375623469663</v>
      </c>
      <c r="K1691" s="437"/>
    </row>
    <row r="1692" spans="1:11" x14ac:dyDescent="0.2">
      <c r="A1692" s="420" t="s">
        <v>12411</v>
      </c>
      <c r="B1692" s="420" t="s">
        <v>299</v>
      </c>
      <c r="C1692" s="1148"/>
      <c r="D1692" s="1151"/>
      <c r="E1692" s="436">
        <v>1</v>
      </c>
      <c r="F1692" s="431"/>
      <c r="G1692" s="722" t="s">
        <v>137</v>
      </c>
      <c r="H1692" s="415">
        <v>14.6</v>
      </c>
      <c r="I1692" s="1153"/>
      <c r="J1692" s="415">
        <f t="shared" si="12"/>
        <v>20595.70508751247</v>
      </c>
      <c r="K1692" s="437"/>
    </row>
    <row r="1693" spans="1:11" x14ac:dyDescent="0.2">
      <c r="A1693" s="420" t="s">
        <v>12412</v>
      </c>
      <c r="B1693" s="420" t="s">
        <v>299</v>
      </c>
      <c r="C1693" s="1148"/>
      <c r="D1693" s="1151"/>
      <c r="E1693" s="436">
        <v>8</v>
      </c>
      <c r="F1693" s="589"/>
      <c r="G1693" s="722" t="s">
        <v>137</v>
      </c>
      <c r="H1693" s="415">
        <v>12</v>
      </c>
      <c r="I1693" s="1153"/>
      <c r="J1693" s="415">
        <f t="shared" si="12"/>
        <v>16927.976784256825</v>
      </c>
      <c r="K1693" s="437"/>
    </row>
    <row r="1694" spans="1:11" x14ac:dyDescent="0.2">
      <c r="A1694" s="420" t="s">
        <v>12413</v>
      </c>
      <c r="B1694" s="420" t="s">
        <v>299</v>
      </c>
      <c r="C1694" s="1148"/>
      <c r="D1694" s="1151"/>
      <c r="E1694" s="436">
        <v>9</v>
      </c>
      <c r="F1694" s="350"/>
      <c r="G1694" s="722" t="s">
        <v>137</v>
      </c>
      <c r="H1694" s="415">
        <v>15.8</v>
      </c>
      <c r="I1694" s="1153"/>
      <c r="J1694" s="415">
        <f t="shared" si="12"/>
        <v>22288.502765938152</v>
      </c>
      <c r="K1694" s="437"/>
    </row>
    <row r="1695" spans="1:11" x14ac:dyDescent="0.2">
      <c r="A1695" s="420" t="s">
        <v>12414</v>
      </c>
      <c r="B1695" s="420" t="s">
        <v>299</v>
      </c>
      <c r="C1695" s="1148"/>
      <c r="D1695" s="1151"/>
      <c r="E1695" s="436">
        <v>10</v>
      </c>
      <c r="F1695" s="350"/>
      <c r="G1695" s="722" t="s">
        <v>137</v>
      </c>
      <c r="H1695" s="415">
        <v>15.7</v>
      </c>
      <c r="I1695" s="1153"/>
      <c r="J1695" s="415">
        <f t="shared" si="12"/>
        <v>22147.436292736009</v>
      </c>
      <c r="K1695" s="437"/>
    </row>
    <row r="1696" spans="1:11" ht="12.75" customHeight="1" x14ac:dyDescent="0.2">
      <c r="A1696" s="349" t="s">
        <v>1734</v>
      </c>
      <c r="B1696" s="347" t="s">
        <v>299</v>
      </c>
      <c r="C1696" s="1148"/>
      <c r="D1696" s="1150" t="s">
        <v>494</v>
      </c>
      <c r="E1696" s="436"/>
      <c r="F1696" s="178"/>
      <c r="G1696" s="722"/>
      <c r="H1696" s="441"/>
      <c r="I1696" s="1153"/>
      <c r="J1696" s="415"/>
      <c r="K1696" s="437"/>
    </row>
    <row r="1697" spans="1:11" x14ac:dyDescent="0.2">
      <c r="A1697" s="349" t="s">
        <v>1735</v>
      </c>
      <c r="B1697" s="347" t="s">
        <v>299</v>
      </c>
      <c r="C1697" s="1148"/>
      <c r="D1697" s="1151"/>
      <c r="E1697" s="436">
        <v>12</v>
      </c>
      <c r="F1697" s="178"/>
      <c r="G1697" s="722" t="s">
        <v>7168</v>
      </c>
      <c r="H1697" s="415">
        <v>21.2</v>
      </c>
      <c r="I1697" s="1153"/>
      <c r="J1697" s="415">
        <f>4666620/3308.1*H1697</f>
        <v>29906.09231885372</v>
      </c>
      <c r="K1697" s="437"/>
    </row>
    <row r="1698" spans="1:11" ht="12.75" customHeight="1" x14ac:dyDescent="0.2">
      <c r="A1698" s="349" t="s">
        <v>1736</v>
      </c>
      <c r="B1698" s="347" t="s">
        <v>299</v>
      </c>
      <c r="C1698" s="1148"/>
      <c r="D1698" s="1151"/>
      <c r="E1698" s="436">
        <v>11</v>
      </c>
      <c r="F1698" s="178"/>
      <c r="G1698" s="722" t="s">
        <v>137</v>
      </c>
      <c r="H1698" s="415">
        <v>23.2</v>
      </c>
      <c r="I1698" s="1153"/>
      <c r="J1698" s="415">
        <f>4666620/3308.1*H1699</f>
        <v>19326.106828693206</v>
      </c>
      <c r="K1698" s="437"/>
    </row>
    <row r="1699" spans="1:11" x14ac:dyDescent="0.2">
      <c r="A1699" s="349" t="s">
        <v>1737</v>
      </c>
      <c r="B1699" s="347" t="s">
        <v>299</v>
      </c>
      <c r="C1699" s="1148"/>
      <c r="D1699" s="1151"/>
      <c r="E1699" s="436">
        <v>13</v>
      </c>
      <c r="F1699" s="178"/>
      <c r="G1699" s="722" t="s">
        <v>137</v>
      </c>
      <c r="H1699" s="415">
        <v>13.7</v>
      </c>
      <c r="I1699" s="1153"/>
      <c r="J1699" s="415">
        <f>4666620/3308.1*H1700</f>
        <v>30188.225265257999</v>
      </c>
      <c r="K1699" s="437"/>
    </row>
    <row r="1700" spans="1:11" x14ac:dyDescent="0.2">
      <c r="A1700" s="349" t="s">
        <v>4183</v>
      </c>
      <c r="B1700" s="347" t="s">
        <v>299</v>
      </c>
      <c r="C1700" s="1148"/>
      <c r="D1700" s="1152"/>
      <c r="E1700" s="436">
        <v>14</v>
      </c>
      <c r="F1700" s="178"/>
      <c r="G1700" s="722" t="s">
        <v>137</v>
      </c>
      <c r="H1700" s="415">
        <v>21.4</v>
      </c>
      <c r="I1700" s="1153"/>
      <c r="J1700" s="415">
        <f>4666620/3308.1*21.4</f>
        <v>30188.225265257999</v>
      </c>
      <c r="K1700" s="437"/>
    </row>
    <row r="1701" spans="1:11" x14ac:dyDescent="0.2">
      <c r="A1701" s="834" t="s">
        <v>14113</v>
      </c>
      <c r="B1701" s="833" t="s">
        <v>295</v>
      </c>
      <c r="C1701" s="1149"/>
      <c r="D1701" s="841">
        <v>14</v>
      </c>
      <c r="E1701" s="436">
        <v>38</v>
      </c>
      <c r="F1701" s="178" t="s">
        <v>14114</v>
      </c>
      <c r="G1701" s="844" t="s">
        <v>127</v>
      </c>
      <c r="H1701" s="837">
        <v>89.4</v>
      </c>
      <c r="I1701" s="1146"/>
      <c r="J1701" s="837">
        <v>6450580</v>
      </c>
      <c r="K1701" s="437">
        <v>373027.76</v>
      </c>
    </row>
    <row r="1702" spans="1:11" ht="12.75" customHeight="1" x14ac:dyDescent="0.2">
      <c r="A1702" s="348" t="s">
        <v>1184</v>
      </c>
      <c r="B1702" s="347"/>
      <c r="C1702" s="1147" t="s">
        <v>11389</v>
      </c>
      <c r="D1702" s="1150">
        <v>40</v>
      </c>
      <c r="E1702" s="436"/>
      <c r="F1702" s="178"/>
      <c r="G1702" s="722"/>
      <c r="H1702" s="441">
        <f>3381.2-3381.2</f>
        <v>0</v>
      </c>
      <c r="I1702" s="1145">
        <v>1997</v>
      </c>
      <c r="J1702" s="415">
        <f>19684592-19684592</f>
        <v>0</v>
      </c>
      <c r="K1702" s="437"/>
    </row>
    <row r="1703" spans="1:11" ht="29.45" customHeight="1" x14ac:dyDescent="0.2">
      <c r="A1703" s="433" t="s">
        <v>12666</v>
      </c>
      <c r="B1703" s="433" t="s">
        <v>295</v>
      </c>
      <c r="C1703" s="1149"/>
      <c r="D1703" s="1152"/>
      <c r="E1703" s="672">
        <v>60</v>
      </c>
      <c r="F1703" s="2" t="s">
        <v>12667</v>
      </c>
      <c r="G1703" s="432" t="s">
        <v>12668</v>
      </c>
      <c r="H1703" s="435">
        <v>57.2</v>
      </c>
      <c r="I1703" s="1146"/>
      <c r="J1703" s="435">
        <v>1957873.5</v>
      </c>
      <c r="K1703" s="443">
        <v>1203411.92</v>
      </c>
    </row>
    <row r="1704" spans="1:11" x14ac:dyDescent="0.2">
      <c r="A1704" s="348" t="s">
        <v>1185</v>
      </c>
      <c r="B1704" s="347"/>
      <c r="C1704" s="1147" t="s">
        <v>11390</v>
      </c>
      <c r="D1704" s="1150">
        <v>12</v>
      </c>
      <c r="E1704" s="436"/>
      <c r="F1704" s="178"/>
      <c r="G1704" s="722"/>
      <c r="H1704" s="441">
        <f>5000.4-5000.4</f>
        <v>0</v>
      </c>
      <c r="I1704" s="1145">
        <v>1987</v>
      </c>
      <c r="J1704" s="415">
        <f>16144160-16144160</f>
        <v>0</v>
      </c>
      <c r="K1704" s="437"/>
    </row>
    <row r="1705" spans="1:11" x14ac:dyDescent="0.2">
      <c r="A1705" s="834" t="s">
        <v>10311</v>
      </c>
      <c r="B1705" s="833" t="s">
        <v>295</v>
      </c>
      <c r="C1705" s="1148"/>
      <c r="D1705" s="1151"/>
      <c r="E1705" s="421">
        <v>15</v>
      </c>
      <c r="F1705" s="475" t="s">
        <v>10287</v>
      </c>
      <c r="G1705" s="465" t="s">
        <v>512</v>
      </c>
      <c r="H1705" s="486">
        <v>25.8</v>
      </c>
      <c r="I1705" s="1153"/>
      <c r="J1705" s="837">
        <v>852870.6</v>
      </c>
      <c r="K1705" s="437">
        <v>550007.74</v>
      </c>
    </row>
    <row r="1706" spans="1:11" ht="28.9" customHeight="1" x14ac:dyDescent="0.2">
      <c r="A1706" s="863" t="s">
        <v>14259</v>
      </c>
      <c r="B1706" s="347" t="s">
        <v>295</v>
      </c>
      <c r="C1706" s="1149"/>
      <c r="D1706" s="1152"/>
      <c r="E1706" s="421">
        <v>24</v>
      </c>
      <c r="F1706" s="475" t="s">
        <v>14260</v>
      </c>
      <c r="G1706" s="465" t="s">
        <v>127</v>
      </c>
      <c r="H1706" s="486">
        <v>27.5</v>
      </c>
      <c r="I1706" s="1146"/>
      <c r="J1706" s="415">
        <v>912748.15</v>
      </c>
      <c r="K1706" s="437">
        <v>641792.80000000005</v>
      </c>
    </row>
    <row r="1707" spans="1:11" ht="35.25" customHeight="1" x14ac:dyDescent="0.2">
      <c r="A1707" s="348" t="s">
        <v>1186</v>
      </c>
      <c r="B1707" s="347"/>
      <c r="C1707" s="1147" t="s">
        <v>11391</v>
      </c>
      <c r="D1707" s="1150">
        <v>55</v>
      </c>
      <c r="E1707" s="436"/>
      <c r="F1707" s="475"/>
      <c r="G1707" s="722" t="s">
        <v>102</v>
      </c>
      <c r="H1707" s="415">
        <f>68.2-68.2</f>
        <v>0</v>
      </c>
      <c r="I1707" s="1145">
        <v>1958</v>
      </c>
      <c r="J1707" s="415">
        <f>83128.94-83128.94</f>
        <v>0</v>
      </c>
      <c r="K1707" s="437">
        <v>565284.56999999995</v>
      </c>
    </row>
    <row r="1708" spans="1:11" x14ac:dyDescent="0.2">
      <c r="A1708" s="349" t="s">
        <v>5839</v>
      </c>
      <c r="B1708" s="347" t="s">
        <v>295</v>
      </c>
      <c r="C1708" s="1148"/>
      <c r="D1708" s="1151"/>
      <c r="E1708" s="436">
        <v>1</v>
      </c>
      <c r="F1708" s="475" t="s">
        <v>5841</v>
      </c>
      <c r="G1708" s="722" t="s">
        <v>137</v>
      </c>
      <c r="H1708" s="415">
        <v>40.4</v>
      </c>
      <c r="I1708" s="1153"/>
      <c r="J1708" s="415">
        <f>83100/68.2*H1708</f>
        <v>49226.392961876831</v>
      </c>
      <c r="K1708" s="437">
        <v>434377.97</v>
      </c>
    </row>
    <row r="1709" spans="1:11" ht="12.75" customHeight="1" x14ac:dyDescent="0.2">
      <c r="A1709" s="349" t="s">
        <v>5840</v>
      </c>
      <c r="B1709" s="347" t="s">
        <v>295</v>
      </c>
      <c r="C1709" s="1149"/>
      <c r="D1709" s="1152"/>
      <c r="E1709" s="436">
        <v>2</v>
      </c>
      <c r="F1709" s="475" t="s">
        <v>5842</v>
      </c>
      <c r="G1709" s="722" t="s">
        <v>137</v>
      </c>
      <c r="H1709" s="415">
        <v>27.8</v>
      </c>
      <c r="I1709" s="1146"/>
      <c r="J1709" s="415">
        <f>83100/68.2*H1709</f>
        <v>33873.607038123169</v>
      </c>
      <c r="K1709" s="437">
        <v>307488.28999999998</v>
      </c>
    </row>
    <row r="1710" spans="1:11" ht="51" x14ac:dyDescent="0.2">
      <c r="A1710" s="348" t="s">
        <v>1187</v>
      </c>
      <c r="B1710" s="347" t="s">
        <v>9967</v>
      </c>
      <c r="C1710" s="405" t="s">
        <v>11392</v>
      </c>
      <c r="D1710" s="714">
        <v>8</v>
      </c>
      <c r="E1710" s="436"/>
      <c r="F1710" s="178" t="s">
        <v>29</v>
      </c>
      <c r="G1710" s="722" t="s">
        <v>190</v>
      </c>
      <c r="H1710" s="415">
        <v>34.299999999999997</v>
      </c>
      <c r="I1710" s="715">
        <v>1955</v>
      </c>
      <c r="J1710" s="415">
        <v>281600</v>
      </c>
      <c r="K1710" s="437">
        <v>273271.87</v>
      </c>
    </row>
    <row r="1711" spans="1:11" ht="38.25" x14ac:dyDescent="0.2">
      <c r="A1711" s="348" t="s">
        <v>1188</v>
      </c>
      <c r="B1711" s="347" t="s">
        <v>9967</v>
      </c>
      <c r="C1711" s="405" t="s">
        <v>11393</v>
      </c>
      <c r="D1711" s="714">
        <v>31</v>
      </c>
      <c r="E1711" s="436"/>
      <c r="F1711" s="178" t="s">
        <v>30</v>
      </c>
      <c r="G1711" s="722" t="s">
        <v>190</v>
      </c>
      <c r="H1711" s="415">
        <v>60.4</v>
      </c>
      <c r="I1711" s="715">
        <v>1958</v>
      </c>
      <c r="J1711" s="415">
        <v>55500</v>
      </c>
      <c r="K1711" s="437">
        <v>500633.25</v>
      </c>
    </row>
    <row r="1712" spans="1:11" ht="37.5" customHeight="1" x14ac:dyDescent="0.2">
      <c r="A1712" s="348" t="s">
        <v>1189</v>
      </c>
      <c r="B1712" s="347" t="s">
        <v>9967</v>
      </c>
      <c r="C1712" s="405" t="s">
        <v>11394</v>
      </c>
      <c r="D1712" s="714">
        <v>11</v>
      </c>
      <c r="E1712" s="436"/>
      <c r="F1712" s="178" t="s">
        <v>31</v>
      </c>
      <c r="G1712" s="722" t="s">
        <v>190</v>
      </c>
      <c r="H1712" s="415">
        <v>44.5</v>
      </c>
      <c r="I1712" s="715">
        <v>1956</v>
      </c>
      <c r="J1712" s="415">
        <v>77900</v>
      </c>
      <c r="K1712" s="437">
        <v>354536.39</v>
      </c>
    </row>
    <row r="1713" spans="1:11" ht="38.25" x14ac:dyDescent="0.2">
      <c r="A1713" s="348" t="s">
        <v>1190</v>
      </c>
      <c r="B1713" s="347" t="s">
        <v>9967</v>
      </c>
      <c r="C1713" s="405" t="s">
        <v>11395</v>
      </c>
      <c r="D1713" s="714">
        <v>21</v>
      </c>
      <c r="E1713" s="436"/>
      <c r="F1713" s="178"/>
      <c r="G1713" s="722" t="s">
        <v>190</v>
      </c>
      <c r="H1713" s="415">
        <v>33.299999999999997</v>
      </c>
      <c r="I1713" s="715">
        <v>1990</v>
      </c>
      <c r="J1713" s="415">
        <v>12792</v>
      </c>
      <c r="K1713" s="437"/>
    </row>
    <row r="1714" spans="1:11" ht="25.5" x14ac:dyDescent="0.2">
      <c r="A1714" s="348" t="s">
        <v>1191</v>
      </c>
      <c r="B1714" s="347" t="s">
        <v>307</v>
      </c>
      <c r="C1714" s="405" t="s">
        <v>5215</v>
      </c>
      <c r="D1714" s="714"/>
      <c r="E1714" s="436"/>
      <c r="F1714" s="178"/>
      <c r="G1714" s="722" t="s">
        <v>190</v>
      </c>
      <c r="H1714" s="415"/>
      <c r="I1714" s="715">
        <v>1970</v>
      </c>
      <c r="J1714" s="415">
        <v>3300</v>
      </c>
      <c r="K1714" s="437"/>
    </row>
    <row r="1715" spans="1:11" x14ac:dyDescent="0.2">
      <c r="A1715" s="348" t="s">
        <v>1192</v>
      </c>
      <c r="B1715" s="347"/>
      <c r="C1715" s="1147" t="s">
        <v>11396</v>
      </c>
      <c r="D1715" s="1150">
        <v>4</v>
      </c>
      <c r="E1715" s="436"/>
      <c r="F1715" s="178"/>
      <c r="G1715" s="722" t="s">
        <v>190</v>
      </c>
      <c r="H1715" s="415">
        <f>141.7-141.7</f>
        <v>0</v>
      </c>
      <c r="I1715" s="1145">
        <v>1992</v>
      </c>
      <c r="J1715" s="415">
        <f>36900-36900</f>
        <v>0</v>
      </c>
      <c r="K1715" s="437">
        <v>1128939.49</v>
      </c>
    </row>
    <row r="1716" spans="1:11" ht="26.25" customHeight="1" x14ac:dyDescent="0.2">
      <c r="A1716" s="349" t="s">
        <v>3764</v>
      </c>
      <c r="B1716" s="347" t="s">
        <v>295</v>
      </c>
      <c r="C1716" s="1148"/>
      <c r="D1716" s="1151"/>
      <c r="E1716" s="714">
        <v>1</v>
      </c>
      <c r="F1716" s="178" t="s">
        <v>3765</v>
      </c>
      <c r="G1716" s="722" t="s">
        <v>137</v>
      </c>
      <c r="H1716" s="415">
        <v>35.299999999999997</v>
      </c>
      <c r="I1716" s="1153"/>
      <c r="J1716" s="415">
        <f>36900/141.7*H1716</f>
        <v>9192.4488355681005</v>
      </c>
      <c r="K1716" s="437">
        <v>365820.61</v>
      </c>
    </row>
    <row r="1717" spans="1:11" ht="38.25" customHeight="1" x14ac:dyDescent="0.2">
      <c r="A1717" s="348" t="s">
        <v>1193</v>
      </c>
      <c r="B1717" s="347" t="s">
        <v>307</v>
      </c>
      <c r="C1717" s="405" t="s">
        <v>11397</v>
      </c>
      <c r="D1717" s="714">
        <v>21</v>
      </c>
      <c r="E1717" s="436"/>
      <c r="F1717" s="178"/>
      <c r="G1717" s="722" t="s">
        <v>102</v>
      </c>
      <c r="H1717" s="415">
        <v>68.599999999999994</v>
      </c>
      <c r="I1717" s="715">
        <v>1998</v>
      </c>
      <c r="J1717" s="415">
        <v>373100</v>
      </c>
      <c r="K1717" s="437"/>
    </row>
    <row r="1718" spans="1:11" ht="25.5" customHeight="1" x14ac:dyDescent="0.2">
      <c r="A1718" s="348" t="s">
        <v>1194</v>
      </c>
      <c r="B1718" s="347" t="s">
        <v>307</v>
      </c>
      <c r="C1718" s="405" t="s">
        <v>11398</v>
      </c>
      <c r="D1718" s="714">
        <v>16</v>
      </c>
      <c r="E1718" s="436"/>
      <c r="F1718" s="178"/>
      <c r="G1718" s="722" t="s">
        <v>190</v>
      </c>
      <c r="H1718" s="415">
        <v>30.5</v>
      </c>
      <c r="I1718" s="715">
        <v>1942</v>
      </c>
      <c r="J1718" s="415">
        <v>46700</v>
      </c>
      <c r="K1718" s="437"/>
    </row>
    <row r="1719" spans="1:11" ht="25.5" customHeight="1" x14ac:dyDescent="0.2">
      <c r="A1719" s="348" t="s">
        <v>1195</v>
      </c>
      <c r="B1719" s="347" t="s">
        <v>295</v>
      </c>
      <c r="C1719" s="405" t="s">
        <v>11399</v>
      </c>
      <c r="D1719" s="714">
        <v>3</v>
      </c>
      <c r="E1719" s="436">
        <v>2</v>
      </c>
      <c r="F1719" s="178" t="s">
        <v>103</v>
      </c>
      <c r="G1719" s="722" t="s">
        <v>104</v>
      </c>
      <c r="H1719" s="415">
        <v>164.2</v>
      </c>
      <c r="I1719" s="715">
        <v>1994</v>
      </c>
      <c r="J1719" s="415">
        <f>301100/333.2*154.2</f>
        <v>139344.59783913565</v>
      </c>
      <c r="K1719" s="437">
        <v>2221374.77</v>
      </c>
    </row>
    <row r="1720" spans="1:11" ht="25.5" customHeight="1" x14ac:dyDescent="0.2">
      <c r="A1720" s="351" t="s">
        <v>1196</v>
      </c>
      <c r="B1720" s="347" t="s">
        <v>295</v>
      </c>
      <c r="C1720" s="405" t="s">
        <v>11400</v>
      </c>
      <c r="D1720" s="714">
        <v>11</v>
      </c>
      <c r="E1720" s="436">
        <v>2</v>
      </c>
      <c r="F1720" s="178" t="s">
        <v>300</v>
      </c>
      <c r="G1720" s="722"/>
      <c r="H1720" s="415">
        <v>72.7</v>
      </c>
      <c r="I1720" s="715">
        <v>1986</v>
      </c>
      <c r="J1720" s="415">
        <v>366200</v>
      </c>
      <c r="K1720" s="437">
        <v>753403.91</v>
      </c>
    </row>
    <row r="1721" spans="1:11" ht="25.5" customHeight="1" x14ac:dyDescent="0.2">
      <c r="A1721" s="351" t="s">
        <v>1197</v>
      </c>
      <c r="B1721" s="347" t="s">
        <v>295</v>
      </c>
      <c r="C1721" s="405" t="s">
        <v>11401</v>
      </c>
      <c r="D1721" s="714">
        <v>13</v>
      </c>
      <c r="E1721" s="436">
        <v>2</v>
      </c>
      <c r="F1721" s="178" t="s">
        <v>301</v>
      </c>
      <c r="G1721" s="722"/>
      <c r="H1721" s="415">
        <v>63.9</v>
      </c>
      <c r="I1721" s="715">
        <v>1987</v>
      </c>
      <c r="J1721" s="415">
        <v>343300</v>
      </c>
      <c r="K1721" s="437">
        <v>662207.84</v>
      </c>
    </row>
    <row r="1722" spans="1:11" ht="25.5" customHeight="1" x14ac:dyDescent="0.2">
      <c r="A1722" s="419" t="s">
        <v>1198</v>
      </c>
      <c r="B1722" s="432"/>
      <c r="C1722" s="1147" t="s">
        <v>11402</v>
      </c>
      <c r="D1722" s="1205">
        <v>25</v>
      </c>
      <c r="E1722" s="436"/>
      <c r="F1722" s="2"/>
      <c r="G1722" s="621" t="s">
        <v>9052</v>
      </c>
      <c r="H1722" s="487">
        <f>195.6-195.6</f>
        <v>0</v>
      </c>
      <c r="I1722" s="1207">
        <v>1977</v>
      </c>
      <c r="J1722" s="487">
        <f>1360216-1360216</f>
        <v>0</v>
      </c>
      <c r="K1722" s="438"/>
    </row>
    <row r="1723" spans="1:11" ht="18" customHeight="1" x14ac:dyDescent="0.2">
      <c r="A1723" s="349" t="s">
        <v>9048</v>
      </c>
      <c r="B1723" s="432" t="s">
        <v>295</v>
      </c>
      <c r="C1723" s="1148"/>
      <c r="D1723" s="1206"/>
      <c r="E1723" s="436">
        <v>1</v>
      </c>
      <c r="F1723" s="2" t="s">
        <v>10312</v>
      </c>
      <c r="G1723" s="621" t="s">
        <v>137</v>
      </c>
      <c r="H1723" s="487">
        <v>35.1</v>
      </c>
      <c r="I1723" s="1208"/>
      <c r="J1723" s="487">
        <f>1360216/195*H1723</f>
        <v>244838.88</v>
      </c>
      <c r="K1723" s="438">
        <v>388231.62</v>
      </c>
    </row>
    <row r="1724" spans="1:11" ht="20.25" customHeight="1" x14ac:dyDescent="0.2">
      <c r="A1724" s="349" t="s">
        <v>9049</v>
      </c>
      <c r="B1724" s="432" t="s">
        <v>295</v>
      </c>
      <c r="C1724" s="1148"/>
      <c r="D1724" s="1206"/>
      <c r="E1724" s="436">
        <v>2</v>
      </c>
      <c r="F1724" s="2" t="s">
        <v>10313</v>
      </c>
      <c r="G1724" s="621" t="s">
        <v>137</v>
      </c>
      <c r="H1724" s="487">
        <v>36.200000000000003</v>
      </c>
      <c r="I1724" s="1208"/>
      <c r="J1724" s="487">
        <f>1360216/195*H1724</f>
        <v>252511.89333333334</v>
      </c>
      <c r="K1724" s="438">
        <v>400398.43</v>
      </c>
    </row>
    <row r="1725" spans="1:11" ht="12.75" customHeight="1" x14ac:dyDescent="0.2">
      <c r="A1725" s="349" t="s">
        <v>9050</v>
      </c>
      <c r="B1725" s="432" t="s">
        <v>295</v>
      </c>
      <c r="C1725" s="1148"/>
      <c r="D1725" s="1206"/>
      <c r="E1725" s="436">
        <v>3</v>
      </c>
      <c r="F1725" s="2" t="s">
        <v>10314</v>
      </c>
      <c r="G1725" s="621" t="s">
        <v>137</v>
      </c>
      <c r="H1725" s="487">
        <v>41.2</v>
      </c>
      <c r="I1725" s="1208"/>
      <c r="J1725" s="487">
        <f>1360216/195*H1725</f>
        <v>287389.22666666668</v>
      </c>
      <c r="K1725" s="438">
        <v>442979.52</v>
      </c>
    </row>
    <row r="1726" spans="1:11" ht="16.5" customHeight="1" x14ac:dyDescent="0.2">
      <c r="A1726" s="349" t="s">
        <v>9051</v>
      </c>
      <c r="B1726" s="432" t="s">
        <v>295</v>
      </c>
      <c r="C1726" s="1148"/>
      <c r="D1726" s="1206"/>
      <c r="E1726" s="436">
        <v>4</v>
      </c>
      <c r="F1726" s="2" t="s">
        <v>10315</v>
      </c>
      <c r="G1726" s="621" t="s">
        <v>137</v>
      </c>
      <c r="H1726" s="487">
        <v>43.6</v>
      </c>
      <c r="I1726" s="1208"/>
      <c r="J1726" s="487">
        <f>1360216/195*H1726</f>
        <v>304130.34666666668</v>
      </c>
      <c r="K1726" s="438">
        <v>468784.15</v>
      </c>
    </row>
    <row r="1727" spans="1:11" ht="25.5" customHeight="1" x14ac:dyDescent="0.2">
      <c r="A1727" s="348" t="s">
        <v>1199</v>
      </c>
      <c r="B1727" s="432"/>
      <c r="C1727" s="1147" t="s">
        <v>11403</v>
      </c>
      <c r="D1727" s="1150">
        <v>5</v>
      </c>
      <c r="E1727" s="425" t="s">
        <v>5946</v>
      </c>
      <c r="F1727" s="38" t="s">
        <v>2560</v>
      </c>
      <c r="G1727" s="611" t="s">
        <v>2561</v>
      </c>
      <c r="H1727" s="448">
        <f>719-719</f>
        <v>0</v>
      </c>
      <c r="I1727" s="1225">
        <v>1973</v>
      </c>
      <c r="J1727" s="448">
        <f>614508-614508</f>
        <v>0</v>
      </c>
      <c r="K1727" s="458"/>
    </row>
    <row r="1728" spans="1:11" ht="27.75" customHeight="1" x14ac:dyDescent="0.2">
      <c r="A1728" s="349" t="s">
        <v>2562</v>
      </c>
      <c r="B1728" s="432" t="s">
        <v>295</v>
      </c>
      <c r="C1728" s="1148"/>
      <c r="D1728" s="1151"/>
      <c r="E1728" s="424">
        <v>1</v>
      </c>
      <c r="F1728" s="352"/>
      <c r="G1728" s="622"/>
      <c r="H1728" s="488">
        <v>40.299999999999997</v>
      </c>
      <c r="I1728" s="1226"/>
      <c r="J1728" s="448">
        <f>614500/719*H1728</f>
        <v>34442.767732962442</v>
      </c>
      <c r="K1728" s="458"/>
    </row>
    <row r="1729" spans="1:11" ht="12.75" customHeight="1" x14ac:dyDescent="0.2">
      <c r="A1729" s="407" t="s">
        <v>1738</v>
      </c>
      <c r="B1729" s="347"/>
      <c r="C1729" s="1147" t="s">
        <v>11404</v>
      </c>
      <c r="D1729" s="1150">
        <v>2</v>
      </c>
      <c r="E1729" s="425"/>
      <c r="F1729" s="178"/>
      <c r="G1729" s="722"/>
      <c r="H1729" s="415">
        <f>3132.3-3132.3</f>
        <v>0</v>
      </c>
      <c r="I1729" s="1145">
        <v>2004</v>
      </c>
      <c r="J1729" s="415">
        <f>69234200-69234200</f>
        <v>0</v>
      </c>
      <c r="K1729" s="437"/>
    </row>
    <row r="1730" spans="1:11" ht="16.5" customHeight="1" x14ac:dyDescent="0.2">
      <c r="A1730" s="408" t="s">
        <v>1739</v>
      </c>
      <c r="B1730" s="347" t="s">
        <v>295</v>
      </c>
      <c r="C1730" s="1148"/>
      <c r="D1730" s="1151"/>
      <c r="E1730" s="421">
        <v>47</v>
      </c>
      <c r="F1730" s="422" t="s">
        <v>11405</v>
      </c>
      <c r="G1730" s="465" t="s">
        <v>512</v>
      </c>
      <c r="H1730" s="473">
        <v>39.9</v>
      </c>
      <c r="I1730" s="1153"/>
      <c r="J1730" s="415">
        <f>69234200/3132.3*H1730</f>
        <v>881922.09558471397</v>
      </c>
      <c r="K1730" s="437"/>
    </row>
    <row r="1731" spans="1:11" ht="24" customHeight="1" x14ac:dyDescent="0.2">
      <c r="A1731" s="349" t="s">
        <v>9157</v>
      </c>
      <c r="B1731" s="1045" t="s">
        <v>295</v>
      </c>
      <c r="C1731" s="1148"/>
      <c r="D1731" s="1151"/>
      <c r="E1731" s="421">
        <v>22</v>
      </c>
      <c r="F1731" s="2" t="s">
        <v>10035</v>
      </c>
      <c r="G1731" s="489" t="s">
        <v>11406</v>
      </c>
      <c r="H1731" s="490">
        <v>39.9</v>
      </c>
      <c r="I1731" s="1153"/>
      <c r="J1731" s="435">
        <v>903739.86</v>
      </c>
      <c r="K1731" s="443">
        <v>471195.46</v>
      </c>
    </row>
    <row r="1732" spans="1:11" ht="12.75" customHeight="1" x14ac:dyDescent="0.2">
      <c r="A1732" s="347" t="s">
        <v>10922</v>
      </c>
      <c r="B1732" s="347" t="s">
        <v>295</v>
      </c>
      <c r="C1732" s="1148"/>
      <c r="D1732" s="1151"/>
      <c r="E1732" s="421">
        <v>23</v>
      </c>
      <c r="F1732" s="434" t="s">
        <v>10923</v>
      </c>
      <c r="G1732" s="489" t="s">
        <v>137</v>
      </c>
      <c r="H1732" s="490">
        <v>39</v>
      </c>
      <c r="I1732" s="1153"/>
      <c r="J1732" s="435">
        <v>718000</v>
      </c>
      <c r="K1732" s="443">
        <v>363027.6</v>
      </c>
    </row>
    <row r="1733" spans="1:11" ht="12.75" customHeight="1" x14ac:dyDescent="0.2">
      <c r="A1733" s="432" t="s">
        <v>12571</v>
      </c>
      <c r="B1733" s="432" t="s">
        <v>295</v>
      </c>
      <c r="C1733" s="1148"/>
      <c r="D1733" s="1151"/>
      <c r="E1733" s="421">
        <v>2</v>
      </c>
      <c r="F1733" s="44" t="s">
        <v>12573</v>
      </c>
      <c r="G1733" s="470" t="s">
        <v>137</v>
      </c>
      <c r="H1733" s="473">
        <v>39.6</v>
      </c>
      <c r="I1733" s="1153"/>
      <c r="J1733" s="415">
        <v>1009311.6</v>
      </c>
      <c r="K1733" s="443">
        <v>471080.02</v>
      </c>
    </row>
    <row r="1734" spans="1:11" ht="12.75" customHeight="1" x14ac:dyDescent="0.2">
      <c r="A1734" s="432" t="s">
        <v>12572</v>
      </c>
      <c r="B1734" s="432" t="s">
        <v>295</v>
      </c>
      <c r="C1734" s="1148"/>
      <c r="D1734" s="1151"/>
      <c r="E1734" s="421">
        <v>38</v>
      </c>
      <c r="F1734" s="44" t="s">
        <v>12574</v>
      </c>
      <c r="G1734" s="470" t="s">
        <v>127</v>
      </c>
      <c r="H1734" s="473">
        <v>41.2</v>
      </c>
      <c r="I1734" s="1153"/>
      <c r="J1734" s="415">
        <v>1009311.6</v>
      </c>
      <c r="K1734" s="443">
        <v>383506.08</v>
      </c>
    </row>
    <row r="1735" spans="1:11" ht="12.75" customHeight="1" x14ac:dyDescent="0.2">
      <c r="A1735" s="432" t="s">
        <v>13022</v>
      </c>
      <c r="B1735" s="432" t="s">
        <v>295</v>
      </c>
      <c r="C1735" s="1149"/>
      <c r="D1735" s="1152"/>
      <c r="E1735" s="675">
        <v>10</v>
      </c>
      <c r="F1735" s="434" t="s">
        <v>13023</v>
      </c>
      <c r="G1735" s="489" t="s">
        <v>128</v>
      </c>
      <c r="H1735" s="490">
        <v>41.4</v>
      </c>
      <c r="I1735" s="1146"/>
      <c r="J1735" s="435">
        <v>1911558</v>
      </c>
      <c r="K1735" s="443">
        <v>385367.76</v>
      </c>
    </row>
    <row r="1736" spans="1:11" ht="44.25" customHeight="1" x14ac:dyDescent="0.2">
      <c r="A1736" s="348" t="s">
        <v>1200</v>
      </c>
      <c r="B1736" s="347" t="s">
        <v>295</v>
      </c>
      <c r="C1736" s="405" t="s">
        <v>11407</v>
      </c>
      <c r="D1736" s="714" t="s">
        <v>334</v>
      </c>
      <c r="E1736" s="425">
        <v>4</v>
      </c>
      <c r="F1736" s="178"/>
      <c r="G1736" s="722"/>
      <c r="H1736" s="415">
        <f>428.5-385.2</f>
        <v>43.300000000000011</v>
      </c>
      <c r="I1736" s="715" t="s">
        <v>2567</v>
      </c>
      <c r="J1736" s="415">
        <f>1644000/428.5*43.3</f>
        <v>166126.48774795799</v>
      </c>
      <c r="K1736" s="443"/>
    </row>
    <row r="1737" spans="1:11" ht="17.25" customHeight="1" x14ac:dyDescent="0.2">
      <c r="A1737" s="348" t="s">
        <v>1201</v>
      </c>
      <c r="B1737" s="347"/>
      <c r="C1737" s="1147" t="s">
        <v>11408</v>
      </c>
      <c r="D1737" s="1150">
        <v>18</v>
      </c>
      <c r="E1737" s="491"/>
      <c r="F1737" s="178"/>
      <c r="G1737" s="722"/>
      <c r="H1737" s="415">
        <f>2064.2-2064.2</f>
        <v>0</v>
      </c>
      <c r="I1737" s="1145">
        <v>1979</v>
      </c>
      <c r="J1737" s="415">
        <f>2040300-2040300</f>
        <v>0</v>
      </c>
      <c r="K1737" s="437"/>
    </row>
    <row r="1738" spans="1:11" ht="15.75" customHeight="1" x14ac:dyDescent="0.2">
      <c r="A1738" s="349" t="s">
        <v>2565</v>
      </c>
      <c r="B1738" s="347" t="s">
        <v>295</v>
      </c>
      <c r="C1738" s="1148"/>
      <c r="D1738" s="1151"/>
      <c r="E1738" s="425">
        <v>35</v>
      </c>
      <c r="F1738" s="178" t="s">
        <v>14630</v>
      </c>
      <c r="G1738" s="722"/>
      <c r="H1738" s="415">
        <v>16.7</v>
      </c>
      <c r="I1738" s="1153"/>
      <c r="J1738" s="415">
        <v>16506.84</v>
      </c>
      <c r="K1738" s="437"/>
    </row>
    <row r="1739" spans="1:11" ht="25.5" customHeight="1" x14ac:dyDescent="0.2">
      <c r="A1739" s="349" t="s">
        <v>2566</v>
      </c>
      <c r="B1739" s="347" t="s">
        <v>295</v>
      </c>
      <c r="C1739" s="1148"/>
      <c r="D1739" s="1151"/>
      <c r="E1739" s="425">
        <v>40</v>
      </c>
      <c r="F1739" s="178" t="s">
        <v>14246</v>
      </c>
      <c r="G1739" s="856" t="s">
        <v>128</v>
      </c>
      <c r="H1739" s="415">
        <v>35</v>
      </c>
      <c r="I1739" s="1153"/>
      <c r="J1739" s="415">
        <v>34595.17</v>
      </c>
      <c r="K1739" s="437"/>
    </row>
    <row r="1740" spans="1:11" ht="14.25" customHeight="1" x14ac:dyDescent="0.2">
      <c r="A1740" s="347" t="s">
        <v>10926</v>
      </c>
      <c r="B1740" s="347" t="s">
        <v>295</v>
      </c>
      <c r="C1740" s="1149"/>
      <c r="D1740" s="1152"/>
      <c r="E1740" s="425">
        <v>41</v>
      </c>
      <c r="F1740" s="200" t="s">
        <v>10927</v>
      </c>
      <c r="G1740" s="724" t="s">
        <v>128</v>
      </c>
      <c r="H1740" s="435">
        <v>33.5</v>
      </c>
      <c r="I1740" s="1146"/>
      <c r="J1740" s="435">
        <v>828381.92</v>
      </c>
      <c r="K1740" s="443">
        <v>474528.17</v>
      </c>
    </row>
    <row r="1741" spans="1:11" ht="14.25" customHeight="1" x14ac:dyDescent="0.2">
      <c r="A1741" s="348" t="s">
        <v>1740</v>
      </c>
      <c r="B1741" s="347"/>
      <c r="C1741" s="1157" t="s">
        <v>11409</v>
      </c>
      <c r="D1741" s="1158">
        <v>4</v>
      </c>
      <c r="E1741" s="425"/>
      <c r="F1741" s="178"/>
      <c r="G1741" s="722"/>
      <c r="H1741" s="415">
        <f>541-541</f>
        <v>0</v>
      </c>
      <c r="I1741" s="1159">
        <v>1996</v>
      </c>
      <c r="J1741" s="415">
        <f>400813-400813</f>
        <v>0</v>
      </c>
      <c r="K1741" s="437"/>
    </row>
    <row r="1742" spans="1:11" ht="14.25" customHeight="1" x14ac:dyDescent="0.2">
      <c r="A1742" s="349" t="s">
        <v>1741</v>
      </c>
      <c r="B1742" s="347" t="s">
        <v>295</v>
      </c>
      <c r="C1742" s="1157"/>
      <c r="D1742" s="1158"/>
      <c r="E1742" s="425" t="s">
        <v>424</v>
      </c>
      <c r="F1742" s="178"/>
      <c r="G1742" s="722"/>
      <c r="H1742" s="415">
        <v>26.35</v>
      </c>
      <c r="I1742" s="1159"/>
      <c r="J1742" s="415">
        <v>26094.99</v>
      </c>
      <c r="K1742" s="437"/>
    </row>
    <row r="1743" spans="1:11" ht="14.25" customHeight="1" x14ac:dyDescent="0.2">
      <c r="A1743" s="349" t="s">
        <v>2549</v>
      </c>
      <c r="B1743" s="347" t="s">
        <v>295</v>
      </c>
      <c r="C1743" s="1157"/>
      <c r="D1743" s="1158"/>
      <c r="E1743" s="425">
        <v>4</v>
      </c>
      <c r="F1743" s="178" t="s">
        <v>2550</v>
      </c>
      <c r="G1743" s="722"/>
      <c r="H1743" s="415">
        <v>55.6</v>
      </c>
      <c r="I1743" s="1159"/>
      <c r="J1743" s="415">
        <f>740.87*H1743</f>
        <v>41192.372000000003</v>
      </c>
      <c r="K1743" s="437">
        <v>711190.16</v>
      </c>
    </row>
    <row r="1744" spans="1:11" ht="14.25" customHeight="1" x14ac:dyDescent="0.2">
      <c r="A1744" s="348" t="s">
        <v>1742</v>
      </c>
      <c r="B1744" s="347"/>
      <c r="C1744" s="1147" t="s">
        <v>14985</v>
      </c>
      <c r="D1744" s="1150">
        <v>8</v>
      </c>
      <c r="E1744" s="425"/>
      <c r="F1744" s="178"/>
      <c r="G1744" s="722" t="s">
        <v>2636</v>
      </c>
      <c r="H1744" s="415">
        <f>1911.6-1911.6</f>
        <v>0</v>
      </c>
      <c r="I1744" s="1145">
        <v>1964</v>
      </c>
      <c r="J1744" s="415">
        <f>163.5*1000-163500</f>
        <v>0</v>
      </c>
      <c r="K1744" s="437">
        <v>35301640.579999998</v>
      </c>
    </row>
    <row r="1745" spans="1:11" ht="14.25" customHeight="1" x14ac:dyDescent="0.2">
      <c r="A1745" s="349" t="s">
        <v>2972</v>
      </c>
      <c r="B1745" s="432" t="s">
        <v>295</v>
      </c>
      <c r="C1745" s="1148"/>
      <c r="D1745" s="1151"/>
      <c r="E1745" s="421">
        <v>18</v>
      </c>
      <c r="F1745" s="350"/>
      <c r="G1745" s="609"/>
      <c r="H1745" s="473">
        <v>18</v>
      </c>
      <c r="I1745" s="1153"/>
      <c r="J1745" s="415">
        <f t="shared" ref="J1745:J1786" si="13">163500/1911.6*H1745</f>
        <v>1539.5480225988701</v>
      </c>
      <c r="K1745" s="437"/>
    </row>
    <row r="1746" spans="1:11" ht="14.25" customHeight="1" x14ac:dyDescent="0.2">
      <c r="A1746" s="349" t="s">
        <v>2973</v>
      </c>
      <c r="B1746" s="432" t="s">
        <v>295</v>
      </c>
      <c r="C1746" s="1148"/>
      <c r="D1746" s="1151"/>
      <c r="E1746" s="421" t="s">
        <v>7807</v>
      </c>
      <c r="F1746" s="350"/>
      <c r="G1746" s="609"/>
      <c r="H1746" s="473">
        <v>18</v>
      </c>
      <c r="I1746" s="1153"/>
      <c r="J1746" s="415">
        <f t="shared" si="13"/>
        <v>1539.5480225988701</v>
      </c>
      <c r="K1746" s="437"/>
    </row>
    <row r="1747" spans="1:11" ht="14.25" customHeight="1" x14ac:dyDescent="0.2">
      <c r="A1747" s="349" t="s">
        <v>2974</v>
      </c>
      <c r="B1747" s="432" t="s">
        <v>295</v>
      </c>
      <c r="C1747" s="1148"/>
      <c r="D1747" s="1151"/>
      <c r="E1747" s="421" t="s">
        <v>5923</v>
      </c>
      <c r="F1747" s="350"/>
      <c r="G1747" s="609"/>
      <c r="H1747" s="473">
        <v>18</v>
      </c>
      <c r="I1747" s="1153"/>
      <c r="J1747" s="415">
        <f t="shared" si="13"/>
        <v>1539.5480225988701</v>
      </c>
      <c r="K1747" s="437"/>
    </row>
    <row r="1748" spans="1:11" ht="14.25" customHeight="1" x14ac:dyDescent="0.2">
      <c r="A1748" s="349" t="s">
        <v>2975</v>
      </c>
      <c r="B1748" s="1046" t="s">
        <v>295</v>
      </c>
      <c r="C1748" s="1148"/>
      <c r="D1748" s="1151"/>
      <c r="E1748" s="421" t="s">
        <v>413</v>
      </c>
      <c r="F1748" s="350"/>
      <c r="G1748" s="609"/>
      <c r="H1748" s="473">
        <v>1</v>
      </c>
      <c r="I1748" s="1153"/>
      <c r="J1748" s="415">
        <f t="shared" si="13"/>
        <v>85.530445699937232</v>
      </c>
      <c r="K1748" s="437"/>
    </row>
    <row r="1749" spans="1:11" ht="14.25" customHeight="1" x14ac:dyDescent="0.2">
      <c r="A1749" s="349" t="s">
        <v>2976</v>
      </c>
      <c r="B1749" s="1046" t="s">
        <v>295</v>
      </c>
      <c r="C1749" s="1148"/>
      <c r="D1749" s="1151"/>
      <c r="E1749" s="421" t="s">
        <v>5922</v>
      </c>
      <c r="F1749" s="350"/>
      <c r="G1749" s="609"/>
      <c r="H1749" s="473"/>
      <c r="I1749" s="1153"/>
      <c r="J1749" s="415">
        <f t="shared" si="13"/>
        <v>0</v>
      </c>
      <c r="K1749" s="437"/>
    </row>
    <row r="1750" spans="1:11" ht="14.25" customHeight="1" x14ac:dyDescent="0.2">
      <c r="A1750" s="349" t="s">
        <v>2977</v>
      </c>
      <c r="B1750" s="1046" t="s">
        <v>295</v>
      </c>
      <c r="C1750" s="1148"/>
      <c r="D1750" s="1151"/>
      <c r="E1750" s="421" t="s">
        <v>7808</v>
      </c>
      <c r="F1750" s="350"/>
      <c r="G1750" s="609"/>
      <c r="H1750" s="473">
        <v>18</v>
      </c>
      <c r="I1750" s="1153"/>
      <c r="J1750" s="415">
        <f t="shared" si="13"/>
        <v>1539.5480225988701</v>
      </c>
      <c r="K1750" s="437"/>
    </row>
    <row r="1751" spans="1:11" ht="18" customHeight="1" x14ac:dyDescent="0.2">
      <c r="A1751" s="349" t="s">
        <v>2978</v>
      </c>
      <c r="B1751" s="1046" t="s">
        <v>295</v>
      </c>
      <c r="C1751" s="1148"/>
      <c r="D1751" s="1151"/>
      <c r="E1751" s="421" t="s">
        <v>5903</v>
      </c>
      <c r="F1751" s="350"/>
      <c r="G1751" s="609"/>
      <c r="H1751" s="473">
        <v>18</v>
      </c>
      <c r="I1751" s="1153"/>
      <c r="J1751" s="415">
        <f t="shared" si="13"/>
        <v>1539.5480225988701</v>
      </c>
      <c r="K1751" s="437"/>
    </row>
    <row r="1752" spans="1:11" ht="14.25" customHeight="1" x14ac:dyDescent="0.2">
      <c r="A1752" s="349" t="s">
        <v>2979</v>
      </c>
      <c r="B1752" s="1046" t="s">
        <v>295</v>
      </c>
      <c r="C1752" s="1148"/>
      <c r="D1752" s="1151"/>
      <c r="E1752" s="421" t="s">
        <v>7169</v>
      </c>
      <c r="F1752" s="350"/>
      <c r="G1752" s="609"/>
      <c r="H1752" s="473">
        <v>18</v>
      </c>
      <c r="I1752" s="1153"/>
      <c r="J1752" s="415">
        <f t="shared" si="13"/>
        <v>1539.5480225988701</v>
      </c>
      <c r="K1752" s="437"/>
    </row>
    <row r="1753" spans="1:11" ht="14.25" customHeight="1" x14ac:dyDescent="0.2">
      <c r="A1753" s="349" t="s">
        <v>2980</v>
      </c>
      <c r="B1753" s="1046" t="s">
        <v>295</v>
      </c>
      <c r="C1753" s="1148"/>
      <c r="D1753" s="1151"/>
      <c r="E1753" s="421" t="s">
        <v>7824</v>
      </c>
      <c r="F1753" s="178"/>
      <c r="G1753" s="722"/>
      <c r="H1753" s="473">
        <v>18</v>
      </c>
      <c r="I1753" s="1153"/>
      <c r="J1753" s="415">
        <f t="shared" si="13"/>
        <v>1539.5480225988701</v>
      </c>
      <c r="K1753" s="437"/>
    </row>
    <row r="1754" spans="1:11" ht="14.25" customHeight="1" x14ac:dyDescent="0.2">
      <c r="A1754" s="349" t="s">
        <v>2981</v>
      </c>
      <c r="B1754" s="1046" t="s">
        <v>295</v>
      </c>
      <c r="C1754" s="1148"/>
      <c r="D1754" s="1151"/>
      <c r="E1754" s="421" t="s">
        <v>436</v>
      </c>
      <c r="F1754" s="178"/>
      <c r="G1754" s="722"/>
      <c r="H1754" s="473"/>
      <c r="I1754" s="1153"/>
      <c r="J1754" s="415">
        <f t="shared" si="13"/>
        <v>0</v>
      </c>
      <c r="K1754" s="437"/>
    </row>
    <row r="1755" spans="1:11" ht="14.25" customHeight="1" x14ac:dyDescent="0.2">
      <c r="A1755" s="349" t="s">
        <v>2982</v>
      </c>
      <c r="B1755" s="1046" t="s">
        <v>295</v>
      </c>
      <c r="C1755" s="1148"/>
      <c r="D1755" s="1151"/>
      <c r="E1755" s="421" t="s">
        <v>2569</v>
      </c>
      <c r="F1755" s="178"/>
      <c r="G1755" s="722"/>
      <c r="H1755" s="473">
        <v>1</v>
      </c>
      <c r="I1755" s="1153"/>
      <c r="J1755" s="415">
        <f t="shared" si="13"/>
        <v>85.530445699937232</v>
      </c>
      <c r="K1755" s="437"/>
    </row>
    <row r="1756" spans="1:11" ht="14.25" customHeight="1" x14ac:dyDescent="0.2">
      <c r="A1756" s="349" t="s">
        <v>2983</v>
      </c>
      <c r="B1756" s="1046" t="s">
        <v>295</v>
      </c>
      <c r="C1756" s="1148"/>
      <c r="D1756" s="1151"/>
      <c r="E1756" s="421" t="s">
        <v>2570</v>
      </c>
      <c r="F1756" s="178"/>
      <c r="G1756" s="722"/>
      <c r="H1756" s="473">
        <v>1</v>
      </c>
      <c r="I1756" s="1153"/>
      <c r="J1756" s="415">
        <f t="shared" si="13"/>
        <v>85.530445699937232</v>
      </c>
      <c r="K1756" s="437"/>
    </row>
    <row r="1757" spans="1:11" ht="14.25" customHeight="1" x14ac:dyDescent="0.2">
      <c r="A1757" s="349" t="s">
        <v>2984</v>
      </c>
      <c r="B1757" s="1046" t="s">
        <v>295</v>
      </c>
      <c r="C1757" s="1148"/>
      <c r="D1757" s="1151"/>
      <c r="E1757" s="421">
        <v>35</v>
      </c>
      <c r="F1757" s="178"/>
      <c r="G1757" s="722"/>
      <c r="H1757" s="473">
        <v>9</v>
      </c>
      <c r="I1757" s="1153"/>
      <c r="J1757" s="415">
        <f t="shared" si="13"/>
        <v>769.77401129943507</v>
      </c>
      <c r="K1757" s="437"/>
    </row>
    <row r="1758" spans="1:11" ht="14.25" customHeight="1" x14ac:dyDescent="0.2">
      <c r="A1758" s="349" t="s">
        <v>2985</v>
      </c>
      <c r="B1758" s="1046" t="s">
        <v>295</v>
      </c>
      <c r="C1758" s="1148"/>
      <c r="D1758" s="1151"/>
      <c r="E1758" s="421" t="s">
        <v>410</v>
      </c>
      <c r="F1758" s="178"/>
      <c r="G1758" s="722"/>
      <c r="H1758" s="473">
        <v>9</v>
      </c>
      <c r="I1758" s="1153"/>
      <c r="J1758" s="415">
        <f t="shared" si="13"/>
        <v>769.77401129943507</v>
      </c>
      <c r="K1758" s="437"/>
    </row>
    <row r="1759" spans="1:11" ht="14.25" customHeight="1" x14ac:dyDescent="0.2">
      <c r="A1759" s="349" t="s">
        <v>2986</v>
      </c>
      <c r="B1759" s="1046" t="s">
        <v>295</v>
      </c>
      <c r="C1759" s="1148"/>
      <c r="D1759" s="1151"/>
      <c r="E1759" s="421" t="s">
        <v>7823</v>
      </c>
      <c r="F1759" s="178"/>
      <c r="G1759" s="722"/>
      <c r="H1759" s="473">
        <v>15.8</v>
      </c>
      <c r="I1759" s="1153"/>
      <c r="J1759" s="415">
        <f t="shared" si="13"/>
        <v>1351.3810420590082</v>
      </c>
      <c r="K1759" s="437">
        <v>279139.86</v>
      </c>
    </row>
    <row r="1760" spans="1:11" ht="14.25" customHeight="1" x14ac:dyDescent="0.2">
      <c r="A1760" s="349" t="s">
        <v>2987</v>
      </c>
      <c r="B1760" s="1046" t="s">
        <v>295</v>
      </c>
      <c r="C1760" s="1148"/>
      <c r="D1760" s="1151"/>
      <c r="E1760" s="421" t="s">
        <v>414</v>
      </c>
      <c r="F1760" s="178"/>
      <c r="G1760" s="722"/>
      <c r="H1760" s="473">
        <v>18</v>
      </c>
      <c r="I1760" s="1153"/>
      <c r="J1760" s="415">
        <f t="shared" si="13"/>
        <v>1539.5480225988701</v>
      </c>
      <c r="K1760" s="437"/>
    </row>
    <row r="1761" spans="1:11" ht="14.25" customHeight="1" x14ac:dyDescent="0.2">
      <c r="A1761" s="349" t="s">
        <v>2988</v>
      </c>
      <c r="B1761" s="1046" t="s">
        <v>295</v>
      </c>
      <c r="C1761" s="1148"/>
      <c r="D1761" s="1151"/>
      <c r="E1761" s="421" t="s">
        <v>5748</v>
      </c>
      <c r="F1761" s="350"/>
      <c r="G1761" s="609"/>
      <c r="H1761" s="473">
        <v>9</v>
      </c>
      <c r="I1761" s="1153"/>
      <c r="J1761" s="415">
        <f t="shared" si="13"/>
        <v>769.77401129943507</v>
      </c>
      <c r="K1761" s="437"/>
    </row>
    <row r="1762" spans="1:11" ht="14.25" customHeight="1" x14ac:dyDescent="0.2">
      <c r="A1762" s="349" t="s">
        <v>2989</v>
      </c>
      <c r="B1762" s="1046" t="s">
        <v>295</v>
      </c>
      <c r="C1762" s="1148"/>
      <c r="D1762" s="1151"/>
      <c r="E1762" s="421" t="s">
        <v>430</v>
      </c>
      <c r="F1762" s="178"/>
      <c r="G1762" s="722"/>
      <c r="H1762" s="473">
        <v>9</v>
      </c>
      <c r="I1762" s="1153"/>
      <c r="J1762" s="415">
        <f t="shared" si="13"/>
        <v>769.77401129943507</v>
      </c>
      <c r="K1762" s="437"/>
    </row>
    <row r="1763" spans="1:11" ht="14.25" customHeight="1" x14ac:dyDescent="0.2">
      <c r="A1763" s="349" t="s">
        <v>2990</v>
      </c>
      <c r="B1763" s="1046" t="s">
        <v>295</v>
      </c>
      <c r="C1763" s="1148"/>
      <c r="D1763" s="1151"/>
      <c r="E1763" s="421" t="s">
        <v>5921</v>
      </c>
      <c r="F1763" s="350"/>
      <c r="G1763" s="609"/>
      <c r="H1763" s="473">
        <v>18</v>
      </c>
      <c r="I1763" s="1153"/>
      <c r="J1763" s="415">
        <f t="shared" si="13"/>
        <v>1539.5480225988701</v>
      </c>
      <c r="K1763" s="437"/>
    </row>
    <row r="1764" spans="1:11" ht="14.25" customHeight="1" x14ac:dyDescent="0.2">
      <c r="A1764" s="349" t="s">
        <v>2991</v>
      </c>
      <c r="B1764" s="1046" t="s">
        <v>295</v>
      </c>
      <c r="C1764" s="1148"/>
      <c r="D1764" s="1151"/>
      <c r="E1764" s="421" t="s">
        <v>7822</v>
      </c>
      <c r="F1764" s="178"/>
      <c r="G1764" s="722"/>
      <c r="H1764" s="473">
        <v>18</v>
      </c>
      <c r="I1764" s="1153"/>
      <c r="J1764" s="415">
        <f t="shared" si="13"/>
        <v>1539.5480225988701</v>
      </c>
      <c r="K1764" s="437"/>
    </row>
    <row r="1765" spans="1:11" ht="14.25" customHeight="1" x14ac:dyDescent="0.2">
      <c r="A1765" s="349" t="s">
        <v>2992</v>
      </c>
      <c r="B1765" s="1046" t="s">
        <v>295</v>
      </c>
      <c r="C1765" s="1148"/>
      <c r="D1765" s="1151"/>
      <c r="E1765" s="421" t="s">
        <v>7821</v>
      </c>
      <c r="F1765" s="178"/>
      <c r="G1765" s="722"/>
      <c r="H1765" s="473">
        <v>6</v>
      </c>
      <c r="I1765" s="1153"/>
      <c r="J1765" s="415">
        <f t="shared" si="13"/>
        <v>513.18267419962342</v>
      </c>
      <c r="K1765" s="437"/>
    </row>
    <row r="1766" spans="1:11" ht="14.25" customHeight="1" x14ac:dyDescent="0.2">
      <c r="A1766" s="349" t="s">
        <v>2993</v>
      </c>
      <c r="B1766" s="1046" t="s">
        <v>295</v>
      </c>
      <c r="C1766" s="1148"/>
      <c r="D1766" s="1151"/>
      <c r="E1766" s="421" t="s">
        <v>2571</v>
      </c>
      <c r="F1766" s="178"/>
      <c r="G1766" s="722"/>
      <c r="H1766" s="473">
        <v>6</v>
      </c>
      <c r="I1766" s="1153"/>
      <c r="J1766" s="415">
        <f t="shared" si="13"/>
        <v>513.18267419962342</v>
      </c>
      <c r="K1766" s="437"/>
    </row>
    <row r="1767" spans="1:11" ht="14.25" customHeight="1" x14ac:dyDescent="0.2">
      <c r="A1767" s="349" t="s">
        <v>2994</v>
      </c>
      <c r="B1767" s="1046" t="s">
        <v>295</v>
      </c>
      <c r="C1767" s="1148"/>
      <c r="D1767" s="1151"/>
      <c r="E1767" s="421" t="s">
        <v>2572</v>
      </c>
      <c r="F1767" s="178"/>
      <c r="G1767" s="722"/>
      <c r="H1767" s="473">
        <v>6</v>
      </c>
      <c r="I1767" s="1153"/>
      <c r="J1767" s="415">
        <f t="shared" si="13"/>
        <v>513.18267419962342</v>
      </c>
      <c r="K1767" s="437"/>
    </row>
    <row r="1768" spans="1:11" ht="14.25" customHeight="1" x14ac:dyDescent="0.2">
      <c r="A1768" s="349" t="s">
        <v>2995</v>
      </c>
      <c r="B1768" s="1046" t="s">
        <v>295</v>
      </c>
      <c r="C1768" s="1148"/>
      <c r="D1768" s="1151"/>
      <c r="E1768" s="421" t="s">
        <v>7818</v>
      </c>
      <c r="F1768" s="178"/>
      <c r="G1768" s="722"/>
      <c r="H1768" s="473">
        <v>18</v>
      </c>
      <c r="I1768" s="1153"/>
      <c r="J1768" s="415">
        <f t="shared" si="13"/>
        <v>1539.5480225988701</v>
      </c>
      <c r="K1768" s="437"/>
    </row>
    <row r="1769" spans="1:11" ht="14.25" customHeight="1" x14ac:dyDescent="0.2">
      <c r="A1769" s="349" t="s">
        <v>2996</v>
      </c>
      <c r="B1769" s="1046" t="s">
        <v>295</v>
      </c>
      <c r="C1769" s="1148"/>
      <c r="D1769" s="1151"/>
      <c r="E1769" s="421" t="s">
        <v>7819</v>
      </c>
      <c r="F1769" s="178"/>
      <c r="G1769" s="722"/>
      <c r="H1769" s="473">
        <v>37</v>
      </c>
      <c r="I1769" s="1153"/>
      <c r="J1769" s="415">
        <f t="shared" si="13"/>
        <v>3164.6264908976777</v>
      </c>
      <c r="K1769" s="437"/>
    </row>
    <row r="1770" spans="1:11" ht="14.25" customHeight="1" x14ac:dyDescent="0.2">
      <c r="A1770" s="349" t="s">
        <v>2997</v>
      </c>
      <c r="B1770" s="1046" t="s">
        <v>295</v>
      </c>
      <c r="C1770" s="1148"/>
      <c r="D1770" s="1151"/>
      <c r="E1770" s="421" t="s">
        <v>7820</v>
      </c>
      <c r="F1770" s="178"/>
      <c r="G1770" s="722"/>
      <c r="H1770" s="473">
        <v>37</v>
      </c>
      <c r="I1770" s="1153"/>
      <c r="J1770" s="415">
        <f t="shared" si="13"/>
        <v>3164.6264908976777</v>
      </c>
      <c r="K1770" s="437"/>
    </row>
    <row r="1771" spans="1:11" ht="14.25" customHeight="1" x14ac:dyDescent="0.2">
      <c r="A1771" s="349" t="s">
        <v>2998</v>
      </c>
      <c r="B1771" s="1046" t="s">
        <v>295</v>
      </c>
      <c r="C1771" s="1148"/>
      <c r="D1771" s="1151"/>
      <c r="E1771" s="421" t="s">
        <v>5902</v>
      </c>
      <c r="F1771" s="350"/>
      <c r="G1771" s="609"/>
      <c r="H1771" s="473">
        <v>37</v>
      </c>
      <c r="I1771" s="1153"/>
      <c r="J1771" s="415">
        <f t="shared" si="13"/>
        <v>3164.6264908976777</v>
      </c>
      <c r="K1771" s="437"/>
    </row>
    <row r="1772" spans="1:11" ht="14.25" customHeight="1" x14ac:dyDescent="0.2">
      <c r="A1772" s="349" t="s">
        <v>2999</v>
      </c>
      <c r="B1772" s="1046" t="s">
        <v>295</v>
      </c>
      <c r="C1772" s="1148"/>
      <c r="D1772" s="1151"/>
      <c r="E1772" s="421" t="s">
        <v>7817</v>
      </c>
      <c r="F1772" s="178"/>
      <c r="G1772" s="722"/>
      <c r="H1772" s="473">
        <v>18</v>
      </c>
      <c r="I1772" s="1153"/>
      <c r="J1772" s="415">
        <f t="shared" si="13"/>
        <v>1539.5480225988701</v>
      </c>
      <c r="K1772" s="437"/>
    </row>
    <row r="1773" spans="1:11" ht="14.25" customHeight="1" x14ac:dyDescent="0.2">
      <c r="A1773" s="349" t="s">
        <v>3000</v>
      </c>
      <c r="B1773" s="1046" t="s">
        <v>295</v>
      </c>
      <c r="C1773" s="1148"/>
      <c r="D1773" s="1151"/>
      <c r="E1773" s="421" t="s">
        <v>5781</v>
      </c>
      <c r="F1773" s="350"/>
      <c r="G1773" s="609"/>
      <c r="H1773" s="473">
        <v>18</v>
      </c>
      <c r="I1773" s="1153"/>
      <c r="J1773" s="415">
        <f t="shared" si="13"/>
        <v>1539.5480225988701</v>
      </c>
      <c r="K1773" s="437"/>
    </row>
    <row r="1774" spans="1:11" ht="14.25" customHeight="1" x14ac:dyDescent="0.2">
      <c r="A1774" s="349" t="s">
        <v>3001</v>
      </c>
      <c r="B1774" s="1046" t="s">
        <v>295</v>
      </c>
      <c r="C1774" s="1148"/>
      <c r="D1774" s="1151"/>
      <c r="E1774" s="421" t="s">
        <v>7816</v>
      </c>
      <c r="F1774" s="178"/>
      <c r="G1774" s="722"/>
      <c r="H1774" s="473">
        <v>18</v>
      </c>
      <c r="I1774" s="1153"/>
      <c r="J1774" s="415">
        <f t="shared" si="13"/>
        <v>1539.5480225988701</v>
      </c>
      <c r="K1774" s="437"/>
    </row>
    <row r="1775" spans="1:11" ht="14.25" customHeight="1" x14ac:dyDescent="0.2">
      <c r="A1775" s="349" t="s">
        <v>3002</v>
      </c>
      <c r="B1775" s="1046" t="s">
        <v>295</v>
      </c>
      <c r="C1775" s="1148"/>
      <c r="D1775" s="1151"/>
      <c r="E1775" s="421">
        <v>64</v>
      </c>
      <c r="F1775" s="350"/>
      <c r="G1775" s="609"/>
      <c r="H1775" s="473">
        <v>18</v>
      </c>
      <c r="I1775" s="1153"/>
      <c r="J1775" s="415">
        <f t="shared" si="13"/>
        <v>1539.5480225988701</v>
      </c>
      <c r="K1775" s="437"/>
    </row>
    <row r="1776" spans="1:11" ht="14.25" customHeight="1" x14ac:dyDescent="0.2">
      <c r="A1776" s="349" t="s">
        <v>3003</v>
      </c>
      <c r="B1776" s="1046" t="s">
        <v>295</v>
      </c>
      <c r="C1776" s="1148"/>
      <c r="D1776" s="1151"/>
      <c r="E1776" s="421" t="s">
        <v>7815</v>
      </c>
      <c r="F1776" s="178"/>
      <c r="G1776" s="722"/>
      <c r="H1776" s="473">
        <v>37</v>
      </c>
      <c r="I1776" s="1153"/>
      <c r="J1776" s="415">
        <f t="shared" si="13"/>
        <v>3164.6264908976777</v>
      </c>
      <c r="K1776" s="437"/>
    </row>
    <row r="1777" spans="1:11" ht="14.25" customHeight="1" x14ac:dyDescent="0.2">
      <c r="A1777" s="349" t="s">
        <v>3004</v>
      </c>
      <c r="B1777" s="1046" t="s">
        <v>295</v>
      </c>
      <c r="C1777" s="1148"/>
      <c r="D1777" s="1151"/>
      <c r="E1777" s="421" t="s">
        <v>402</v>
      </c>
      <c r="F1777" s="178"/>
      <c r="G1777" s="722"/>
      <c r="H1777" s="473">
        <v>1</v>
      </c>
      <c r="I1777" s="1153"/>
      <c r="J1777" s="415">
        <f t="shared" si="13"/>
        <v>85.530445699937232</v>
      </c>
      <c r="K1777" s="437"/>
    </row>
    <row r="1778" spans="1:11" ht="14.25" customHeight="1" x14ac:dyDescent="0.2">
      <c r="A1778" s="349" t="s">
        <v>3005</v>
      </c>
      <c r="B1778" s="1046" t="s">
        <v>295</v>
      </c>
      <c r="C1778" s="1148"/>
      <c r="D1778" s="1151"/>
      <c r="E1778" s="421" t="s">
        <v>7814</v>
      </c>
      <c r="F1778" s="178"/>
      <c r="G1778" s="722"/>
      <c r="H1778" s="473">
        <v>18</v>
      </c>
      <c r="I1778" s="1153"/>
      <c r="J1778" s="415">
        <f t="shared" si="13"/>
        <v>1539.5480225988701</v>
      </c>
      <c r="K1778" s="437"/>
    </row>
    <row r="1779" spans="1:11" ht="14.25" customHeight="1" x14ac:dyDescent="0.2">
      <c r="A1779" s="349" t="s">
        <v>3006</v>
      </c>
      <c r="B1779" s="1046" t="s">
        <v>295</v>
      </c>
      <c r="C1779" s="1148"/>
      <c r="D1779" s="1151"/>
      <c r="E1779" s="421" t="s">
        <v>7809</v>
      </c>
      <c r="F1779" s="350"/>
      <c r="G1779" s="722"/>
      <c r="H1779" s="473">
        <v>19.8</v>
      </c>
      <c r="I1779" s="1153"/>
      <c r="J1779" s="415">
        <f t="shared" si="13"/>
        <v>1693.5028248587573</v>
      </c>
      <c r="K1779" s="437"/>
    </row>
    <row r="1780" spans="1:11" ht="14.25" customHeight="1" x14ac:dyDescent="0.2">
      <c r="A1780" s="349" t="s">
        <v>3007</v>
      </c>
      <c r="B1780" s="1046" t="s">
        <v>295</v>
      </c>
      <c r="C1780" s="1148"/>
      <c r="D1780" s="1151"/>
      <c r="E1780" s="421" t="s">
        <v>2573</v>
      </c>
      <c r="F1780" s="178"/>
      <c r="G1780" s="722"/>
      <c r="H1780" s="473">
        <v>19</v>
      </c>
      <c r="I1780" s="1153"/>
      <c r="J1780" s="415">
        <f t="shared" si="13"/>
        <v>1625.0784682988074</v>
      </c>
      <c r="K1780" s="437"/>
    </row>
    <row r="1781" spans="1:11" ht="14.25" customHeight="1" x14ac:dyDescent="0.2">
      <c r="A1781" s="349" t="s">
        <v>3008</v>
      </c>
      <c r="B1781" s="1046" t="s">
        <v>295</v>
      </c>
      <c r="C1781" s="1148"/>
      <c r="D1781" s="1151"/>
      <c r="E1781" s="421" t="s">
        <v>7811</v>
      </c>
      <c r="F1781" s="350"/>
      <c r="G1781" s="609"/>
      <c r="H1781" s="473">
        <v>18</v>
      </c>
      <c r="I1781" s="1153"/>
      <c r="J1781" s="415">
        <f t="shared" si="13"/>
        <v>1539.5480225988701</v>
      </c>
      <c r="K1781" s="437"/>
    </row>
    <row r="1782" spans="1:11" ht="14.25" customHeight="1" x14ac:dyDescent="0.2">
      <c r="A1782" s="349" t="s">
        <v>3009</v>
      </c>
      <c r="B1782" s="1046" t="s">
        <v>295</v>
      </c>
      <c r="C1782" s="1148"/>
      <c r="D1782" s="1151"/>
      <c r="E1782" s="421" t="s">
        <v>7812</v>
      </c>
      <c r="F1782" s="178"/>
      <c r="G1782" s="722"/>
      <c r="H1782" s="473">
        <v>37</v>
      </c>
      <c r="I1782" s="1153"/>
      <c r="J1782" s="415">
        <f t="shared" si="13"/>
        <v>3164.6264908976777</v>
      </c>
      <c r="K1782" s="437"/>
    </row>
    <row r="1783" spans="1:11" ht="14.25" customHeight="1" x14ac:dyDescent="0.2">
      <c r="A1783" s="349" t="s">
        <v>3010</v>
      </c>
      <c r="B1783" s="1046" t="s">
        <v>295</v>
      </c>
      <c r="C1783" s="1148"/>
      <c r="D1783" s="1151"/>
      <c r="E1783" s="421" t="s">
        <v>9057</v>
      </c>
      <c r="F1783" s="178"/>
      <c r="G1783" s="606"/>
      <c r="H1783" s="473">
        <v>18</v>
      </c>
      <c r="I1783" s="1153"/>
      <c r="J1783" s="415">
        <f t="shared" si="13"/>
        <v>1539.5480225988701</v>
      </c>
      <c r="K1783" s="437"/>
    </row>
    <row r="1784" spans="1:11" ht="14.25" customHeight="1" x14ac:dyDescent="0.2">
      <c r="A1784" s="349" t="s">
        <v>3011</v>
      </c>
      <c r="B1784" s="1046" t="s">
        <v>295</v>
      </c>
      <c r="C1784" s="1148"/>
      <c r="D1784" s="1151"/>
      <c r="E1784" s="421" t="s">
        <v>7813</v>
      </c>
      <c r="F1784" s="178"/>
      <c r="G1784" s="722"/>
      <c r="H1784" s="473">
        <v>18</v>
      </c>
      <c r="I1784" s="1153"/>
      <c r="J1784" s="415">
        <f t="shared" si="13"/>
        <v>1539.5480225988701</v>
      </c>
      <c r="K1784" s="437"/>
    </row>
    <row r="1785" spans="1:11" x14ac:dyDescent="0.2">
      <c r="A1785" s="349" t="s">
        <v>3012</v>
      </c>
      <c r="B1785" s="1046" t="s">
        <v>295</v>
      </c>
      <c r="C1785" s="1148"/>
      <c r="D1785" s="1151"/>
      <c r="E1785" s="421" t="s">
        <v>5780</v>
      </c>
      <c r="F1785" s="350"/>
      <c r="G1785" s="609"/>
      <c r="H1785" s="473">
        <v>37</v>
      </c>
      <c r="I1785" s="1153"/>
      <c r="J1785" s="415">
        <f t="shared" si="13"/>
        <v>3164.6264908976777</v>
      </c>
      <c r="K1785" s="437"/>
    </row>
    <row r="1786" spans="1:11" x14ac:dyDescent="0.2">
      <c r="A1786" s="349" t="s">
        <v>3013</v>
      </c>
      <c r="B1786" s="1046" t="s">
        <v>295</v>
      </c>
      <c r="C1786" s="1148"/>
      <c r="D1786" s="1151"/>
      <c r="E1786" s="421" t="s">
        <v>7810</v>
      </c>
      <c r="F1786" s="350"/>
      <c r="G1786" s="609"/>
      <c r="H1786" s="473">
        <v>18</v>
      </c>
      <c r="I1786" s="1153"/>
      <c r="J1786" s="415">
        <f t="shared" si="13"/>
        <v>1539.5480225988701</v>
      </c>
      <c r="K1786" s="437"/>
    </row>
    <row r="1787" spans="1:11" x14ac:dyDescent="0.2">
      <c r="A1787" s="349" t="s">
        <v>3157</v>
      </c>
      <c r="B1787" s="1046" t="s">
        <v>295</v>
      </c>
      <c r="C1787" s="1148"/>
      <c r="D1787" s="1151"/>
      <c r="E1787" s="468" t="s">
        <v>3158</v>
      </c>
      <c r="F1787" s="178"/>
      <c r="G1787" s="623"/>
      <c r="H1787" s="469">
        <v>18</v>
      </c>
      <c r="I1787" s="1153"/>
      <c r="J1787" s="415">
        <f>163500/1911.6*H1787</f>
        <v>1539.5480225988701</v>
      </c>
      <c r="K1787" s="437"/>
    </row>
    <row r="1788" spans="1:11" x14ac:dyDescent="0.2">
      <c r="A1788" s="349" t="s">
        <v>5890</v>
      </c>
      <c r="B1788" s="432" t="s">
        <v>5959</v>
      </c>
      <c r="C1788" s="1149"/>
      <c r="D1788" s="1152"/>
      <c r="E1788" s="468" t="s">
        <v>2924</v>
      </c>
      <c r="F1788" s="269"/>
      <c r="G1788" s="623"/>
      <c r="H1788" s="469">
        <v>17.2</v>
      </c>
      <c r="I1788" s="1146"/>
      <c r="J1788" s="415">
        <f>163500/1911.6*H1788</f>
        <v>1471.1236660389204</v>
      </c>
      <c r="K1788" s="437"/>
    </row>
    <row r="1789" spans="1:11" ht="26.25" customHeight="1" x14ac:dyDescent="0.2">
      <c r="A1789" s="348" t="s">
        <v>1202</v>
      </c>
      <c r="B1789" s="432" t="s">
        <v>295</v>
      </c>
      <c r="C1789" s="405" t="s">
        <v>11410</v>
      </c>
      <c r="D1789" s="714">
        <v>5</v>
      </c>
      <c r="E1789" s="450" t="s">
        <v>513</v>
      </c>
      <c r="F1789" s="178"/>
      <c r="G1789" s="607"/>
      <c r="H1789" s="415">
        <f>150.5-74.3</f>
        <v>76.2</v>
      </c>
      <c r="I1789" s="715">
        <v>1988</v>
      </c>
      <c r="J1789" s="415">
        <f>822.6*1000-H1789*G1789</f>
        <v>822600</v>
      </c>
      <c r="K1789" s="437"/>
    </row>
    <row r="1790" spans="1:11" ht="40.5" customHeight="1" x14ac:dyDescent="0.2">
      <c r="A1790" s="348" t="s">
        <v>1203</v>
      </c>
      <c r="B1790" s="347" t="s">
        <v>9967</v>
      </c>
      <c r="C1790" s="405" t="s">
        <v>11411</v>
      </c>
      <c r="D1790" s="714">
        <v>20</v>
      </c>
      <c r="E1790" s="425"/>
      <c r="F1790" s="178" t="s">
        <v>2581</v>
      </c>
      <c r="G1790" s="722" t="s">
        <v>2582</v>
      </c>
      <c r="H1790" s="415">
        <v>43.3</v>
      </c>
      <c r="I1790" s="715">
        <v>1952</v>
      </c>
      <c r="J1790" s="415">
        <f>196.8*1000</f>
        <v>196800</v>
      </c>
      <c r="K1790" s="437">
        <v>344975.86</v>
      </c>
    </row>
    <row r="1791" spans="1:11" ht="38.25" x14ac:dyDescent="0.2">
      <c r="A1791" s="348" t="s">
        <v>1204</v>
      </c>
      <c r="B1791" s="347" t="s">
        <v>9967</v>
      </c>
      <c r="C1791" s="405" t="s">
        <v>11412</v>
      </c>
      <c r="D1791" s="714">
        <v>151</v>
      </c>
      <c r="E1791" s="425"/>
      <c r="F1791" s="178" t="s">
        <v>2580</v>
      </c>
      <c r="G1791" s="722" t="s">
        <v>2582</v>
      </c>
      <c r="H1791" s="415">
        <v>30.6</v>
      </c>
      <c r="I1791" s="715">
        <v>1961</v>
      </c>
      <c r="J1791" s="415">
        <f>114.8*1000</f>
        <v>114800</v>
      </c>
      <c r="K1791" s="437">
        <v>243793.57</v>
      </c>
    </row>
    <row r="1792" spans="1:11" ht="12.75" customHeight="1" x14ac:dyDescent="0.2">
      <c r="A1792" s="348" t="s">
        <v>1205</v>
      </c>
      <c r="B1792" s="432"/>
      <c r="C1792" s="1157" t="s">
        <v>11413</v>
      </c>
      <c r="D1792" s="1158">
        <v>12</v>
      </c>
      <c r="E1792" s="425"/>
      <c r="F1792" s="178"/>
      <c r="G1792" s="722" t="s">
        <v>2583</v>
      </c>
      <c r="H1792" s="415">
        <v>0</v>
      </c>
      <c r="I1792" s="1159">
        <v>1982</v>
      </c>
      <c r="J1792" s="415">
        <v>0</v>
      </c>
      <c r="K1792" s="437"/>
    </row>
    <row r="1793" spans="1:11" ht="12.75" customHeight="1" x14ac:dyDescent="0.2">
      <c r="A1793" s="349" t="s">
        <v>1743</v>
      </c>
      <c r="B1793" s="432" t="s">
        <v>295</v>
      </c>
      <c r="C1793" s="1157"/>
      <c r="D1793" s="1158"/>
      <c r="E1793" s="425">
        <v>18</v>
      </c>
      <c r="F1793" s="178" t="s">
        <v>2578</v>
      </c>
      <c r="G1793" s="722" t="s">
        <v>127</v>
      </c>
      <c r="H1793" s="415">
        <v>83.9</v>
      </c>
      <c r="I1793" s="1159"/>
      <c r="J1793" s="415">
        <f>58.995*1000</f>
        <v>58995</v>
      </c>
      <c r="K1793" s="437">
        <v>1596009.32</v>
      </c>
    </row>
    <row r="1794" spans="1:11" x14ac:dyDescent="0.2">
      <c r="A1794" s="349" t="s">
        <v>1744</v>
      </c>
      <c r="B1794" s="432" t="s">
        <v>295</v>
      </c>
      <c r="C1794" s="1157"/>
      <c r="D1794" s="1158"/>
      <c r="E1794" s="425">
        <v>20</v>
      </c>
      <c r="F1794" s="178" t="s">
        <v>2579</v>
      </c>
      <c r="G1794" s="722" t="s">
        <v>127</v>
      </c>
      <c r="H1794" s="415">
        <v>31.9</v>
      </c>
      <c r="I1794" s="1159"/>
      <c r="J1794" s="415">
        <f>21.335*1000</f>
        <v>21335</v>
      </c>
      <c r="K1794" s="437">
        <v>609418.49</v>
      </c>
    </row>
    <row r="1795" spans="1:11" x14ac:dyDescent="0.2">
      <c r="A1795" s="348" t="s">
        <v>1206</v>
      </c>
      <c r="B1795" s="347"/>
      <c r="C1795" s="1147" t="s">
        <v>11414</v>
      </c>
      <c r="D1795" s="1150">
        <v>32</v>
      </c>
      <c r="E1795" s="425"/>
      <c r="F1795" s="178"/>
      <c r="G1795" s="722" t="s">
        <v>2584</v>
      </c>
      <c r="H1795" s="415">
        <f>710-710</f>
        <v>0</v>
      </c>
      <c r="I1795" s="1145">
        <v>1998</v>
      </c>
      <c r="J1795" s="415">
        <f>660.6*1000-660600</f>
        <v>0</v>
      </c>
      <c r="K1795" s="437"/>
    </row>
    <row r="1796" spans="1:11" ht="12.75" customHeight="1" x14ac:dyDescent="0.2">
      <c r="A1796" s="349" t="s">
        <v>2588</v>
      </c>
      <c r="B1796" s="347" t="s">
        <v>295</v>
      </c>
      <c r="C1796" s="1149"/>
      <c r="D1796" s="1152"/>
      <c r="E1796" s="425">
        <v>10</v>
      </c>
      <c r="F1796" s="2" t="s">
        <v>11415</v>
      </c>
      <c r="G1796" s="722"/>
      <c r="H1796" s="415">
        <v>101.4</v>
      </c>
      <c r="I1796" s="1146"/>
      <c r="J1796" s="415">
        <v>103426.51</v>
      </c>
      <c r="K1796" s="437"/>
    </row>
    <row r="1797" spans="1:11" ht="26.25" customHeight="1" x14ac:dyDescent="0.2">
      <c r="A1797" s="348" t="s">
        <v>1207</v>
      </c>
      <c r="B1797" s="432" t="s">
        <v>307</v>
      </c>
      <c r="C1797" s="405" t="s">
        <v>5214</v>
      </c>
      <c r="D1797" s="714"/>
      <c r="E1797" s="425"/>
      <c r="F1797" s="178"/>
      <c r="G1797" s="722"/>
      <c r="H1797" s="415">
        <v>27.8</v>
      </c>
      <c r="I1797" s="715">
        <v>1975</v>
      </c>
      <c r="J1797" s="415">
        <f>4.6*1000</f>
        <v>4600</v>
      </c>
      <c r="K1797" s="437"/>
    </row>
    <row r="1798" spans="1:11" ht="12.75" customHeight="1" x14ac:dyDescent="0.2">
      <c r="A1798" s="348" t="s">
        <v>1208</v>
      </c>
      <c r="B1798" s="347"/>
      <c r="C1798" s="1227" t="s">
        <v>11416</v>
      </c>
      <c r="D1798" s="1150">
        <v>4</v>
      </c>
      <c r="E1798" s="425"/>
      <c r="F1798" s="178"/>
      <c r="G1798" s="722"/>
      <c r="H1798" s="441">
        <f>697.2-697.2</f>
        <v>0</v>
      </c>
      <c r="I1798" s="1145" t="s">
        <v>10036</v>
      </c>
      <c r="J1798" s="415">
        <f>(22725738+33586484)-(22725738+33586484)</f>
        <v>0</v>
      </c>
      <c r="K1798" s="437"/>
    </row>
    <row r="1799" spans="1:11" x14ac:dyDescent="0.2">
      <c r="A1799" s="348"/>
      <c r="B1799" s="347"/>
      <c r="C1799" s="1228"/>
      <c r="D1799" s="1151"/>
      <c r="E1799" s="425"/>
      <c r="F1799" s="178"/>
      <c r="G1799" s="722"/>
      <c r="H1799" s="441">
        <f>3671.7-3671.7</f>
        <v>0</v>
      </c>
      <c r="I1799" s="1153"/>
      <c r="J1799" s="415">
        <f>12449.1*1000-12449.1*1000</f>
        <v>0</v>
      </c>
      <c r="K1799" s="437"/>
    </row>
    <row r="1800" spans="1:11" ht="13.5" customHeight="1" x14ac:dyDescent="0.2">
      <c r="A1800" s="349" t="s">
        <v>1745</v>
      </c>
      <c r="B1800" s="347" t="s">
        <v>295</v>
      </c>
      <c r="C1800" s="1228"/>
      <c r="D1800" s="1151"/>
      <c r="E1800" s="436">
        <v>20</v>
      </c>
      <c r="F1800" s="178" t="s">
        <v>2587</v>
      </c>
      <c r="G1800" s="722" t="s">
        <v>127</v>
      </c>
      <c r="H1800" s="467">
        <v>57</v>
      </c>
      <c r="I1800" s="1153"/>
      <c r="J1800" s="415">
        <f>195.638*1000</f>
        <v>195638</v>
      </c>
      <c r="K1800" s="437">
        <v>1162142.92</v>
      </c>
    </row>
    <row r="1801" spans="1:11" ht="12.75" customHeight="1" x14ac:dyDescent="0.2">
      <c r="A1801" s="349" t="s">
        <v>1746</v>
      </c>
      <c r="B1801" s="347" t="s">
        <v>295</v>
      </c>
      <c r="C1801" s="1228"/>
      <c r="D1801" s="1151"/>
      <c r="E1801" s="436">
        <v>64</v>
      </c>
      <c r="F1801" s="178" t="s">
        <v>2586</v>
      </c>
      <c r="G1801" s="722" t="s">
        <v>137</v>
      </c>
      <c r="H1801" s="467">
        <v>56.6</v>
      </c>
      <c r="I1801" s="1153"/>
      <c r="J1801" s="415">
        <f>138.32*1000</f>
        <v>138320</v>
      </c>
      <c r="K1801" s="437">
        <v>1153987.53</v>
      </c>
    </row>
    <row r="1802" spans="1:11" ht="12.75" customHeight="1" x14ac:dyDescent="0.2">
      <c r="A1802" s="404" t="s">
        <v>1747</v>
      </c>
      <c r="B1802" s="492" t="s">
        <v>295</v>
      </c>
      <c r="C1802" s="1228"/>
      <c r="D1802" s="1151"/>
      <c r="E1802" s="479">
        <v>104</v>
      </c>
      <c r="F1802" s="200" t="s">
        <v>2585</v>
      </c>
      <c r="G1802" s="718" t="s">
        <v>512</v>
      </c>
      <c r="H1802" s="493">
        <v>39.6</v>
      </c>
      <c r="I1802" s="1153"/>
      <c r="J1802" s="415">
        <v>1400000</v>
      </c>
      <c r="K1802" s="437"/>
    </row>
    <row r="1803" spans="1:11" x14ac:dyDescent="0.2">
      <c r="A1803" s="347" t="s">
        <v>10642</v>
      </c>
      <c r="B1803" s="347" t="s">
        <v>295</v>
      </c>
      <c r="C1803" s="1228"/>
      <c r="D1803" s="1151"/>
      <c r="E1803" s="334">
        <v>29</v>
      </c>
      <c r="F1803" s="200" t="s">
        <v>10643</v>
      </c>
      <c r="G1803" s="624" t="s">
        <v>128</v>
      </c>
      <c r="H1803" s="529">
        <v>68.599999999999994</v>
      </c>
      <c r="I1803" s="1153"/>
      <c r="J1803" s="435">
        <v>235452</v>
      </c>
      <c r="K1803" s="443"/>
    </row>
    <row r="1804" spans="1:11" ht="24" x14ac:dyDescent="0.2">
      <c r="A1804" s="420" t="s">
        <v>11806</v>
      </c>
      <c r="B1804" s="420" t="s">
        <v>295</v>
      </c>
      <c r="C1804" s="1229"/>
      <c r="D1804" s="1152"/>
      <c r="E1804" s="436">
        <v>39</v>
      </c>
      <c r="F1804" s="178" t="s">
        <v>11807</v>
      </c>
      <c r="G1804" s="722" t="s">
        <v>127</v>
      </c>
      <c r="H1804" s="474">
        <v>40.200000000000003</v>
      </c>
      <c r="I1804" s="1146"/>
      <c r="J1804" s="435">
        <v>137976</v>
      </c>
      <c r="K1804" s="443">
        <v>822795.92</v>
      </c>
    </row>
    <row r="1805" spans="1:11" x14ac:dyDescent="0.2">
      <c r="A1805" s="348" t="s">
        <v>1209</v>
      </c>
      <c r="B1805" s="347"/>
      <c r="C1805" s="1157" t="s">
        <v>11417</v>
      </c>
      <c r="D1805" s="1158">
        <v>34</v>
      </c>
      <c r="E1805" s="436"/>
      <c r="F1805" s="178"/>
      <c r="G1805" s="722"/>
      <c r="H1805" s="415">
        <f>438.3-438.3</f>
        <v>0</v>
      </c>
      <c r="I1805" s="1159">
        <v>1969</v>
      </c>
      <c r="J1805" s="415">
        <f>1491.428*1000-1491.428*1000</f>
        <v>0</v>
      </c>
      <c r="K1805" s="437"/>
    </row>
    <row r="1806" spans="1:11" ht="38.25" customHeight="1" x14ac:dyDescent="0.2">
      <c r="A1806" s="349" t="s">
        <v>2589</v>
      </c>
      <c r="B1806" s="347" t="s">
        <v>295</v>
      </c>
      <c r="C1806" s="1157"/>
      <c r="D1806" s="1158"/>
      <c r="E1806" s="436">
        <v>8</v>
      </c>
      <c r="F1806" s="178" t="s">
        <v>2590</v>
      </c>
      <c r="G1806" s="722"/>
      <c r="H1806" s="415">
        <v>45.6</v>
      </c>
      <c r="I1806" s="1159"/>
      <c r="J1806" s="415">
        <v>155165.68</v>
      </c>
      <c r="K1806" s="437">
        <v>542455.78</v>
      </c>
    </row>
    <row r="1807" spans="1:11" ht="25.5" x14ac:dyDescent="0.2">
      <c r="A1807" s="348" t="s">
        <v>1210</v>
      </c>
      <c r="B1807" s="432" t="s">
        <v>307</v>
      </c>
      <c r="C1807" s="405" t="s">
        <v>11418</v>
      </c>
      <c r="D1807" s="714">
        <v>11</v>
      </c>
      <c r="E1807" s="436"/>
      <c r="F1807" s="178"/>
      <c r="G1807" s="722"/>
      <c r="H1807" s="415">
        <v>79.099999999999994</v>
      </c>
      <c r="I1807" s="494"/>
      <c r="J1807" s="415">
        <f>162.277*1000</f>
        <v>162277</v>
      </c>
      <c r="K1807" s="437"/>
    </row>
    <row r="1808" spans="1:11" ht="38.25" x14ac:dyDescent="0.2">
      <c r="A1808" s="351" t="s">
        <v>1211</v>
      </c>
      <c r="B1808" s="483" t="s">
        <v>307</v>
      </c>
      <c r="C1808" s="405" t="s">
        <v>11419</v>
      </c>
      <c r="D1808" s="714">
        <v>8</v>
      </c>
      <c r="E1808" s="436"/>
      <c r="F1808" s="178"/>
      <c r="G1808" s="722" t="s">
        <v>190</v>
      </c>
      <c r="H1808" s="415">
        <v>110</v>
      </c>
      <c r="I1808" s="715"/>
      <c r="J1808" s="415"/>
      <c r="K1808" s="437"/>
    </row>
    <row r="1809" spans="1:11" ht="40.5" customHeight="1" x14ac:dyDescent="0.2">
      <c r="A1809" s="351" t="s">
        <v>1212</v>
      </c>
      <c r="B1809" s="347" t="s">
        <v>307</v>
      </c>
      <c r="C1809" s="405" t="s">
        <v>11420</v>
      </c>
      <c r="D1809" s="714">
        <v>40</v>
      </c>
      <c r="E1809" s="436"/>
      <c r="F1809" s="178"/>
      <c r="G1809" s="722" t="s">
        <v>190</v>
      </c>
      <c r="H1809" s="441">
        <f>286.4-44.4</f>
        <v>241.99999999999997</v>
      </c>
      <c r="I1809" s="715"/>
      <c r="J1809" s="415">
        <v>231775.84</v>
      </c>
      <c r="K1809" s="437"/>
    </row>
    <row r="1810" spans="1:11" ht="38.25" x14ac:dyDescent="0.2">
      <c r="A1810" s="351" t="s">
        <v>1213</v>
      </c>
      <c r="B1810" s="347" t="s">
        <v>9967</v>
      </c>
      <c r="C1810" s="405" t="s">
        <v>5213</v>
      </c>
      <c r="D1810" s="714" t="s">
        <v>2924</v>
      </c>
      <c r="E1810" s="436"/>
      <c r="F1810" s="178"/>
      <c r="G1810" s="722" t="s">
        <v>190</v>
      </c>
      <c r="H1810" s="415">
        <v>30</v>
      </c>
      <c r="I1810" s="715"/>
      <c r="J1810" s="415"/>
      <c r="K1810" s="437"/>
    </row>
    <row r="1811" spans="1:11" ht="38.25" x14ac:dyDescent="0.2">
      <c r="A1811" s="351" t="s">
        <v>1748</v>
      </c>
      <c r="B1811" s="347" t="s">
        <v>9967</v>
      </c>
      <c r="C1811" s="405" t="s">
        <v>11421</v>
      </c>
      <c r="D1811" s="714">
        <v>21</v>
      </c>
      <c r="E1811" s="436"/>
      <c r="F1811" s="178"/>
      <c r="G1811" s="722" t="s">
        <v>190</v>
      </c>
      <c r="H1811" s="415">
        <v>24.2</v>
      </c>
      <c r="I1811" s="715"/>
      <c r="J1811" s="415">
        <v>118000</v>
      </c>
      <c r="K1811" s="437"/>
    </row>
    <row r="1812" spans="1:11" ht="25.5" customHeight="1" x14ac:dyDescent="0.2">
      <c r="A1812" s="348" t="s">
        <v>1214</v>
      </c>
      <c r="B1812" s="347"/>
      <c r="C1812" s="1147" t="s">
        <v>11422</v>
      </c>
      <c r="D1812" s="1150">
        <v>26</v>
      </c>
      <c r="E1812" s="436"/>
      <c r="F1812" s="347"/>
      <c r="G1812" s="722"/>
      <c r="H1812" s="415">
        <f>135.8-135.8</f>
        <v>0</v>
      </c>
      <c r="I1812" s="1145">
        <v>2007</v>
      </c>
      <c r="J1812" s="415">
        <f>3012451-3012451</f>
        <v>0</v>
      </c>
      <c r="K1812" s="437"/>
    </row>
    <row r="1813" spans="1:11" ht="18" customHeight="1" x14ac:dyDescent="0.2">
      <c r="A1813" s="349" t="s">
        <v>10316</v>
      </c>
      <c r="B1813" s="347" t="s">
        <v>295</v>
      </c>
      <c r="C1813" s="1149"/>
      <c r="D1813" s="1152"/>
      <c r="E1813" s="436">
        <v>11</v>
      </c>
      <c r="F1813" s="2" t="s">
        <v>10317</v>
      </c>
      <c r="G1813" s="724" t="s">
        <v>137</v>
      </c>
      <c r="H1813" s="435">
        <f>37</f>
        <v>37</v>
      </c>
      <c r="I1813" s="1146"/>
      <c r="J1813" s="435">
        <f>818.552*1000</f>
        <v>818552</v>
      </c>
      <c r="K1813" s="443">
        <v>534245.22</v>
      </c>
    </row>
    <row r="1814" spans="1:11" ht="18" customHeight="1" x14ac:dyDescent="0.2">
      <c r="A1814" s="863" t="s">
        <v>14315</v>
      </c>
      <c r="B1814" s="833"/>
      <c r="C1814" s="1165" t="s">
        <v>14317</v>
      </c>
      <c r="D1814" s="1150">
        <v>25</v>
      </c>
      <c r="E1814" s="436"/>
      <c r="F1814" s="2"/>
      <c r="G1814" s="861"/>
      <c r="H1814" s="435"/>
      <c r="I1814" s="1145">
        <v>2007</v>
      </c>
      <c r="J1814" s="435"/>
      <c r="K1814" s="443"/>
    </row>
    <row r="1815" spans="1:11" ht="18" customHeight="1" x14ac:dyDescent="0.2">
      <c r="A1815" s="863" t="s">
        <v>14316</v>
      </c>
      <c r="B1815" s="833" t="s">
        <v>295</v>
      </c>
      <c r="C1815" s="1149"/>
      <c r="D1815" s="1152"/>
      <c r="E1815" s="436">
        <v>3</v>
      </c>
      <c r="F1815" s="2" t="s">
        <v>14318</v>
      </c>
      <c r="G1815" s="612" t="s">
        <v>512</v>
      </c>
      <c r="H1815" s="435">
        <v>81.5</v>
      </c>
      <c r="I1815" s="1146"/>
      <c r="J1815" s="435">
        <v>9274863</v>
      </c>
      <c r="K1815" s="443">
        <v>1711232.7</v>
      </c>
    </row>
    <row r="1816" spans="1:11" ht="31.5" customHeight="1" x14ac:dyDescent="0.2">
      <c r="A1816" s="348" t="s">
        <v>1749</v>
      </c>
      <c r="B1816" s="347"/>
      <c r="C1816" s="1147" t="s">
        <v>11423</v>
      </c>
      <c r="D1816" s="1150">
        <v>18</v>
      </c>
      <c r="E1816" s="436"/>
      <c r="F1816" s="178"/>
      <c r="G1816" s="722" t="s">
        <v>4759</v>
      </c>
      <c r="H1816" s="415">
        <f>611.9-611.9</f>
        <v>0</v>
      </c>
      <c r="I1816" s="1145">
        <v>2007</v>
      </c>
      <c r="J1816" s="415">
        <f>7200000-7200000</f>
        <v>0</v>
      </c>
      <c r="K1816" s="437"/>
    </row>
    <row r="1817" spans="1:11" ht="23.25" customHeight="1" x14ac:dyDescent="0.2">
      <c r="A1817" s="349" t="s">
        <v>4757</v>
      </c>
      <c r="B1817" s="347" t="s">
        <v>295</v>
      </c>
      <c r="C1817" s="1148"/>
      <c r="D1817" s="1151"/>
      <c r="E1817" s="436">
        <v>9</v>
      </c>
      <c r="F1817" s="178"/>
      <c r="G1817" s="722"/>
      <c r="H1817" s="415">
        <v>53.7</v>
      </c>
      <c r="I1817" s="1153"/>
      <c r="J1817" s="415">
        <f>7200000/611.9*H1817</f>
        <v>631867.95227978437</v>
      </c>
      <c r="K1817" s="437"/>
    </row>
    <row r="1818" spans="1:11" ht="17.25" customHeight="1" x14ac:dyDescent="0.2">
      <c r="A1818" s="349" t="s">
        <v>4758</v>
      </c>
      <c r="B1818" s="347" t="s">
        <v>295</v>
      </c>
      <c r="C1818" s="1149"/>
      <c r="D1818" s="1152"/>
      <c r="E1818" s="436">
        <v>12</v>
      </c>
      <c r="F1818" s="178" t="s">
        <v>10037</v>
      </c>
      <c r="G1818" s="722" t="s">
        <v>512</v>
      </c>
      <c r="H1818" s="415">
        <v>53.1</v>
      </c>
      <c r="I1818" s="1146"/>
      <c r="J1818" s="415">
        <f>7200000/611.9*H1818</f>
        <v>624807.97515933984</v>
      </c>
      <c r="K1818" s="437">
        <v>613892.81999999995</v>
      </c>
    </row>
    <row r="1819" spans="1:11" ht="12.75" customHeight="1" x14ac:dyDescent="0.2">
      <c r="A1819" s="348" t="s">
        <v>1215</v>
      </c>
      <c r="B1819" s="432"/>
      <c r="C1819" s="1147" t="s">
        <v>11424</v>
      </c>
      <c r="D1819" s="1150">
        <v>18</v>
      </c>
      <c r="E1819" s="436"/>
      <c r="F1819" s="178" t="s">
        <v>142</v>
      </c>
      <c r="G1819" s="722" t="s">
        <v>2591</v>
      </c>
      <c r="H1819" s="415">
        <f>118.5-118.5</f>
        <v>0</v>
      </c>
      <c r="I1819" s="1145">
        <v>2008</v>
      </c>
      <c r="J1819" s="415">
        <f>1500000-1500000</f>
        <v>0</v>
      </c>
      <c r="K1819" s="437">
        <v>1576205.23</v>
      </c>
    </row>
    <row r="1820" spans="1:11" ht="27" customHeight="1" x14ac:dyDescent="0.2">
      <c r="A1820" s="349" t="s">
        <v>2592</v>
      </c>
      <c r="B1820" s="432" t="s">
        <v>295</v>
      </c>
      <c r="C1820" s="1148"/>
      <c r="D1820" s="1151"/>
      <c r="E1820" s="436">
        <v>2</v>
      </c>
      <c r="F1820" s="178" t="s">
        <v>10038</v>
      </c>
      <c r="G1820" s="722"/>
      <c r="H1820" s="415">
        <v>59.4</v>
      </c>
      <c r="I1820" s="1153"/>
      <c r="J1820" s="415">
        <f>1500000/118.5*H1820</f>
        <v>751898.73417721514</v>
      </c>
      <c r="K1820" s="437">
        <v>759796.69</v>
      </c>
    </row>
    <row r="1821" spans="1:11" ht="27" customHeight="1" x14ac:dyDescent="0.2">
      <c r="A1821" s="433" t="s">
        <v>12529</v>
      </c>
      <c r="B1821" s="433" t="s">
        <v>295</v>
      </c>
      <c r="C1821" s="1149"/>
      <c r="D1821" s="1152"/>
      <c r="E1821" s="672">
        <v>1</v>
      </c>
      <c r="F1821" s="200" t="s">
        <v>12530</v>
      </c>
      <c r="G1821" s="724" t="s">
        <v>137</v>
      </c>
      <c r="H1821" s="435">
        <f>60.6</f>
        <v>60.6</v>
      </c>
      <c r="I1821" s="1146"/>
      <c r="J1821" s="435">
        <f>1500000/118.5*H1821</f>
        <v>767088.60759493674</v>
      </c>
      <c r="K1821" s="443">
        <v>775146.11</v>
      </c>
    </row>
    <row r="1822" spans="1:11" ht="14.25" customHeight="1" x14ac:dyDescent="0.2">
      <c r="A1822" s="348" t="s">
        <v>1216</v>
      </c>
      <c r="B1822" s="347"/>
      <c r="C1822" s="1147" t="s">
        <v>11425</v>
      </c>
      <c r="D1822" s="1150">
        <v>1</v>
      </c>
      <c r="E1822" s="436"/>
      <c r="F1822" s="178"/>
      <c r="G1822" s="722"/>
      <c r="H1822" s="415">
        <f>642.3-642.3</f>
        <v>0</v>
      </c>
      <c r="I1822" s="1145">
        <v>2009</v>
      </c>
      <c r="J1822" s="415">
        <f>17091817-17091817</f>
        <v>0</v>
      </c>
      <c r="K1822" s="437"/>
    </row>
    <row r="1823" spans="1:11" ht="15" customHeight="1" x14ac:dyDescent="0.2">
      <c r="A1823" s="347" t="s">
        <v>1750</v>
      </c>
      <c r="B1823" s="347" t="s">
        <v>295</v>
      </c>
      <c r="C1823" s="1148"/>
      <c r="D1823" s="1151"/>
      <c r="E1823" s="436">
        <v>5</v>
      </c>
      <c r="F1823" s="178" t="s">
        <v>2922</v>
      </c>
      <c r="G1823" s="722" t="s">
        <v>137</v>
      </c>
      <c r="H1823" s="415">
        <v>32.5</v>
      </c>
      <c r="I1823" s="1153"/>
      <c r="J1823" s="415">
        <v>811919.67</v>
      </c>
      <c r="K1823" s="437">
        <v>428898.92</v>
      </c>
    </row>
    <row r="1824" spans="1:11" ht="16.5" customHeight="1" x14ac:dyDescent="0.2">
      <c r="A1824" s="347" t="s">
        <v>1751</v>
      </c>
      <c r="B1824" s="347" t="s">
        <v>295</v>
      </c>
      <c r="C1824" s="1148"/>
      <c r="D1824" s="1151"/>
      <c r="E1824" s="436">
        <v>8</v>
      </c>
      <c r="F1824" s="178" t="s">
        <v>2923</v>
      </c>
      <c r="G1824" s="722" t="s">
        <v>137</v>
      </c>
      <c r="H1824" s="415">
        <v>39.799999999999997</v>
      </c>
      <c r="I1824" s="1153"/>
      <c r="J1824" s="415">
        <v>994289.32</v>
      </c>
      <c r="K1824" s="437"/>
    </row>
    <row r="1825" spans="1:11" ht="17.25" customHeight="1" x14ac:dyDescent="0.2">
      <c r="A1825" s="349" t="s">
        <v>1752</v>
      </c>
      <c r="B1825" s="347" t="s">
        <v>295</v>
      </c>
      <c r="C1825" s="1148"/>
      <c r="D1825" s="1151"/>
      <c r="E1825" s="436">
        <v>9</v>
      </c>
      <c r="F1825" s="178" t="s">
        <v>2593</v>
      </c>
      <c r="G1825" s="722" t="s">
        <v>137</v>
      </c>
      <c r="H1825" s="415">
        <v>29</v>
      </c>
      <c r="I1825" s="1153"/>
      <c r="J1825" s="415">
        <f>16046031/642.3*H1825</f>
        <v>724482.17188229808</v>
      </c>
      <c r="K1825" s="437">
        <v>382709.81</v>
      </c>
    </row>
    <row r="1826" spans="1:11" ht="12.75" customHeight="1" x14ac:dyDescent="0.2">
      <c r="A1826" s="349" t="s">
        <v>1753</v>
      </c>
      <c r="B1826" s="347" t="s">
        <v>295</v>
      </c>
      <c r="C1826" s="1148"/>
      <c r="D1826" s="1151"/>
      <c r="E1826" s="436">
        <v>11</v>
      </c>
      <c r="F1826" s="178" t="s">
        <v>2594</v>
      </c>
      <c r="G1826" s="722" t="s">
        <v>512</v>
      </c>
      <c r="H1826" s="415">
        <v>26.2</v>
      </c>
      <c r="I1826" s="1153"/>
      <c r="J1826" s="415">
        <f>16046031/642.3*H1826</f>
        <v>654532.16907986929</v>
      </c>
      <c r="K1826" s="437">
        <v>345758.52</v>
      </c>
    </row>
    <row r="1827" spans="1:11" ht="15" customHeight="1" x14ac:dyDescent="0.2">
      <c r="A1827" s="349" t="s">
        <v>1754</v>
      </c>
      <c r="B1827" s="347" t="s">
        <v>295</v>
      </c>
      <c r="C1827" s="1148"/>
      <c r="D1827" s="1151"/>
      <c r="E1827" s="436">
        <v>19</v>
      </c>
      <c r="F1827" s="178" t="s">
        <v>10039</v>
      </c>
      <c r="G1827" s="722" t="s">
        <v>512</v>
      </c>
      <c r="H1827" s="415">
        <v>27</v>
      </c>
      <c r="I1827" s="1153"/>
      <c r="J1827" s="415">
        <f>16046031/642.3*H1827</f>
        <v>674517.88416627748</v>
      </c>
      <c r="K1827" s="437">
        <v>356316.03</v>
      </c>
    </row>
    <row r="1828" spans="1:11" ht="15" customHeight="1" x14ac:dyDescent="0.2">
      <c r="A1828" s="433" t="s">
        <v>12567</v>
      </c>
      <c r="B1828" s="433" t="s">
        <v>295</v>
      </c>
      <c r="C1828" s="1148"/>
      <c r="D1828" s="1151"/>
      <c r="E1828" s="672">
        <v>6</v>
      </c>
      <c r="F1828" s="200" t="s">
        <v>12568</v>
      </c>
      <c r="G1828" s="724" t="s">
        <v>137</v>
      </c>
      <c r="H1828" s="435">
        <v>35.5</v>
      </c>
      <c r="I1828" s="1153"/>
      <c r="J1828" s="435">
        <v>1009311.6</v>
      </c>
      <c r="K1828" s="443">
        <v>468489.59</v>
      </c>
    </row>
    <row r="1829" spans="1:11" ht="15" customHeight="1" x14ac:dyDescent="0.2">
      <c r="A1829" s="432" t="s">
        <v>13036</v>
      </c>
      <c r="B1829" s="432" t="s">
        <v>295</v>
      </c>
      <c r="C1829" s="1148"/>
      <c r="D1829" s="1151"/>
      <c r="E1829" s="672">
        <v>1</v>
      </c>
      <c r="F1829" s="200" t="s">
        <v>13037</v>
      </c>
      <c r="G1829" s="432" t="s">
        <v>137</v>
      </c>
      <c r="H1829" s="435">
        <v>25.9</v>
      </c>
      <c r="I1829" s="1153"/>
      <c r="J1829" s="435">
        <v>703471.56</v>
      </c>
      <c r="K1829" s="443">
        <v>347799.45</v>
      </c>
    </row>
    <row r="1830" spans="1:11" ht="15" customHeight="1" x14ac:dyDescent="0.2">
      <c r="A1830" s="347" t="s">
        <v>13301</v>
      </c>
      <c r="B1830" s="347" t="s">
        <v>295</v>
      </c>
      <c r="C1830" s="1148"/>
      <c r="D1830" s="1151"/>
      <c r="E1830" s="436">
        <v>7</v>
      </c>
      <c r="F1830" s="178" t="s">
        <v>13302</v>
      </c>
      <c r="G1830" s="347" t="s">
        <v>137</v>
      </c>
      <c r="H1830" s="415">
        <f>29.5</f>
        <v>29.5</v>
      </c>
      <c r="I1830" s="1153"/>
      <c r="J1830" s="415">
        <v>597399.91</v>
      </c>
      <c r="K1830" s="437">
        <v>389308.26</v>
      </c>
    </row>
    <row r="1831" spans="1:11" ht="15" customHeight="1" x14ac:dyDescent="0.2">
      <c r="A1831" s="833" t="s">
        <v>13301</v>
      </c>
      <c r="B1831" s="833" t="s">
        <v>295</v>
      </c>
      <c r="C1831" s="1149"/>
      <c r="D1831" s="1152"/>
      <c r="E1831" s="436">
        <v>15</v>
      </c>
      <c r="F1831" s="178" t="s">
        <v>14285</v>
      </c>
      <c r="G1831" s="865" t="s">
        <v>512</v>
      </c>
      <c r="H1831" s="837">
        <v>35.1</v>
      </c>
      <c r="I1831" s="1146"/>
      <c r="J1831" s="837">
        <v>948224.2</v>
      </c>
      <c r="K1831" s="437">
        <v>463210.84</v>
      </c>
    </row>
    <row r="1832" spans="1:11" ht="15" customHeight="1" x14ac:dyDescent="0.2">
      <c r="A1832" s="348" t="s">
        <v>1217</v>
      </c>
      <c r="B1832" s="432"/>
      <c r="C1832" s="1157" t="s">
        <v>11426</v>
      </c>
      <c r="D1832" s="1158">
        <v>27</v>
      </c>
      <c r="E1832" s="436"/>
      <c r="F1832" s="178"/>
      <c r="G1832" s="722"/>
      <c r="H1832" s="415">
        <f>875.1-875.1</f>
        <v>0</v>
      </c>
      <c r="I1832" s="1159">
        <v>2007</v>
      </c>
      <c r="J1832" s="415">
        <f>10135550-10135550</f>
        <v>0</v>
      </c>
      <c r="K1832" s="437"/>
    </row>
    <row r="1833" spans="1:11" ht="17.25" customHeight="1" x14ac:dyDescent="0.2">
      <c r="A1833" s="349" t="s">
        <v>1755</v>
      </c>
      <c r="B1833" s="432" t="s">
        <v>295</v>
      </c>
      <c r="C1833" s="1157"/>
      <c r="D1833" s="1158"/>
      <c r="E1833" s="436">
        <v>27</v>
      </c>
      <c r="F1833" s="178" t="s">
        <v>2598</v>
      </c>
      <c r="G1833" s="722" t="s">
        <v>2597</v>
      </c>
      <c r="H1833" s="474">
        <v>58.4</v>
      </c>
      <c r="I1833" s="1159"/>
      <c r="J1833" s="415">
        <f>1372.4*1000</f>
        <v>1372400</v>
      </c>
      <c r="K1833" s="437">
        <v>1627289.72</v>
      </c>
    </row>
    <row r="1834" spans="1:11" ht="18.75" customHeight="1" x14ac:dyDescent="0.2">
      <c r="A1834" s="349" t="s">
        <v>1756</v>
      </c>
      <c r="B1834" s="432" t="s">
        <v>295</v>
      </c>
      <c r="C1834" s="1157"/>
      <c r="D1834" s="1158"/>
      <c r="E1834" s="436">
        <v>34</v>
      </c>
      <c r="F1834" s="178" t="s">
        <v>2599</v>
      </c>
      <c r="G1834" s="722" t="s">
        <v>2601</v>
      </c>
      <c r="H1834" s="474">
        <v>58.3</v>
      </c>
      <c r="I1834" s="1159"/>
      <c r="J1834" s="415">
        <f>1370.05*1000</f>
        <v>1370050</v>
      </c>
      <c r="K1834" s="437">
        <v>1624503.26</v>
      </c>
    </row>
    <row r="1835" spans="1:11" ht="12.75" customHeight="1" x14ac:dyDescent="0.2">
      <c r="A1835" s="349" t="s">
        <v>1757</v>
      </c>
      <c r="B1835" s="432" t="s">
        <v>295</v>
      </c>
      <c r="C1835" s="1157"/>
      <c r="D1835" s="1158"/>
      <c r="E1835" s="436">
        <v>116</v>
      </c>
      <c r="F1835" s="178" t="s">
        <v>2603</v>
      </c>
      <c r="G1835" s="722" t="s">
        <v>2601</v>
      </c>
      <c r="H1835" s="437">
        <v>69.5</v>
      </c>
      <c r="I1835" s="1159"/>
      <c r="J1835" s="415">
        <f>1633.25*1000</f>
        <v>1633250</v>
      </c>
      <c r="K1835" s="437">
        <v>1936586.22</v>
      </c>
    </row>
    <row r="1836" spans="1:11" ht="14.25" customHeight="1" x14ac:dyDescent="0.2">
      <c r="A1836" s="349" t="s">
        <v>1758</v>
      </c>
      <c r="B1836" s="432" t="s">
        <v>295</v>
      </c>
      <c r="C1836" s="1157"/>
      <c r="D1836" s="1158"/>
      <c r="E1836" s="436">
        <v>120</v>
      </c>
      <c r="F1836" s="178" t="s">
        <v>10040</v>
      </c>
      <c r="G1836" s="722" t="s">
        <v>2602</v>
      </c>
      <c r="H1836" s="437">
        <v>69.400000000000006</v>
      </c>
      <c r="I1836" s="1159"/>
      <c r="J1836" s="415">
        <f>1630.9*1000</f>
        <v>1630900</v>
      </c>
      <c r="K1836" s="437">
        <v>1893779.57</v>
      </c>
    </row>
    <row r="1837" spans="1:11" ht="14.25" customHeight="1" x14ac:dyDescent="0.2">
      <c r="A1837" s="348" t="s">
        <v>1218</v>
      </c>
      <c r="B1837" s="347"/>
      <c r="C1837" s="1147" t="s">
        <v>11427</v>
      </c>
      <c r="D1837" s="1150">
        <v>31</v>
      </c>
      <c r="E1837" s="436"/>
      <c r="F1837" s="178"/>
      <c r="G1837" s="722"/>
      <c r="H1837" s="415">
        <f>2024.17-2024.17</f>
        <v>0</v>
      </c>
      <c r="I1837" s="1145">
        <v>2008</v>
      </c>
      <c r="J1837" s="415">
        <f>(55088.698-911.564)*1000-(55088.698-911.564)*1000</f>
        <v>0</v>
      </c>
      <c r="K1837" s="437"/>
    </row>
    <row r="1838" spans="1:11" ht="14.25" customHeight="1" x14ac:dyDescent="0.2">
      <c r="A1838" s="349" t="s">
        <v>1219</v>
      </c>
      <c r="B1838" s="347" t="s">
        <v>295</v>
      </c>
      <c r="C1838" s="1148"/>
      <c r="D1838" s="1151"/>
      <c r="E1838" s="436">
        <v>1</v>
      </c>
      <c r="F1838" s="178" t="s">
        <v>11428</v>
      </c>
      <c r="G1838" s="722" t="s">
        <v>137</v>
      </c>
      <c r="H1838" s="415">
        <f>68</f>
        <v>68</v>
      </c>
      <c r="I1838" s="1153"/>
      <c r="J1838" s="437">
        <f>2122.885*1000</f>
        <v>2122885</v>
      </c>
      <c r="K1838" s="437"/>
    </row>
    <row r="1839" spans="1:11" ht="14.25" customHeight="1" x14ac:dyDescent="0.2">
      <c r="A1839" s="349" t="s">
        <v>1220</v>
      </c>
      <c r="B1839" s="347" t="s">
        <v>295</v>
      </c>
      <c r="C1839" s="1148"/>
      <c r="D1839" s="1151"/>
      <c r="E1839" s="436">
        <v>4</v>
      </c>
      <c r="F1839" s="178" t="s">
        <v>11429</v>
      </c>
      <c r="G1839" s="722" t="s">
        <v>137</v>
      </c>
      <c r="H1839" s="415">
        <v>56.2</v>
      </c>
      <c r="I1839" s="1153"/>
      <c r="J1839" s="437">
        <f>1757.952*1000</f>
        <v>1757952</v>
      </c>
      <c r="K1839" s="437"/>
    </row>
    <row r="1840" spans="1:11" ht="14.25" customHeight="1" x14ac:dyDescent="0.2">
      <c r="A1840" s="349" t="s">
        <v>1221</v>
      </c>
      <c r="B1840" s="347" t="s">
        <v>295</v>
      </c>
      <c r="C1840" s="1148"/>
      <c r="D1840" s="1151"/>
      <c r="E1840" s="436">
        <v>27</v>
      </c>
      <c r="F1840" s="178" t="s">
        <v>11430</v>
      </c>
      <c r="G1840" s="722" t="s">
        <v>512</v>
      </c>
      <c r="H1840" s="415">
        <v>40.299999999999997</v>
      </c>
      <c r="I1840" s="1153"/>
      <c r="J1840" s="437">
        <f>973.657*1000</f>
        <v>973657</v>
      </c>
      <c r="K1840" s="437"/>
    </row>
    <row r="1841" spans="1:11" ht="14.25" customHeight="1" x14ac:dyDescent="0.2">
      <c r="A1841" s="349" t="s">
        <v>1759</v>
      </c>
      <c r="B1841" s="347" t="s">
        <v>295</v>
      </c>
      <c r="C1841" s="1148"/>
      <c r="D1841" s="1151"/>
      <c r="E1841" s="436">
        <v>31</v>
      </c>
      <c r="F1841" s="178" t="s">
        <v>2577</v>
      </c>
      <c r="G1841" s="722" t="s">
        <v>128</v>
      </c>
      <c r="H1841" s="415">
        <v>40</v>
      </c>
      <c r="I1841" s="1153"/>
      <c r="J1841" s="437">
        <f>966.41*1000</f>
        <v>966410</v>
      </c>
      <c r="K1841" s="437">
        <v>847343.69</v>
      </c>
    </row>
    <row r="1842" spans="1:11" ht="14.25" customHeight="1" x14ac:dyDescent="0.2">
      <c r="A1842" s="349" t="s">
        <v>1760</v>
      </c>
      <c r="B1842" s="347" t="s">
        <v>295</v>
      </c>
      <c r="C1842" s="1148"/>
      <c r="D1842" s="1151"/>
      <c r="E1842" s="436">
        <v>59</v>
      </c>
      <c r="F1842" s="178" t="s">
        <v>11431</v>
      </c>
      <c r="G1842" s="722" t="s">
        <v>127</v>
      </c>
      <c r="H1842" s="415">
        <v>39.9</v>
      </c>
      <c r="I1842" s="1153"/>
      <c r="J1842" s="437">
        <f>963.994*1000</f>
        <v>963994</v>
      </c>
      <c r="K1842" s="437"/>
    </row>
    <row r="1843" spans="1:11" ht="14.25" customHeight="1" x14ac:dyDescent="0.2">
      <c r="A1843" s="349" t="s">
        <v>1761</v>
      </c>
      <c r="B1843" s="347" t="s">
        <v>295</v>
      </c>
      <c r="C1843" s="1148"/>
      <c r="D1843" s="1151"/>
      <c r="E1843" s="436">
        <v>60</v>
      </c>
      <c r="F1843" s="178" t="s">
        <v>11432</v>
      </c>
      <c r="G1843" s="722" t="s">
        <v>127</v>
      </c>
      <c r="H1843" s="415">
        <v>56.4</v>
      </c>
      <c r="I1843" s="1153"/>
      <c r="J1843" s="437">
        <f>1362.638*1000</f>
        <v>1362638</v>
      </c>
      <c r="K1843" s="437"/>
    </row>
    <row r="1844" spans="1:11" ht="14.25" customHeight="1" x14ac:dyDescent="0.2">
      <c r="A1844" s="433" t="s">
        <v>12656</v>
      </c>
      <c r="B1844" s="433" t="s">
        <v>295</v>
      </c>
      <c r="C1844" s="1148"/>
      <c r="D1844" s="1151"/>
      <c r="E1844" s="672">
        <v>6</v>
      </c>
      <c r="F1844" s="2" t="s">
        <v>12657</v>
      </c>
      <c r="G1844" s="724" t="s">
        <v>512</v>
      </c>
      <c r="H1844" s="435">
        <v>40</v>
      </c>
      <c r="I1844" s="1153"/>
      <c r="J1844" s="443">
        <v>1411080</v>
      </c>
      <c r="K1844" s="443">
        <v>847343.69</v>
      </c>
    </row>
    <row r="1845" spans="1:11" ht="14.25" customHeight="1" x14ac:dyDescent="0.2">
      <c r="A1845" s="432" t="s">
        <v>13220</v>
      </c>
      <c r="B1845" s="432" t="s">
        <v>295</v>
      </c>
      <c r="C1845" s="1149"/>
      <c r="D1845" s="1152"/>
      <c r="E1845" s="672">
        <v>19</v>
      </c>
      <c r="F1845" s="200" t="s">
        <v>13221</v>
      </c>
      <c r="G1845" s="432" t="s">
        <v>127</v>
      </c>
      <c r="H1845" s="435">
        <v>40</v>
      </c>
      <c r="I1845" s="1146"/>
      <c r="J1845" s="443">
        <v>1295005.8</v>
      </c>
      <c r="K1845" s="443">
        <v>818702.41</v>
      </c>
    </row>
    <row r="1846" spans="1:11" ht="25.5" customHeight="1" x14ac:dyDescent="0.2">
      <c r="A1846" s="348" t="s">
        <v>1222</v>
      </c>
      <c r="B1846" s="347"/>
      <c r="C1846" s="1147" t="s">
        <v>11433</v>
      </c>
      <c r="D1846" s="1150">
        <v>2</v>
      </c>
      <c r="E1846" s="436"/>
      <c r="F1846" s="178"/>
      <c r="G1846" s="722" t="s">
        <v>2604</v>
      </c>
      <c r="H1846" s="415">
        <f>965.1-965.1</f>
        <v>0</v>
      </c>
      <c r="I1846" s="1145">
        <v>2009</v>
      </c>
      <c r="J1846" s="415">
        <f>22431381-22431381</f>
        <v>0</v>
      </c>
      <c r="K1846" s="437"/>
    </row>
    <row r="1847" spans="1:11" ht="25.5" customHeight="1" x14ac:dyDescent="0.2">
      <c r="A1847" s="347" t="s">
        <v>10746</v>
      </c>
      <c r="B1847" s="347" t="s">
        <v>295</v>
      </c>
      <c r="C1847" s="1148"/>
      <c r="D1847" s="1151"/>
      <c r="E1847" s="436">
        <v>18</v>
      </c>
      <c r="F1847" s="178" t="s">
        <v>10747</v>
      </c>
      <c r="G1847" s="722" t="s">
        <v>2605</v>
      </c>
      <c r="H1847" s="415">
        <v>51.6</v>
      </c>
      <c r="I1847" s="1153"/>
      <c r="J1847" s="415">
        <v>1153053</v>
      </c>
      <c r="K1847" s="437">
        <v>652702.32999999996</v>
      </c>
    </row>
    <row r="1848" spans="1:11" ht="15.75" customHeight="1" x14ac:dyDescent="0.2">
      <c r="A1848" s="348" t="s">
        <v>1223</v>
      </c>
      <c r="B1848" s="347"/>
      <c r="C1848" s="1147" t="s">
        <v>11434</v>
      </c>
      <c r="D1848" s="1150">
        <v>9</v>
      </c>
      <c r="E1848" s="436"/>
      <c r="F1848" s="178" t="s">
        <v>2635</v>
      </c>
      <c r="G1848" s="722" t="s">
        <v>2634</v>
      </c>
      <c r="H1848" s="415">
        <f>1082.9-1082.9</f>
        <v>0</v>
      </c>
      <c r="I1848" s="1145">
        <v>2009</v>
      </c>
      <c r="J1848" s="437">
        <f>27788550-27788550</f>
        <v>0</v>
      </c>
      <c r="K1848" s="437"/>
    </row>
    <row r="1849" spans="1:11" ht="25.5" customHeight="1" x14ac:dyDescent="0.2">
      <c r="A1849" s="347" t="s">
        <v>1762</v>
      </c>
      <c r="B1849" s="347" t="s">
        <v>295</v>
      </c>
      <c r="C1849" s="1148"/>
      <c r="D1849" s="1151"/>
      <c r="E1849" s="436">
        <v>3</v>
      </c>
      <c r="F1849" s="178" t="s">
        <v>2920</v>
      </c>
      <c r="G1849" s="722" t="s">
        <v>137</v>
      </c>
      <c r="H1849" s="415">
        <v>58.1</v>
      </c>
      <c r="I1849" s="1153"/>
      <c r="J1849" s="437">
        <v>1490917.68</v>
      </c>
      <c r="K1849" s="437">
        <v>797688.02</v>
      </c>
    </row>
    <row r="1850" spans="1:11" ht="21" customHeight="1" x14ac:dyDescent="0.2">
      <c r="A1850" s="347" t="s">
        <v>1763</v>
      </c>
      <c r="B1850" s="865" t="s">
        <v>295</v>
      </c>
      <c r="C1850" s="1148"/>
      <c r="D1850" s="1151"/>
      <c r="E1850" s="436">
        <v>7</v>
      </c>
      <c r="F1850" s="38" t="s">
        <v>2921</v>
      </c>
      <c r="G1850" s="722" t="s">
        <v>10041</v>
      </c>
      <c r="H1850" s="415">
        <v>41.7</v>
      </c>
      <c r="I1850" s="1153"/>
      <c r="J1850" s="415">
        <v>1063227</v>
      </c>
      <c r="K1850" s="437"/>
    </row>
    <row r="1851" spans="1:11" ht="15.75" customHeight="1" x14ac:dyDescent="0.2">
      <c r="A1851" s="347" t="s">
        <v>1764</v>
      </c>
      <c r="B1851" s="347" t="s">
        <v>295</v>
      </c>
      <c r="C1851" s="1148"/>
      <c r="D1851" s="1151"/>
      <c r="E1851" s="436">
        <v>10</v>
      </c>
      <c r="F1851" s="178" t="s">
        <v>10042</v>
      </c>
      <c r="G1851" s="722" t="s">
        <v>137</v>
      </c>
      <c r="H1851" s="415">
        <v>58</v>
      </c>
      <c r="I1851" s="1153"/>
      <c r="J1851" s="437">
        <v>1488351.56</v>
      </c>
      <c r="K1851" s="437"/>
    </row>
    <row r="1852" spans="1:11" ht="15.75" customHeight="1" x14ac:dyDescent="0.2">
      <c r="A1852" s="349" t="s">
        <v>1765</v>
      </c>
      <c r="B1852" s="347" t="s">
        <v>295</v>
      </c>
      <c r="C1852" s="1148"/>
      <c r="D1852" s="1151"/>
      <c r="E1852" s="436">
        <v>16</v>
      </c>
      <c r="F1852" s="178" t="s">
        <v>10043</v>
      </c>
      <c r="G1852" s="722" t="s">
        <v>128</v>
      </c>
      <c r="H1852" s="415">
        <v>57.6</v>
      </c>
      <c r="I1852" s="1153"/>
      <c r="J1852" s="437">
        <v>1478087.08</v>
      </c>
      <c r="K1852" s="437">
        <v>790823.23</v>
      </c>
    </row>
    <row r="1853" spans="1:11" ht="15.75" customHeight="1" x14ac:dyDescent="0.2">
      <c r="A1853" s="863" t="s">
        <v>14289</v>
      </c>
      <c r="B1853" s="833" t="s">
        <v>295</v>
      </c>
      <c r="C1853" s="1148"/>
      <c r="D1853" s="1151"/>
      <c r="E1853" s="436">
        <v>14</v>
      </c>
      <c r="F1853" s="178" t="s">
        <v>14290</v>
      </c>
      <c r="G1853" s="615" t="s">
        <v>512</v>
      </c>
      <c r="H1853" s="837">
        <v>81</v>
      </c>
      <c r="I1853" s="1153"/>
      <c r="J1853" s="437">
        <v>8164390.5</v>
      </c>
      <c r="K1853" s="437">
        <v>1095806.07</v>
      </c>
    </row>
    <row r="1854" spans="1:11" ht="15.75" customHeight="1" x14ac:dyDescent="0.2">
      <c r="A1854" s="863" t="s">
        <v>14350</v>
      </c>
      <c r="B1854" s="833" t="s">
        <v>295</v>
      </c>
      <c r="C1854" s="1149"/>
      <c r="D1854" s="1152"/>
      <c r="E1854" s="436">
        <v>11</v>
      </c>
      <c r="F1854" s="869" t="s">
        <v>14351</v>
      </c>
      <c r="G1854" s="869" t="s">
        <v>137</v>
      </c>
      <c r="H1854" s="870">
        <v>80.7</v>
      </c>
      <c r="I1854" s="1146"/>
      <c r="J1854" s="437">
        <v>7624132</v>
      </c>
      <c r="K1854" s="437">
        <v>1091747.53</v>
      </c>
    </row>
    <row r="1855" spans="1:11" ht="39.75" customHeight="1" x14ac:dyDescent="0.2">
      <c r="A1855" s="348" t="s">
        <v>1766</v>
      </c>
      <c r="B1855" s="432" t="s">
        <v>295</v>
      </c>
      <c r="C1855" s="405" t="s">
        <v>11435</v>
      </c>
      <c r="D1855" s="714">
        <v>41</v>
      </c>
      <c r="E1855" s="436">
        <v>2</v>
      </c>
      <c r="F1855" s="178"/>
      <c r="G1855" s="722"/>
      <c r="H1855" s="415">
        <v>42</v>
      </c>
      <c r="I1855" s="494"/>
      <c r="J1855" s="415">
        <v>0.01</v>
      </c>
      <c r="K1855" s="437"/>
    </row>
    <row r="1856" spans="1:11" ht="12.75" customHeight="1" x14ac:dyDescent="0.2">
      <c r="A1856" s="348" t="s">
        <v>1767</v>
      </c>
      <c r="B1856" s="347"/>
      <c r="C1856" s="1157" t="s">
        <v>11436</v>
      </c>
      <c r="D1856" s="1158">
        <v>3</v>
      </c>
      <c r="E1856" s="436"/>
      <c r="F1856" s="268"/>
      <c r="G1856" s="617"/>
      <c r="H1856" s="415">
        <f>974-974</f>
        <v>0</v>
      </c>
      <c r="I1856" s="1159">
        <v>2009</v>
      </c>
      <c r="J1856" s="415">
        <f>22618448-22618448</f>
        <v>0</v>
      </c>
      <c r="K1856" s="437"/>
    </row>
    <row r="1857" spans="1:11" x14ac:dyDescent="0.2">
      <c r="A1857" s="347" t="s">
        <v>1768</v>
      </c>
      <c r="B1857" s="347" t="s">
        <v>295</v>
      </c>
      <c r="C1857" s="1157"/>
      <c r="D1857" s="1158"/>
      <c r="E1857" s="436">
        <v>1</v>
      </c>
      <c r="F1857" s="178" t="s">
        <v>449</v>
      </c>
      <c r="G1857" s="722" t="s">
        <v>137</v>
      </c>
      <c r="H1857" s="415">
        <v>73.8</v>
      </c>
      <c r="I1857" s="1159"/>
      <c r="J1857" s="415">
        <f>22618448/974*H1857</f>
        <v>1713800.2694045173</v>
      </c>
      <c r="K1857" s="437">
        <v>933516.13</v>
      </c>
    </row>
    <row r="1858" spans="1:11" x14ac:dyDescent="0.2">
      <c r="A1858" s="349" t="s">
        <v>1224</v>
      </c>
      <c r="B1858" s="347" t="s">
        <v>295</v>
      </c>
      <c r="C1858" s="1157"/>
      <c r="D1858" s="1158"/>
      <c r="E1858" s="436">
        <v>2</v>
      </c>
      <c r="F1858" s="178" t="s">
        <v>2617</v>
      </c>
      <c r="G1858" s="722" t="s">
        <v>137</v>
      </c>
      <c r="H1858" s="415">
        <v>52.4</v>
      </c>
      <c r="I1858" s="1159"/>
      <c r="J1858" s="415">
        <v>1216844.69</v>
      </c>
      <c r="K1858" s="437">
        <v>662821.75</v>
      </c>
    </row>
    <row r="1859" spans="1:11" x14ac:dyDescent="0.2">
      <c r="A1859" s="347" t="s">
        <v>1225</v>
      </c>
      <c r="B1859" s="347" t="s">
        <v>295</v>
      </c>
      <c r="C1859" s="1157"/>
      <c r="D1859" s="1158"/>
      <c r="E1859" s="436">
        <v>5</v>
      </c>
      <c r="F1859" s="178" t="s">
        <v>2916</v>
      </c>
      <c r="G1859" s="722" t="s">
        <v>512</v>
      </c>
      <c r="H1859" s="415">
        <v>53.4</v>
      </c>
      <c r="I1859" s="1159"/>
      <c r="J1859" s="415">
        <v>1240066.8600000001</v>
      </c>
      <c r="K1859" s="437">
        <v>675471.02</v>
      </c>
    </row>
    <row r="1860" spans="1:11" x14ac:dyDescent="0.2">
      <c r="A1860" s="347" t="s">
        <v>11437</v>
      </c>
      <c r="B1860" s="347" t="s">
        <v>295</v>
      </c>
      <c r="C1860" s="1157"/>
      <c r="D1860" s="1158"/>
      <c r="E1860" s="436">
        <v>12</v>
      </c>
      <c r="F1860" s="178" t="s">
        <v>11438</v>
      </c>
      <c r="G1860" s="722" t="s">
        <v>137</v>
      </c>
      <c r="H1860" s="415">
        <f>52.9</f>
        <v>52.9</v>
      </c>
      <c r="I1860" s="1159"/>
      <c r="J1860" s="415">
        <f>1233100.25</f>
        <v>1233100.25</v>
      </c>
      <c r="K1860" s="437">
        <f>669146.38</f>
        <v>669146.38</v>
      </c>
    </row>
    <row r="1861" spans="1:11" x14ac:dyDescent="0.2">
      <c r="A1861" s="347" t="s">
        <v>1226</v>
      </c>
      <c r="B1861" s="347" t="s">
        <v>295</v>
      </c>
      <c r="C1861" s="1157"/>
      <c r="D1861" s="1158"/>
      <c r="E1861" s="436">
        <v>14</v>
      </c>
      <c r="F1861" s="347" t="s">
        <v>2917</v>
      </c>
      <c r="G1861" s="722" t="s">
        <v>512</v>
      </c>
      <c r="H1861" s="415">
        <v>55.8</v>
      </c>
      <c r="I1861" s="1159"/>
      <c r="J1861" s="415">
        <v>1295800.2</v>
      </c>
      <c r="K1861" s="437">
        <v>705829.27</v>
      </c>
    </row>
    <row r="1862" spans="1:11" x14ac:dyDescent="0.2">
      <c r="A1862" s="347" t="s">
        <v>1227</v>
      </c>
      <c r="B1862" s="347" t="s">
        <v>295</v>
      </c>
      <c r="C1862" s="1157"/>
      <c r="D1862" s="1158"/>
      <c r="E1862" s="436">
        <v>15</v>
      </c>
      <c r="F1862" s="178" t="s">
        <v>2918</v>
      </c>
      <c r="G1862" s="722" t="s">
        <v>512</v>
      </c>
      <c r="H1862" s="415">
        <v>53.2</v>
      </c>
      <c r="I1862" s="1159"/>
      <c r="J1862" s="415">
        <v>1235422.42</v>
      </c>
      <c r="K1862" s="437">
        <v>672941.16</v>
      </c>
    </row>
    <row r="1863" spans="1:11" x14ac:dyDescent="0.2">
      <c r="A1863" s="347" t="s">
        <v>1228</v>
      </c>
      <c r="B1863" s="347" t="s">
        <v>295</v>
      </c>
      <c r="C1863" s="1157"/>
      <c r="D1863" s="1158"/>
      <c r="E1863" s="436">
        <v>17</v>
      </c>
      <c r="F1863" s="178" t="s">
        <v>10044</v>
      </c>
      <c r="G1863" s="722" t="s">
        <v>128</v>
      </c>
      <c r="H1863" s="415">
        <v>55.9</v>
      </c>
      <c r="I1863" s="1159"/>
      <c r="J1863" s="415">
        <v>1298122.43</v>
      </c>
      <c r="K1863" s="437">
        <v>707094.19</v>
      </c>
    </row>
    <row r="1864" spans="1:11" ht="25.5" customHeight="1" x14ac:dyDescent="0.2">
      <c r="A1864" s="347" t="s">
        <v>1229</v>
      </c>
      <c r="B1864" s="347" t="s">
        <v>295</v>
      </c>
      <c r="C1864" s="1157"/>
      <c r="D1864" s="1158"/>
      <c r="E1864" s="436">
        <v>18</v>
      </c>
      <c r="F1864" s="178" t="s">
        <v>2919</v>
      </c>
      <c r="G1864" s="722" t="s">
        <v>128</v>
      </c>
      <c r="H1864" s="415">
        <v>52.8</v>
      </c>
      <c r="I1864" s="1159"/>
      <c r="J1864" s="415">
        <v>1226133.53</v>
      </c>
      <c r="K1864" s="437">
        <v>667881.46</v>
      </c>
    </row>
    <row r="1865" spans="1:11" ht="25.5" customHeight="1" x14ac:dyDescent="0.2">
      <c r="A1865" s="348" t="s">
        <v>1230</v>
      </c>
      <c r="B1865" s="347" t="s">
        <v>2627</v>
      </c>
      <c r="C1865" s="1157" t="s">
        <v>11439</v>
      </c>
      <c r="D1865" s="1158">
        <v>33</v>
      </c>
      <c r="E1865" s="436"/>
      <c r="F1865" s="178"/>
      <c r="G1865" s="722" t="s">
        <v>2625</v>
      </c>
      <c r="H1865" s="415">
        <f>2015.3-2015.3</f>
        <v>0</v>
      </c>
      <c r="I1865" s="1159">
        <v>2009</v>
      </c>
      <c r="J1865" s="415">
        <f>74314690-74314690</f>
        <v>0</v>
      </c>
      <c r="K1865" s="437"/>
    </row>
    <row r="1866" spans="1:11" ht="25.5" x14ac:dyDescent="0.2">
      <c r="A1866" s="349"/>
      <c r="B1866" s="347" t="s">
        <v>2626</v>
      </c>
      <c r="C1866" s="1157"/>
      <c r="D1866" s="1158"/>
      <c r="E1866" s="436"/>
      <c r="F1866" s="178"/>
      <c r="G1866" s="722" t="s">
        <v>2625</v>
      </c>
      <c r="H1866" s="415">
        <f>2028.4-2028.4</f>
        <v>0</v>
      </c>
      <c r="I1866" s="1159"/>
      <c r="J1866" s="415">
        <f>59370736-59370736</f>
        <v>0</v>
      </c>
      <c r="K1866" s="437"/>
    </row>
    <row r="1867" spans="1:11" x14ac:dyDescent="0.2">
      <c r="A1867" s="349" t="s">
        <v>1769</v>
      </c>
      <c r="B1867" s="347" t="s">
        <v>295</v>
      </c>
      <c r="C1867" s="1157"/>
      <c r="D1867" s="1158"/>
      <c r="E1867" s="436">
        <v>46</v>
      </c>
      <c r="F1867" s="178" t="s">
        <v>2628</v>
      </c>
      <c r="G1867" s="722" t="s">
        <v>512</v>
      </c>
      <c r="H1867" s="415">
        <v>40.200000000000003</v>
      </c>
      <c r="I1867" s="1159"/>
      <c r="J1867" s="415">
        <f>74314690/2015.3*H1867</f>
        <v>1482385.0235696919</v>
      </c>
      <c r="K1867" s="437">
        <v>851580.41</v>
      </c>
    </row>
    <row r="1868" spans="1:11" ht="12.75" customHeight="1" x14ac:dyDescent="0.2">
      <c r="A1868" s="347" t="s">
        <v>1770</v>
      </c>
      <c r="B1868" s="347" t="s">
        <v>295</v>
      </c>
      <c r="C1868" s="1157"/>
      <c r="D1868" s="1158"/>
      <c r="E1868" s="436">
        <v>61</v>
      </c>
      <c r="F1868" s="347" t="s">
        <v>491</v>
      </c>
      <c r="G1868" s="722" t="s">
        <v>137</v>
      </c>
      <c r="H1868" s="415">
        <v>40</v>
      </c>
      <c r="I1868" s="1159"/>
      <c r="J1868" s="415">
        <v>1170789.51</v>
      </c>
      <c r="K1868" s="437">
        <v>818702.41</v>
      </c>
    </row>
    <row r="1869" spans="1:11" ht="12.75" customHeight="1" x14ac:dyDescent="0.2">
      <c r="A1869" s="348" t="s">
        <v>1231</v>
      </c>
      <c r="B1869" s="347"/>
      <c r="C1869" s="1147" t="s">
        <v>11440</v>
      </c>
      <c r="D1869" s="1150">
        <v>34</v>
      </c>
      <c r="E1869" s="436"/>
      <c r="F1869" s="178"/>
      <c r="G1869" s="625"/>
      <c r="H1869" s="415">
        <f>1997.2-1997.2</f>
        <v>0</v>
      </c>
      <c r="I1869" s="1145">
        <v>2010</v>
      </c>
      <c r="J1869" s="415">
        <f>61216696-61216696</f>
        <v>0</v>
      </c>
      <c r="K1869" s="437"/>
    </row>
    <row r="1870" spans="1:11" ht="12.75" customHeight="1" x14ac:dyDescent="0.2">
      <c r="A1870" s="349" t="s">
        <v>1771</v>
      </c>
      <c r="B1870" s="347" t="s">
        <v>295</v>
      </c>
      <c r="C1870" s="1148"/>
      <c r="D1870" s="1151"/>
      <c r="E1870" s="436">
        <v>27</v>
      </c>
      <c r="F1870" s="405" t="s">
        <v>2629</v>
      </c>
      <c r="G1870" s="625" t="s">
        <v>128</v>
      </c>
      <c r="H1870" s="474">
        <v>51.1</v>
      </c>
      <c r="I1870" s="1153"/>
      <c r="J1870" s="415">
        <f>61216696/1997.2*H1870</f>
        <v>1566279.3739234929</v>
      </c>
      <c r="K1870" s="437">
        <v>1078440.17</v>
      </c>
    </row>
    <row r="1871" spans="1:11" x14ac:dyDescent="0.2">
      <c r="A1871" s="349" t="s">
        <v>1772</v>
      </c>
      <c r="B1871" s="347" t="s">
        <v>295</v>
      </c>
      <c r="C1871" s="1148"/>
      <c r="D1871" s="1151"/>
      <c r="E1871" s="436">
        <v>36</v>
      </c>
      <c r="F1871" s="405" t="s">
        <v>2630</v>
      </c>
      <c r="G1871" s="625" t="s">
        <v>127</v>
      </c>
      <c r="H1871" s="474">
        <v>56.2</v>
      </c>
      <c r="I1871" s="1153"/>
      <c r="J1871" s="415">
        <f>61216696/1997.2*H1871</f>
        <v>1722600.7987182054</v>
      </c>
      <c r="K1871" s="437">
        <v>1145832.1399999999</v>
      </c>
    </row>
    <row r="1872" spans="1:11" ht="25.5" x14ac:dyDescent="0.2">
      <c r="A1872" s="347" t="s">
        <v>10748</v>
      </c>
      <c r="B1872" s="347" t="s">
        <v>10766</v>
      </c>
      <c r="C1872" s="1148"/>
      <c r="D1872" s="1151"/>
      <c r="E1872" s="436">
        <v>6</v>
      </c>
      <c r="F1872" s="405" t="s">
        <v>10749</v>
      </c>
      <c r="G1872" s="625" t="s">
        <v>512</v>
      </c>
      <c r="H1872" s="474">
        <f>39.9-39.9</f>
        <v>0</v>
      </c>
      <c r="I1872" s="1153"/>
      <c r="J1872" s="415">
        <f>850000-850000</f>
        <v>0</v>
      </c>
      <c r="K1872" s="437"/>
    </row>
    <row r="1873" spans="1:11" x14ac:dyDescent="0.2">
      <c r="A1873" s="432" t="s">
        <v>12575</v>
      </c>
      <c r="B1873" s="432" t="s">
        <v>295</v>
      </c>
      <c r="C1873" s="1148"/>
      <c r="D1873" s="1151"/>
      <c r="E1873" s="405">
        <v>14</v>
      </c>
      <c r="F1873" s="405" t="s">
        <v>12576</v>
      </c>
      <c r="G1873" s="625" t="s">
        <v>507</v>
      </c>
      <c r="H1873" s="474">
        <f>39.8</f>
        <v>39.799999999999997</v>
      </c>
      <c r="I1873" s="1153"/>
      <c r="J1873" s="448">
        <v>1009311.6</v>
      </c>
      <c r="K1873" s="458">
        <v>843106.97</v>
      </c>
    </row>
    <row r="1874" spans="1:11" ht="12.75" customHeight="1" x14ac:dyDescent="0.2">
      <c r="A1874" s="348" t="s">
        <v>1232</v>
      </c>
      <c r="B1874" s="347"/>
      <c r="C1874" s="1147" t="s">
        <v>11441</v>
      </c>
      <c r="D1874" s="1150">
        <v>4</v>
      </c>
      <c r="E1874" s="495"/>
      <c r="F1874" s="268"/>
      <c r="G1874" s="617"/>
      <c r="H1874" s="441">
        <f>1247.3-1247.3</f>
        <v>0</v>
      </c>
      <c r="I1874" s="1145">
        <v>2010</v>
      </c>
      <c r="J1874" s="415">
        <f>30187295-30187295</f>
        <v>0</v>
      </c>
      <c r="K1874" s="437"/>
    </row>
    <row r="1875" spans="1:11" ht="15" customHeight="1" x14ac:dyDescent="0.2">
      <c r="A1875" s="347" t="s">
        <v>1233</v>
      </c>
      <c r="B1875" s="347" t="s">
        <v>295</v>
      </c>
      <c r="C1875" s="1148"/>
      <c r="D1875" s="1151"/>
      <c r="E1875" s="436">
        <v>11</v>
      </c>
      <c r="F1875" s="178" t="s">
        <v>2915</v>
      </c>
      <c r="G1875" s="722" t="s">
        <v>128</v>
      </c>
      <c r="H1875" s="441">
        <v>44</v>
      </c>
      <c r="I1875" s="1153"/>
      <c r="J1875" s="415">
        <v>1064892.95</v>
      </c>
      <c r="K1875" s="437">
        <v>617581.36</v>
      </c>
    </row>
    <row r="1876" spans="1:11" ht="13.5" customHeight="1" x14ac:dyDescent="0.2">
      <c r="A1876" s="349" t="s">
        <v>1234</v>
      </c>
      <c r="B1876" s="347" t="s">
        <v>295</v>
      </c>
      <c r="C1876" s="1148"/>
      <c r="D1876" s="1151"/>
      <c r="E1876" s="436">
        <v>15</v>
      </c>
      <c r="F1876" s="178" t="s">
        <v>2618</v>
      </c>
      <c r="G1876" s="722" t="s">
        <v>137</v>
      </c>
      <c r="H1876" s="441">
        <v>45.2</v>
      </c>
      <c r="I1876" s="1153"/>
      <c r="J1876" s="415">
        <f>30187295/1247.3*H1876</f>
        <v>1093935.4878537643</v>
      </c>
      <c r="K1876" s="437">
        <v>634424.49</v>
      </c>
    </row>
    <row r="1877" spans="1:11" ht="14.25" customHeight="1" x14ac:dyDescent="0.2">
      <c r="A1877" s="347" t="s">
        <v>1235</v>
      </c>
      <c r="B1877" s="347" t="s">
        <v>295</v>
      </c>
      <c r="C1877" s="1148"/>
      <c r="D1877" s="1151"/>
      <c r="E1877" s="436">
        <v>22</v>
      </c>
      <c r="F1877" s="178" t="s">
        <v>10045</v>
      </c>
      <c r="G1877" s="722" t="s">
        <v>128</v>
      </c>
      <c r="H1877" s="441">
        <v>66.900000000000006</v>
      </c>
      <c r="I1877" s="1153"/>
      <c r="J1877" s="415">
        <v>1619121.33</v>
      </c>
      <c r="K1877" s="437">
        <v>918508.23</v>
      </c>
    </row>
    <row r="1878" spans="1:11" ht="14.25" customHeight="1" x14ac:dyDescent="0.2">
      <c r="A1878" s="347" t="s">
        <v>10924</v>
      </c>
      <c r="B1878" s="347" t="s">
        <v>295</v>
      </c>
      <c r="C1878" s="1148"/>
      <c r="D1878" s="1151"/>
      <c r="E1878" s="436">
        <v>1</v>
      </c>
      <c r="F1878" s="178" t="s">
        <v>10925</v>
      </c>
      <c r="G1878" s="722" t="s">
        <v>137</v>
      </c>
      <c r="H1878" s="415">
        <f>50.2-50.2</f>
        <v>0</v>
      </c>
      <c r="I1878" s="1153"/>
      <c r="J1878" s="415">
        <f>642487.4-642487.4</f>
        <v>0</v>
      </c>
      <c r="K1878" s="437"/>
    </row>
    <row r="1879" spans="1:11" ht="14.25" customHeight="1" x14ac:dyDescent="0.2">
      <c r="A1879" s="432" t="s">
        <v>12658</v>
      </c>
      <c r="B1879" s="432" t="s">
        <v>295</v>
      </c>
      <c r="C1879" s="1149"/>
      <c r="D1879" s="1152"/>
      <c r="E1879" s="672">
        <v>21</v>
      </c>
      <c r="F1879" s="200" t="s">
        <v>12659</v>
      </c>
      <c r="G1879" s="724" t="s">
        <v>128</v>
      </c>
      <c r="H1879" s="435">
        <f>67.4</f>
        <v>67.400000000000006</v>
      </c>
      <c r="I1879" s="1146"/>
      <c r="J1879" s="487">
        <v>1710934.5</v>
      </c>
      <c r="K1879" s="438">
        <v>925373.02</v>
      </c>
    </row>
    <row r="1880" spans="1:11" ht="12.75" customHeight="1" x14ac:dyDescent="0.2">
      <c r="A1880" s="348" t="s">
        <v>1236</v>
      </c>
      <c r="B1880" s="347"/>
      <c r="C1880" s="1147" t="s">
        <v>11442</v>
      </c>
      <c r="D1880" s="1265" t="s">
        <v>2622</v>
      </c>
      <c r="E1880" s="436"/>
      <c r="F1880" s="178"/>
      <c r="G1880" s="722"/>
      <c r="H1880" s="415">
        <f>169-169</f>
        <v>0</v>
      </c>
      <c r="I1880" s="1159">
        <v>2010</v>
      </c>
      <c r="J1880" s="415">
        <f>4386000-4386000</f>
        <v>0</v>
      </c>
      <c r="K1880" s="437"/>
    </row>
    <row r="1881" spans="1:11" x14ac:dyDescent="0.2">
      <c r="A1881" s="349" t="s">
        <v>2606</v>
      </c>
      <c r="B1881" s="347" t="s">
        <v>295</v>
      </c>
      <c r="C1881" s="1148"/>
      <c r="D1881" s="1266"/>
      <c r="E1881" s="436">
        <v>67</v>
      </c>
      <c r="F1881" s="178" t="s">
        <v>2623</v>
      </c>
      <c r="G1881" s="722"/>
      <c r="H1881" s="415">
        <v>56.1</v>
      </c>
      <c r="I1881" s="1159"/>
      <c r="J1881" s="415">
        <v>1434000</v>
      </c>
      <c r="K1881" s="437">
        <v>1165373.79</v>
      </c>
    </row>
    <row r="1882" spans="1:11" x14ac:dyDescent="0.2">
      <c r="A1882" s="349" t="s">
        <v>2607</v>
      </c>
      <c r="B1882" s="347" t="s">
        <v>295</v>
      </c>
      <c r="C1882" s="1148"/>
      <c r="D1882" s="1266"/>
      <c r="E1882" s="436">
        <v>68</v>
      </c>
      <c r="F1882" s="178" t="s">
        <v>2624</v>
      </c>
      <c r="G1882" s="722"/>
      <c r="H1882" s="415">
        <v>56.8</v>
      </c>
      <c r="I1882" s="1159"/>
      <c r="J1882" s="415">
        <v>1451000</v>
      </c>
      <c r="K1882" s="437">
        <v>1179915</v>
      </c>
    </row>
    <row r="1883" spans="1:11" ht="25.5" customHeight="1" x14ac:dyDescent="0.2">
      <c r="A1883" s="348" t="s">
        <v>1237</v>
      </c>
      <c r="B1883" s="347"/>
      <c r="C1883" s="1157" t="s">
        <v>11443</v>
      </c>
      <c r="D1883" s="1224">
        <v>12</v>
      </c>
      <c r="E1883" s="436"/>
      <c r="F1883" s="178"/>
      <c r="G1883" s="722" t="s">
        <v>2620</v>
      </c>
      <c r="H1883" s="415">
        <f>137-137</f>
        <v>0</v>
      </c>
      <c r="I1883" s="1159">
        <v>2010</v>
      </c>
      <c r="J1883" s="415">
        <f>3400000-3400000</f>
        <v>0</v>
      </c>
      <c r="K1883" s="437"/>
    </row>
    <row r="1884" spans="1:11" x14ac:dyDescent="0.2">
      <c r="A1884" s="347" t="s">
        <v>1773</v>
      </c>
      <c r="B1884" s="347" t="s">
        <v>295</v>
      </c>
      <c r="C1884" s="1157"/>
      <c r="D1884" s="1224"/>
      <c r="E1884" s="436">
        <v>3</v>
      </c>
      <c r="F1884" s="347" t="s">
        <v>2914</v>
      </c>
      <c r="G1884" s="722" t="s">
        <v>137</v>
      </c>
      <c r="H1884" s="415">
        <v>34.799999999999997</v>
      </c>
      <c r="I1884" s="1159"/>
      <c r="J1884" s="415">
        <v>863649.63503649633</v>
      </c>
      <c r="K1884" s="437">
        <v>392359.91</v>
      </c>
    </row>
    <row r="1885" spans="1:11" ht="12.75" customHeight="1" x14ac:dyDescent="0.2">
      <c r="A1885" s="351" t="s">
        <v>1238</v>
      </c>
      <c r="B1885" s="347"/>
      <c r="C1885" s="1157" t="s">
        <v>11444</v>
      </c>
      <c r="D1885" s="1224">
        <v>10</v>
      </c>
      <c r="E1885" s="436"/>
      <c r="F1885" s="178"/>
      <c r="G1885" s="722"/>
      <c r="H1885" s="415">
        <f>141.3-141.3</f>
        <v>0</v>
      </c>
      <c r="I1885" s="1159">
        <v>2010</v>
      </c>
      <c r="J1885" s="415">
        <f>3400000-3400000</f>
        <v>0</v>
      </c>
      <c r="K1885" s="437"/>
    </row>
    <row r="1886" spans="1:11" x14ac:dyDescent="0.2">
      <c r="A1886" s="347" t="s">
        <v>1774</v>
      </c>
      <c r="B1886" s="347" t="s">
        <v>295</v>
      </c>
      <c r="C1886" s="1157"/>
      <c r="D1886" s="1224"/>
      <c r="E1886" s="436">
        <v>2</v>
      </c>
      <c r="F1886" s="178" t="s">
        <v>10046</v>
      </c>
      <c r="G1886" s="722" t="s">
        <v>137</v>
      </c>
      <c r="H1886" s="415">
        <f>35.4</f>
        <v>35.4</v>
      </c>
      <c r="I1886" s="1159"/>
      <c r="J1886" s="415">
        <f>851804.670912951</f>
        <v>851804.670912951</v>
      </c>
      <c r="K1886" s="437">
        <v>399124.73</v>
      </c>
    </row>
    <row r="1887" spans="1:11" ht="24" customHeight="1" x14ac:dyDescent="0.2">
      <c r="A1887" s="347" t="s">
        <v>1775</v>
      </c>
      <c r="B1887" s="347" t="s">
        <v>295</v>
      </c>
      <c r="C1887" s="1157"/>
      <c r="D1887" s="1224"/>
      <c r="E1887" s="436">
        <v>3</v>
      </c>
      <c r="F1887" s="178" t="s">
        <v>363</v>
      </c>
      <c r="G1887" s="722" t="s">
        <v>137</v>
      </c>
      <c r="H1887" s="415">
        <v>35.200000000000003</v>
      </c>
      <c r="I1887" s="1159"/>
      <c r="J1887" s="415">
        <f>3400000/141.3*H1887</f>
        <v>846992.2151450814</v>
      </c>
      <c r="K1887" s="437">
        <v>396869.79</v>
      </c>
    </row>
    <row r="1888" spans="1:11" ht="12.75" customHeight="1" x14ac:dyDescent="0.2">
      <c r="A1888" s="351" t="s">
        <v>1239</v>
      </c>
      <c r="B1888" s="347"/>
      <c r="C1888" s="1157" t="s">
        <v>11445</v>
      </c>
      <c r="D1888" s="1224">
        <v>20</v>
      </c>
      <c r="E1888" s="436"/>
      <c r="F1888" s="178"/>
      <c r="G1888" s="722"/>
      <c r="H1888" s="415">
        <f>137.1-137.1</f>
        <v>0</v>
      </c>
      <c r="I1888" s="1159">
        <v>2010</v>
      </c>
      <c r="J1888" s="415">
        <f>3400000-3400000</f>
        <v>0</v>
      </c>
      <c r="K1888" s="437"/>
    </row>
    <row r="1889" spans="1:11" x14ac:dyDescent="0.2">
      <c r="A1889" s="347" t="s">
        <v>1776</v>
      </c>
      <c r="B1889" s="347" t="s">
        <v>295</v>
      </c>
      <c r="C1889" s="1157"/>
      <c r="D1889" s="1224"/>
      <c r="E1889" s="436">
        <v>2</v>
      </c>
      <c r="F1889" s="178" t="s">
        <v>2913</v>
      </c>
      <c r="G1889" s="722" t="s">
        <v>137</v>
      </c>
      <c r="H1889" s="415">
        <f>34.3</f>
        <v>34.299999999999997</v>
      </c>
      <c r="I1889" s="1159"/>
      <c r="J1889" s="415">
        <f>851804.670912951</f>
        <v>851804.670912951</v>
      </c>
      <c r="K1889" s="437">
        <v>399124.73</v>
      </c>
    </row>
    <row r="1890" spans="1:11" ht="24.75" customHeight="1" x14ac:dyDescent="0.2">
      <c r="A1890" s="348" t="s">
        <v>1240</v>
      </c>
      <c r="B1890" s="347"/>
      <c r="C1890" s="1157" t="s">
        <v>11446</v>
      </c>
      <c r="D1890" s="1224" t="s">
        <v>357</v>
      </c>
      <c r="E1890" s="436"/>
      <c r="F1890" s="178"/>
      <c r="G1890" s="722" t="s">
        <v>2621</v>
      </c>
      <c r="H1890" s="415">
        <f>138.5-138.5</f>
        <v>0</v>
      </c>
      <c r="I1890" s="1159">
        <v>2011</v>
      </c>
      <c r="J1890" s="415">
        <f>3400000-3400000</f>
        <v>0</v>
      </c>
      <c r="K1890" s="437"/>
    </row>
    <row r="1891" spans="1:11" x14ac:dyDescent="0.2">
      <c r="A1891" s="349" t="s">
        <v>1241</v>
      </c>
      <c r="B1891" s="347" t="s">
        <v>295</v>
      </c>
      <c r="C1891" s="1157"/>
      <c r="D1891" s="1224"/>
      <c r="E1891" s="436">
        <v>1</v>
      </c>
      <c r="F1891" s="178" t="s">
        <v>5136</v>
      </c>
      <c r="G1891" s="722" t="s">
        <v>137</v>
      </c>
      <c r="H1891" s="415">
        <v>34.700000000000003</v>
      </c>
      <c r="I1891" s="1159"/>
      <c r="J1891" s="415">
        <f>3400000/138.5*H1891</f>
        <v>851841.15523465711</v>
      </c>
      <c r="K1891" s="437"/>
    </row>
    <row r="1892" spans="1:11" ht="24" customHeight="1" x14ac:dyDescent="0.2">
      <c r="A1892" s="349" t="s">
        <v>1242</v>
      </c>
      <c r="B1892" s="347" t="s">
        <v>295</v>
      </c>
      <c r="C1892" s="1157"/>
      <c r="D1892" s="1224"/>
      <c r="E1892" s="436">
        <v>3</v>
      </c>
      <c r="F1892" s="178" t="s">
        <v>10047</v>
      </c>
      <c r="G1892" s="722" t="s">
        <v>137</v>
      </c>
      <c r="H1892" s="415">
        <v>34.6</v>
      </c>
      <c r="I1892" s="1159"/>
      <c r="J1892" s="415">
        <f>3400000/138.5*H1892</f>
        <v>849386.28158844775</v>
      </c>
      <c r="K1892" s="437"/>
    </row>
    <row r="1893" spans="1:11" x14ac:dyDescent="0.2">
      <c r="A1893" s="347" t="s">
        <v>1243</v>
      </c>
      <c r="B1893" s="347" t="s">
        <v>295</v>
      </c>
      <c r="C1893" s="1157"/>
      <c r="D1893" s="1224"/>
      <c r="E1893" s="436">
        <v>4</v>
      </c>
      <c r="F1893" s="178" t="s">
        <v>4196</v>
      </c>
      <c r="G1893" s="722" t="s">
        <v>2886</v>
      </c>
      <c r="H1893" s="415">
        <v>34.799999999999997</v>
      </c>
      <c r="I1893" s="1159"/>
      <c r="J1893" s="415">
        <f>3400000/138.5*H1893</f>
        <v>854296.02888086636</v>
      </c>
      <c r="K1893" s="437">
        <v>396341.03</v>
      </c>
    </row>
    <row r="1894" spans="1:11" ht="22.5" customHeight="1" x14ac:dyDescent="0.2">
      <c r="A1894" s="348" t="s">
        <v>1244</v>
      </c>
      <c r="B1894" s="464"/>
      <c r="C1894" s="1157" t="s">
        <v>13513</v>
      </c>
      <c r="D1894" s="1224" t="s">
        <v>359</v>
      </c>
      <c r="E1894" s="495"/>
      <c r="F1894" s="268"/>
      <c r="G1894" s="722" t="s">
        <v>10048</v>
      </c>
      <c r="H1894" s="415">
        <f>139.3-139.3</f>
        <v>0</v>
      </c>
      <c r="I1894" s="1159">
        <v>2011</v>
      </c>
      <c r="J1894" s="415">
        <f>2939073-2939073</f>
        <v>0</v>
      </c>
      <c r="K1894" s="496"/>
    </row>
    <row r="1895" spans="1:11" x14ac:dyDescent="0.2">
      <c r="A1895" s="349" t="s">
        <v>1245</v>
      </c>
      <c r="B1895" s="347" t="s">
        <v>295</v>
      </c>
      <c r="C1895" s="1157"/>
      <c r="D1895" s="1224"/>
      <c r="E1895" s="436">
        <v>1</v>
      </c>
      <c r="F1895" s="178" t="s">
        <v>2619</v>
      </c>
      <c r="G1895" s="722" t="s">
        <v>137</v>
      </c>
      <c r="H1895" s="474">
        <v>35</v>
      </c>
      <c r="I1895" s="1159"/>
      <c r="J1895" s="415">
        <f>2939073/139.3*H1895</f>
        <v>738460.552763819</v>
      </c>
      <c r="K1895" s="437">
        <v>380705.15</v>
      </c>
    </row>
    <row r="1896" spans="1:11" x14ac:dyDescent="0.2">
      <c r="A1896" s="347" t="s">
        <v>1246</v>
      </c>
      <c r="B1896" s="347" t="s">
        <v>295</v>
      </c>
      <c r="C1896" s="1157"/>
      <c r="D1896" s="1224"/>
      <c r="E1896" s="436">
        <v>4</v>
      </c>
      <c r="F1896" s="249" t="s">
        <v>10049</v>
      </c>
      <c r="G1896" s="497" t="s">
        <v>11447</v>
      </c>
      <c r="H1896" s="415">
        <v>34.9</v>
      </c>
      <c r="I1896" s="1159"/>
      <c r="J1896" s="415">
        <f>2939073/139.3*H1896</f>
        <v>736350.66547020804</v>
      </c>
      <c r="K1896" s="437"/>
    </row>
    <row r="1897" spans="1:11" ht="12.75" customHeight="1" x14ac:dyDescent="0.2">
      <c r="A1897" s="348" t="s">
        <v>1247</v>
      </c>
      <c r="B1897" s="347"/>
      <c r="C1897" s="1147" t="s">
        <v>11448</v>
      </c>
      <c r="D1897" s="1267">
        <v>3</v>
      </c>
      <c r="E1897" s="436"/>
      <c r="F1897" s="273"/>
      <c r="G1897" s="722"/>
      <c r="H1897" s="415">
        <f>1468-1468</f>
        <v>0</v>
      </c>
      <c r="I1897" s="1145">
        <v>2011</v>
      </c>
      <c r="J1897" s="415">
        <f>43959626+850000+642476.96-45452102.96</f>
        <v>0</v>
      </c>
      <c r="K1897" s="437"/>
    </row>
    <row r="1898" spans="1:11" ht="12.75" customHeight="1" x14ac:dyDescent="0.2">
      <c r="A1898" s="347" t="s">
        <v>2608</v>
      </c>
      <c r="B1898" s="347" t="s">
        <v>295</v>
      </c>
      <c r="C1898" s="1148"/>
      <c r="D1898" s="1268"/>
      <c r="E1898" s="436">
        <v>5</v>
      </c>
      <c r="F1898" s="178" t="s">
        <v>364</v>
      </c>
      <c r="G1898" s="722"/>
      <c r="H1898" s="415">
        <v>62.4</v>
      </c>
      <c r="I1898" s="1153"/>
      <c r="J1898" s="415">
        <v>1904714.3476839238</v>
      </c>
      <c r="K1898" s="437"/>
    </row>
    <row r="1899" spans="1:11" ht="12.75" customHeight="1" x14ac:dyDescent="0.2">
      <c r="A1899" s="347" t="s">
        <v>2609</v>
      </c>
      <c r="B1899" s="347" t="s">
        <v>295</v>
      </c>
      <c r="C1899" s="1148"/>
      <c r="D1899" s="1268"/>
      <c r="E1899" s="436">
        <v>11</v>
      </c>
      <c r="F1899" s="178" t="s">
        <v>365</v>
      </c>
      <c r="G1899" s="722" t="s">
        <v>128</v>
      </c>
      <c r="H1899" s="415">
        <v>52.5</v>
      </c>
      <c r="I1899" s="1153"/>
      <c r="J1899" s="415">
        <v>1602524.0905994552</v>
      </c>
      <c r="K1899" s="437"/>
    </row>
    <row r="1900" spans="1:11" ht="12.75" customHeight="1" x14ac:dyDescent="0.2">
      <c r="A1900" s="349" t="s">
        <v>2610</v>
      </c>
      <c r="B1900" s="347" t="s">
        <v>295</v>
      </c>
      <c r="C1900" s="1148"/>
      <c r="D1900" s="1268"/>
      <c r="E1900" s="436">
        <v>16</v>
      </c>
      <c r="F1900" s="178" t="s">
        <v>2633</v>
      </c>
      <c r="G1900" s="722" t="s">
        <v>137</v>
      </c>
      <c r="H1900" s="415">
        <v>29.3</v>
      </c>
      <c r="I1900" s="1153"/>
      <c r="J1900" s="415">
        <f t="shared" ref="J1900:J1904" si="14">44809626/1468*H1900</f>
        <v>894361.06389645778</v>
      </c>
      <c r="K1900" s="437">
        <v>711193.92</v>
      </c>
    </row>
    <row r="1901" spans="1:11" x14ac:dyDescent="0.2">
      <c r="A1901" s="349" t="s">
        <v>2611</v>
      </c>
      <c r="B1901" s="347" t="s">
        <v>295</v>
      </c>
      <c r="C1901" s="1148"/>
      <c r="D1901" s="1268"/>
      <c r="E1901" s="436">
        <v>23</v>
      </c>
      <c r="F1901" s="38" t="s">
        <v>10318</v>
      </c>
      <c r="G1901" s="722" t="s">
        <v>137</v>
      </c>
      <c r="H1901" s="415">
        <v>31.2</v>
      </c>
      <c r="I1901" s="1153"/>
      <c r="J1901" s="415">
        <f t="shared" si="14"/>
        <v>952357.17384196189</v>
      </c>
      <c r="K1901" s="437"/>
    </row>
    <row r="1902" spans="1:11" x14ac:dyDescent="0.2">
      <c r="A1902" s="349" t="s">
        <v>2612</v>
      </c>
      <c r="B1902" s="347" t="s">
        <v>295</v>
      </c>
      <c r="C1902" s="1148"/>
      <c r="D1902" s="1268"/>
      <c r="E1902" s="436">
        <v>27</v>
      </c>
      <c r="F1902" s="178" t="s">
        <v>10319</v>
      </c>
      <c r="G1902" s="617"/>
      <c r="H1902" s="415">
        <v>29.7</v>
      </c>
      <c r="I1902" s="1153"/>
      <c r="J1902" s="415">
        <f t="shared" si="14"/>
        <v>906570.77125340607</v>
      </c>
      <c r="K1902" s="437"/>
    </row>
    <row r="1903" spans="1:11" x14ac:dyDescent="0.2">
      <c r="A1903" s="349" t="s">
        <v>2613</v>
      </c>
      <c r="B1903" s="347" t="s">
        <v>295</v>
      </c>
      <c r="C1903" s="1148"/>
      <c r="D1903" s="1268"/>
      <c r="E1903" s="436">
        <v>31</v>
      </c>
      <c r="F1903" s="178" t="s">
        <v>10320</v>
      </c>
      <c r="G1903" s="722" t="s">
        <v>512</v>
      </c>
      <c r="H1903" s="415">
        <v>26.7</v>
      </c>
      <c r="I1903" s="1153"/>
      <c r="J1903" s="415">
        <f t="shared" si="14"/>
        <v>814997.96607629431</v>
      </c>
      <c r="K1903" s="437"/>
    </row>
    <row r="1904" spans="1:11" ht="15" customHeight="1" x14ac:dyDescent="0.2">
      <c r="A1904" s="349" t="s">
        <v>2614</v>
      </c>
      <c r="B1904" s="347" t="s">
        <v>295</v>
      </c>
      <c r="C1904" s="1148"/>
      <c r="D1904" s="1268"/>
      <c r="E1904" s="436">
        <v>36</v>
      </c>
      <c r="F1904" s="178" t="s">
        <v>10321</v>
      </c>
      <c r="G1904" s="722" t="s">
        <v>128</v>
      </c>
      <c r="H1904" s="415">
        <v>26.7</v>
      </c>
      <c r="I1904" s="1153"/>
      <c r="J1904" s="415">
        <f t="shared" si="14"/>
        <v>814997.96607629431</v>
      </c>
      <c r="K1904" s="437">
        <v>648084.56000000006</v>
      </c>
    </row>
    <row r="1905" spans="1:11" ht="12.75" customHeight="1" x14ac:dyDescent="0.2">
      <c r="A1905" s="349" t="s">
        <v>10322</v>
      </c>
      <c r="B1905" s="347" t="s">
        <v>295</v>
      </c>
      <c r="C1905" s="1148"/>
      <c r="D1905" s="1268"/>
      <c r="E1905" s="436">
        <v>34</v>
      </c>
      <c r="F1905" s="178" t="s">
        <v>10323</v>
      </c>
      <c r="G1905" s="722" t="s">
        <v>128</v>
      </c>
      <c r="H1905" s="415">
        <v>30.3</v>
      </c>
      <c r="I1905" s="1153"/>
      <c r="J1905" s="415">
        <v>1001627.1</v>
      </c>
      <c r="K1905" s="437">
        <v>735466.75</v>
      </c>
    </row>
    <row r="1906" spans="1:11" ht="12.75" customHeight="1" x14ac:dyDescent="0.2">
      <c r="A1906" s="433" t="s">
        <v>12515</v>
      </c>
      <c r="B1906" s="433" t="s">
        <v>295</v>
      </c>
      <c r="C1906" s="1149"/>
      <c r="D1906" s="1269"/>
      <c r="E1906" s="672">
        <v>32</v>
      </c>
      <c r="F1906" s="200" t="s">
        <v>12516</v>
      </c>
      <c r="G1906" s="724" t="s">
        <v>512</v>
      </c>
      <c r="H1906" s="681">
        <f>30.1</f>
        <v>30.1</v>
      </c>
      <c r="I1906" s="1146"/>
      <c r="J1906" s="435">
        <v>972862.1</v>
      </c>
      <c r="K1906" s="437"/>
    </row>
    <row r="1907" spans="1:11" ht="12.75" customHeight="1" x14ac:dyDescent="0.2">
      <c r="A1907" s="348" t="s">
        <v>1248</v>
      </c>
      <c r="B1907" s="347"/>
      <c r="C1907" s="1157" t="s">
        <v>11449</v>
      </c>
      <c r="D1907" s="1224">
        <v>22</v>
      </c>
      <c r="E1907" s="436"/>
      <c r="F1907" s="178"/>
      <c r="G1907" s="722"/>
      <c r="H1907" s="415">
        <f>724.62-724.62</f>
        <v>0</v>
      </c>
      <c r="I1907" s="1159">
        <v>2011</v>
      </c>
      <c r="J1907" s="415">
        <f>19275192-19275192</f>
        <v>0</v>
      </c>
      <c r="K1907" s="437"/>
    </row>
    <row r="1908" spans="1:11" x14ac:dyDescent="0.2">
      <c r="A1908" s="347" t="s">
        <v>1249</v>
      </c>
      <c r="B1908" s="347" t="s">
        <v>295</v>
      </c>
      <c r="C1908" s="1157"/>
      <c r="D1908" s="1224"/>
      <c r="E1908" s="436">
        <v>3</v>
      </c>
      <c r="F1908" s="178" t="s">
        <v>456</v>
      </c>
      <c r="G1908" s="722" t="s">
        <v>457</v>
      </c>
      <c r="H1908" s="415">
        <v>36</v>
      </c>
      <c r="I1908" s="1159"/>
      <c r="J1908" s="415">
        <v>997200</v>
      </c>
      <c r="K1908" s="437">
        <v>472555.8</v>
      </c>
    </row>
    <row r="1909" spans="1:11" x14ac:dyDescent="0.2">
      <c r="A1909" s="349" t="s">
        <v>1777</v>
      </c>
      <c r="B1909" s="347" t="s">
        <v>295</v>
      </c>
      <c r="C1909" s="1157"/>
      <c r="D1909" s="1224"/>
      <c r="E1909" s="436">
        <v>5</v>
      </c>
      <c r="F1909" s="178" t="s">
        <v>2632</v>
      </c>
      <c r="G1909" s="722" t="s">
        <v>512</v>
      </c>
      <c r="H1909" s="415">
        <v>56.5</v>
      </c>
      <c r="I1909" s="1159"/>
      <c r="J1909" s="415">
        <f>19275192/724.62*H1909</f>
        <v>1502923.3915707543</v>
      </c>
      <c r="K1909" s="437">
        <v>741650.08</v>
      </c>
    </row>
    <row r="1910" spans="1:11" ht="14.25" customHeight="1" x14ac:dyDescent="0.2">
      <c r="A1910" s="349" t="s">
        <v>1778</v>
      </c>
      <c r="B1910" s="347" t="s">
        <v>295</v>
      </c>
      <c r="C1910" s="1157"/>
      <c r="D1910" s="1224"/>
      <c r="E1910" s="436">
        <v>7</v>
      </c>
      <c r="F1910" s="178" t="s">
        <v>10324</v>
      </c>
      <c r="G1910" s="722" t="s">
        <v>128</v>
      </c>
      <c r="H1910" s="415">
        <v>41.19</v>
      </c>
      <c r="I1910" s="1159"/>
      <c r="J1910" s="415">
        <f>19275192/724.62*H1910</f>
        <v>1095671.0530760949</v>
      </c>
      <c r="K1910" s="437">
        <v>555253.06999999995</v>
      </c>
    </row>
    <row r="1911" spans="1:11" ht="15.75" customHeight="1" x14ac:dyDescent="0.2">
      <c r="A1911" s="349" t="s">
        <v>1779</v>
      </c>
      <c r="B1911" s="347" t="s">
        <v>295</v>
      </c>
      <c r="C1911" s="1157"/>
      <c r="D1911" s="1224"/>
      <c r="E1911" s="436">
        <v>18</v>
      </c>
      <c r="F1911" s="178" t="s">
        <v>2631</v>
      </c>
      <c r="G1911" s="722" t="s">
        <v>128</v>
      </c>
      <c r="H1911" s="415">
        <v>41.8</v>
      </c>
      <c r="I1911" s="1159"/>
      <c r="J1911" s="415">
        <f>19275192/724.62*H1911</f>
        <v>1111897.3056222571</v>
      </c>
      <c r="K1911" s="437">
        <v>548689.79</v>
      </c>
    </row>
    <row r="1912" spans="1:11" ht="12.75" customHeight="1" x14ac:dyDescent="0.2">
      <c r="A1912" s="348" t="s">
        <v>1250</v>
      </c>
      <c r="B1912" s="347"/>
      <c r="C1912" s="1201" t="s">
        <v>11450</v>
      </c>
      <c r="D1912" s="1177">
        <v>16</v>
      </c>
      <c r="E1912" s="451"/>
      <c r="F1912" s="178"/>
      <c r="G1912" s="722" t="s">
        <v>2903</v>
      </c>
      <c r="H1912" s="437">
        <f>1143.7-1143.7</f>
        <v>0</v>
      </c>
      <c r="I1912" s="1177">
        <v>2012</v>
      </c>
      <c r="J1912" s="437">
        <f>25329978-25329978</f>
        <v>0</v>
      </c>
      <c r="K1912" s="437"/>
    </row>
    <row r="1913" spans="1:11" ht="15" customHeight="1" x14ac:dyDescent="0.2">
      <c r="A1913" s="347" t="s">
        <v>1780</v>
      </c>
      <c r="B1913" s="347" t="s">
        <v>295</v>
      </c>
      <c r="C1913" s="1202"/>
      <c r="D1913" s="1178"/>
      <c r="E1913" s="451">
        <v>14</v>
      </c>
      <c r="F1913" s="178" t="s">
        <v>10050</v>
      </c>
      <c r="G1913" s="722" t="s">
        <v>512</v>
      </c>
      <c r="H1913" s="437">
        <f>54-54</f>
        <v>0</v>
      </c>
      <c r="I1913" s="1178"/>
      <c r="J1913" s="437">
        <f>25329978/1143.7*H1913</f>
        <v>0</v>
      </c>
      <c r="K1913" s="437">
        <f>402001.965564424-402001.965564424</f>
        <v>0</v>
      </c>
    </row>
    <row r="1914" spans="1:11" ht="15" customHeight="1" x14ac:dyDescent="0.2">
      <c r="A1914" s="347" t="s">
        <v>2905</v>
      </c>
      <c r="B1914" s="347" t="s">
        <v>295</v>
      </c>
      <c r="C1914" s="1202"/>
      <c r="D1914" s="1178"/>
      <c r="E1914" s="451">
        <v>17</v>
      </c>
      <c r="F1914" s="178" t="s">
        <v>2904</v>
      </c>
      <c r="G1914" s="722" t="s">
        <v>512</v>
      </c>
      <c r="H1914" s="437">
        <f>50.7</f>
        <v>50.7</v>
      </c>
      <c r="I1914" s="1178"/>
      <c r="J1914" s="437">
        <f>25329978/1143.7*H1914</f>
        <v>1122873.030165253</v>
      </c>
      <c r="K1914" s="437">
        <v>577007.06999999995</v>
      </c>
    </row>
    <row r="1915" spans="1:11" x14ac:dyDescent="0.2">
      <c r="A1915" s="347" t="s">
        <v>2906</v>
      </c>
      <c r="B1915" s="347" t="s">
        <v>295</v>
      </c>
      <c r="C1915" s="1202"/>
      <c r="D1915" s="1178"/>
      <c r="E1915" s="451">
        <v>18</v>
      </c>
      <c r="F1915" s="178" t="s">
        <v>4753</v>
      </c>
      <c r="G1915" s="722" t="s">
        <v>128</v>
      </c>
      <c r="H1915" s="437">
        <f>53.6</f>
        <v>53.6</v>
      </c>
      <c r="I1915" s="1178"/>
      <c r="J1915" s="437">
        <f>25329978/1143.7*H1915</f>
        <v>1187100.4815948238</v>
      </c>
      <c r="K1915" s="437">
        <v>610011.42000000004</v>
      </c>
    </row>
    <row r="1916" spans="1:11" x14ac:dyDescent="0.2">
      <c r="A1916" s="347" t="s">
        <v>10928</v>
      </c>
      <c r="B1916" s="347" t="s">
        <v>295</v>
      </c>
      <c r="C1916" s="1202"/>
      <c r="D1916" s="1178"/>
      <c r="E1916" s="451">
        <v>21</v>
      </c>
      <c r="F1916" s="178" t="s">
        <v>10929</v>
      </c>
      <c r="G1916" s="722" t="s">
        <v>128</v>
      </c>
      <c r="H1916" s="498">
        <f>70</f>
        <v>70</v>
      </c>
      <c r="I1916" s="1178"/>
      <c r="J1916" s="437">
        <v>796656.7</v>
      </c>
      <c r="K1916" s="437">
        <v>796656.7</v>
      </c>
    </row>
    <row r="1917" spans="1:11" x14ac:dyDescent="0.2">
      <c r="A1917" s="865" t="s">
        <v>14305</v>
      </c>
      <c r="B1917" s="833" t="s">
        <v>295</v>
      </c>
      <c r="C1917" s="1202"/>
      <c r="D1917" s="1178"/>
      <c r="E1917" s="451">
        <v>3</v>
      </c>
      <c r="F1917" s="178" t="s">
        <v>14306</v>
      </c>
      <c r="G1917" s="615" t="s">
        <v>137</v>
      </c>
      <c r="H1917" s="498">
        <f>55.1-55.1</f>
        <v>0</v>
      </c>
      <c r="I1917" s="1178"/>
      <c r="J1917" s="437">
        <f>5359228.2-5359228.2</f>
        <v>0</v>
      </c>
      <c r="K1917" s="437">
        <f>627082.63-627082.63</f>
        <v>0</v>
      </c>
    </row>
    <row r="1918" spans="1:11" x14ac:dyDescent="0.2">
      <c r="A1918" s="865" t="s">
        <v>14307</v>
      </c>
      <c r="B1918" s="833" t="s">
        <v>295</v>
      </c>
      <c r="C1918" s="1202"/>
      <c r="D1918" s="1178"/>
      <c r="E1918" s="451">
        <v>4</v>
      </c>
      <c r="F1918" s="178" t="s">
        <v>14309</v>
      </c>
      <c r="G1918" s="615" t="s">
        <v>512</v>
      </c>
      <c r="H1918" s="498">
        <v>86.7</v>
      </c>
      <c r="I1918" s="1178"/>
      <c r="J1918" s="437">
        <v>8610642.9000000004</v>
      </c>
      <c r="K1918" s="437">
        <v>986716.23</v>
      </c>
    </row>
    <row r="1919" spans="1:11" x14ac:dyDescent="0.2">
      <c r="A1919" s="865" t="s">
        <v>14308</v>
      </c>
      <c r="B1919" s="833" t="s">
        <v>295</v>
      </c>
      <c r="C1919" s="1203"/>
      <c r="D1919" s="1179"/>
      <c r="E1919" s="451">
        <v>7</v>
      </c>
      <c r="F1919" s="178" t="s">
        <v>14310</v>
      </c>
      <c r="G1919" s="615" t="s">
        <v>128</v>
      </c>
      <c r="H1919" s="498">
        <v>87.7</v>
      </c>
      <c r="I1919" s="1179"/>
      <c r="J1919" s="437">
        <v>8193529.2000000002</v>
      </c>
      <c r="K1919" s="437">
        <v>998097.04</v>
      </c>
    </row>
    <row r="1920" spans="1:11" ht="39" customHeight="1" x14ac:dyDescent="0.2">
      <c r="A1920" s="409" t="s">
        <v>1251</v>
      </c>
      <c r="B1920" s="722"/>
      <c r="C1920" s="1183" t="s">
        <v>11451</v>
      </c>
      <c r="D1920" s="1223">
        <v>8</v>
      </c>
      <c r="E1920" s="451"/>
      <c r="F1920" s="178" t="s">
        <v>366</v>
      </c>
      <c r="G1920" s="722" t="s">
        <v>2912</v>
      </c>
      <c r="H1920" s="437">
        <f>137.8-137.8</f>
        <v>0</v>
      </c>
      <c r="I1920" s="1223">
        <v>2012</v>
      </c>
      <c r="J1920" s="437">
        <f>4389581-4389581</f>
        <v>0</v>
      </c>
      <c r="K1920" s="437"/>
    </row>
    <row r="1921" spans="1:11" x14ac:dyDescent="0.2">
      <c r="A1921" s="722" t="s">
        <v>2907</v>
      </c>
      <c r="B1921" s="722" t="s">
        <v>295</v>
      </c>
      <c r="C1921" s="1183"/>
      <c r="D1921" s="1223"/>
      <c r="E1921" s="451">
        <v>2</v>
      </c>
      <c r="F1921" s="38" t="s">
        <v>10325</v>
      </c>
      <c r="G1921" s="722" t="s">
        <v>137</v>
      </c>
      <c r="H1921" s="437">
        <v>34.9</v>
      </c>
      <c r="I1921" s="1223"/>
      <c r="J1921" s="437">
        <f>4389581/137.8*H1921</f>
        <v>1111729.8759071117</v>
      </c>
      <c r="K1921" s="437">
        <v>501506.02</v>
      </c>
    </row>
    <row r="1922" spans="1:11" x14ac:dyDescent="0.2">
      <c r="A1922" s="722" t="s">
        <v>2908</v>
      </c>
      <c r="B1922" s="722" t="s">
        <v>295</v>
      </c>
      <c r="C1922" s="1183"/>
      <c r="D1922" s="1223"/>
      <c r="E1922" s="451">
        <v>3</v>
      </c>
      <c r="F1922" s="38" t="s">
        <v>10326</v>
      </c>
      <c r="G1922" s="722" t="s">
        <v>137</v>
      </c>
      <c r="H1922" s="437">
        <v>34.6</v>
      </c>
      <c r="I1922" s="1223"/>
      <c r="J1922" s="437">
        <f>4389581/137.8*H1925</f>
        <v>1095802.5137880987</v>
      </c>
      <c r="K1922" s="437">
        <v>497195.08</v>
      </c>
    </row>
    <row r="1923" spans="1:11" x14ac:dyDescent="0.2">
      <c r="A1923" s="722" t="s">
        <v>2909</v>
      </c>
      <c r="B1923" s="722" t="s">
        <v>295</v>
      </c>
      <c r="C1923" s="1183"/>
      <c r="D1923" s="1223"/>
      <c r="E1923" s="451">
        <v>4</v>
      </c>
      <c r="F1923" s="38" t="s">
        <v>10327</v>
      </c>
      <c r="G1923" s="722" t="s">
        <v>137</v>
      </c>
      <c r="H1923" s="437">
        <v>34.5</v>
      </c>
      <c r="I1923" s="1223"/>
      <c r="J1923" s="437">
        <f>4389581/137.81*H1926</f>
        <v>1089352.5157825993</v>
      </c>
      <c r="K1923" s="437">
        <v>495758.1</v>
      </c>
    </row>
    <row r="1924" spans="1:11" ht="36.75" customHeight="1" x14ac:dyDescent="0.2">
      <c r="A1924" s="409" t="s">
        <v>1252</v>
      </c>
      <c r="B1924" s="722"/>
      <c r="C1924" s="1183" t="s">
        <v>11452</v>
      </c>
      <c r="D1924" s="1223">
        <v>6</v>
      </c>
      <c r="E1924" s="451"/>
      <c r="F1924" s="178" t="s">
        <v>367</v>
      </c>
      <c r="G1924" s="722" t="s">
        <v>368</v>
      </c>
      <c r="H1924" s="437">
        <f>138.5-138.5</f>
        <v>0</v>
      </c>
      <c r="I1924" s="1223">
        <v>2012</v>
      </c>
      <c r="J1924" s="437">
        <f>4389581-4389581</f>
        <v>0</v>
      </c>
      <c r="K1924" s="437"/>
    </row>
    <row r="1925" spans="1:11" ht="16.5" customHeight="1" x14ac:dyDescent="0.2">
      <c r="A1925" s="722" t="s">
        <v>2910</v>
      </c>
      <c r="B1925" s="722" t="s">
        <v>295</v>
      </c>
      <c r="C1925" s="1183"/>
      <c r="D1925" s="1223"/>
      <c r="E1925" s="451">
        <v>3</v>
      </c>
      <c r="F1925" s="178" t="s">
        <v>3665</v>
      </c>
      <c r="G1925" s="722" t="s">
        <v>137</v>
      </c>
      <c r="H1925" s="437">
        <v>34.4</v>
      </c>
      <c r="I1925" s="1223"/>
      <c r="J1925" s="437">
        <f>4389581/138.5*H1925</f>
        <v>1090264.161732852</v>
      </c>
      <c r="K1925" s="437">
        <v>494321.12</v>
      </c>
    </row>
    <row r="1926" spans="1:11" ht="17.25" customHeight="1" x14ac:dyDescent="0.2">
      <c r="A1926" s="722" t="s">
        <v>2911</v>
      </c>
      <c r="B1926" s="722" t="s">
        <v>295</v>
      </c>
      <c r="C1926" s="1183"/>
      <c r="D1926" s="1223"/>
      <c r="E1926" s="451">
        <v>4</v>
      </c>
      <c r="F1926" s="178" t="s">
        <v>3666</v>
      </c>
      <c r="G1926" s="722" t="s">
        <v>137</v>
      </c>
      <c r="H1926" s="437">
        <v>34.200000000000003</v>
      </c>
      <c r="I1926" s="1223"/>
      <c r="J1926" s="437">
        <f>4389581/138.5*H1926</f>
        <v>1083925.4166064982</v>
      </c>
      <c r="K1926" s="437">
        <v>491447.16</v>
      </c>
    </row>
    <row r="1927" spans="1:11" ht="25.5" customHeight="1" x14ac:dyDescent="0.2">
      <c r="A1927" s="410" t="s">
        <v>1253</v>
      </c>
      <c r="B1927" s="347"/>
      <c r="C1927" s="1201" t="s">
        <v>11453</v>
      </c>
      <c r="D1927" s="1177">
        <v>13</v>
      </c>
      <c r="E1927" s="347"/>
      <c r="F1927" s="347" t="s">
        <v>2595</v>
      </c>
      <c r="G1927" s="722" t="s">
        <v>2596</v>
      </c>
      <c r="H1927" s="437">
        <f>1135-1135</f>
        <v>0</v>
      </c>
      <c r="I1927" s="1177">
        <v>2012</v>
      </c>
      <c r="J1927" s="437">
        <f>28513457-28513457</f>
        <v>0</v>
      </c>
      <c r="K1927" s="437"/>
    </row>
    <row r="1928" spans="1:11" x14ac:dyDescent="0.2">
      <c r="A1928" s="411" t="s">
        <v>2615</v>
      </c>
      <c r="B1928" s="347" t="s">
        <v>295</v>
      </c>
      <c r="C1928" s="1202"/>
      <c r="D1928" s="1178"/>
      <c r="E1928" s="451">
        <v>12</v>
      </c>
      <c r="F1928" s="178" t="s">
        <v>10328</v>
      </c>
      <c r="G1928" s="722"/>
      <c r="H1928" s="437">
        <v>59.2</v>
      </c>
      <c r="I1928" s="1178"/>
      <c r="J1928" s="437">
        <f t="shared" ref="J1928:J1929" si="15">28513457/1135*H1928</f>
        <v>1487221.721938326</v>
      </c>
      <c r="K1928" s="437"/>
    </row>
    <row r="1929" spans="1:11" x14ac:dyDescent="0.2">
      <c r="A1929" s="411" t="s">
        <v>2616</v>
      </c>
      <c r="B1929" s="347" t="s">
        <v>295</v>
      </c>
      <c r="C1929" s="1202"/>
      <c r="D1929" s="1178"/>
      <c r="E1929" s="451">
        <v>13</v>
      </c>
      <c r="F1929" s="178" t="s">
        <v>3831</v>
      </c>
      <c r="G1929" s="722" t="s">
        <v>137</v>
      </c>
      <c r="H1929" s="437">
        <f>41.2</f>
        <v>41.2</v>
      </c>
      <c r="I1929" s="1178"/>
      <c r="J1929" s="437">
        <f t="shared" si="15"/>
        <v>1035025.928105727</v>
      </c>
      <c r="K1929" s="437"/>
    </row>
    <row r="1930" spans="1:11" ht="12.75" customHeight="1" x14ac:dyDescent="0.2">
      <c r="A1930" s="347" t="s">
        <v>10654</v>
      </c>
      <c r="B1930" s="347" t="s">
        <v>295</v>
      </c>
      <c r="C1930" s="1202"/>
      <c r="D1930" s="1178"/>
      <c r="E1930" s="451">
        <v>6</v>
      </c>
      <c r="F1930" s="178" t="s">
        <v>10655</v>
      </c>
      <c r="G1930" s="722" t="s">
        <v>512</v>
      </c>
      <c r="H1930" s="437">
        <v>43.7</v>
      </c>
      <c r="I1930" s="1178"/>
      <c r="J1930" s="437">
        <v>1153053</v>
      </c>
      <c r="K1930" s="437">
        <v>546862.24</v>
      </c>
    </row>
    <row r="1931" spans="1:11" ht="12.75" customHeight="1" x14ac:dyDescent="0.2">
      <c r="A1931" s="347" t="s">
        <v>10750</v>
      </c>
      <c r="B1931" s="347" t="s">
        <v>295</v>
      </c>
      <c r="C1931" s="1202"/>
      <c r="D1931" s="1178"/>
      <c r="E1931" s="451">
        <v>7</v>
      </c>
      <c r="F1931" s="38" t="s">
        <v>10751</v>
      </c>
      <c r="G1931" s="722" t="s">
        <v>512</v>
      </c>
      <c r="H1931" s="498">
        <v>41.2</v>
      </c>
      <c r="I1931" s="1178"/>
      <c r="J1931" s="437">
        <v>1153053</v>
      </c>
      <c r="K1931" s="437">
        <v>515577.21</v>
      </c>
    </row>
    <row r="1932" spans="1:11" ht="12.75" customHeight="1" x14ac:dyDescent="0.2">
      <c r="A1932" s="347" t="s">
        <v>11721</v>
      </c>
      <c r="B1932" s="347" t="s">
        <v>295</v>
      </c>
      <c r="C1932" s="1202"/>
      <c r="D1932" s="1178"/>
      <c r="E1932" s="451">
        <v>17</v>
      </c>
      <c r="F1932" s="178" t="s">
        <v>11722</v>
      </c>
      <c r="G1932" s="722" t="s">
        <v>512</v>
      </c>
      <c r="H1932" s="498">
        <f>41.3</f>
        <v>41.3</v>
      </c>
      <c r="I1932" s="1178"/>
      <c r="J1932" s="437">
        <v>1200144</v>
      </c>
      <c r="K1932" s="437">
        <v>516828.61</v>
      </c>
    </row>
    <row r="1933" spans="1:11" ht="12.75" customHeight="1" x14ac:dyDescent="0.2">
      <c r="A1933" s="865" t="s">
        <v>14295</v>
      </c>
      <c r="B1933" s="833" t="s">
        <v>295</v>
      </c>
      <c r="C1933" s="1202"/>
      <c r="D1933" s="1178"/>
      <c r="E1933" s="451">
        <v>19</v>
      </c>
      <c r="F1933" s="178" t="s">
        <v>14296</v>
      </c>
      <c r="G1933" s="615" t="s">
        <v>512</v>
      </c>
      <c r="H1933" s="498">
        <v>43.9</v>
      </c>
      <c r="I1933" s="1178"/>
      <c r="J1933" s="437">
        <v>4756608.9000000004</v>
      </c>
      <c r="K1933" s="437">
        <v>549365.04</v>
      </c>
    </row>
    <row r="1934" spans="1:11" ht="12.75" customHeight="1" x14ac:dyDescent="0.2">
      <c r="A1934" s="865" t="s">
        <v>14352</v>
      </c>
      <c r="B1934" s="833" t="s">
        <v>295</v>
      </c>
      <c r="C1934" s="1203"/>
      <c r="D1934" s="1179"/>
      <c r="E1934" s="451">
        <v>18</v>
      </c>
      <c r="F1934" s="869" t="s">
        <v>14353</v>
      </c>
      <c r="G1934" s="869" t="s">
        <v>512</v>
      </c>
      <c r="H1934" s="874">
        <v>44.3</v>
      </c>
      <c r="I1934" s="1179"/>
      <c r="J1934" s="437">
        <v>3785355.2</v>
      </c>
      <c r="K1934" s="437">
        <v>554370.64</v>
      </c>
    </row>
    <row r="1935" spans="1:11" ht="12.75" customHeight="1" x14ac:dyDescent="0.2">
      <c r="A1935" s="410" t="s">
        <v>2897</v>
      </c>
      <c r="B1935" s="432"/>
      <c r="C1935" s="1201" t="s">
        <v>11454</v>
      </c>
      <c r="D1935" s="1177" t="s">
        <v>2898</v>
      </c>
      <c r="E1935" s="451"/>
      <c r="F1935" s="178"/>
      <c r="G1935" s="722"/>
      <c r="H1935" s="271">
        <f>1042-1042</f>
        <v>0</v>
      </c>
      <c r="I1935" s="1175">
        <v>2013</v>
      </c>
      <c r="J1935" s="271">
        <f>32390995-32390995</f>
        <v>0</v>
      </c>
      <c r="K1935" s="271">
        <v>27155742.420000002</v>
      </c>
    </row>
    <row r="1936" spans="1:11" ht="12" customHeight="1" x14ac:dyDescent="0.2">
      <c r="A1936" s="411" t="s">
        <v>3318</v>
      </c>
      <c r="B1936" s="432" t="s">
        <v>295</v>
      </c>
      <c r="C1936" s="1202"/>
      <c r="D1936" s="1178"/>
      <c r="E1936" s="330">
        <v>11</v>
      </c>
      <c r="F1936" s="178" t="s">
        <v>3395</v>
      </c>
      <c r="G1936" s="722" t="s">
        <v>137</v>
      </c>
      <c r="H1936" s="271">
        <v>52.3</v>
      </c>
      <c r="I1936" s="1176"/>
      <c r="J1936" s="271">
        <v>1480011</v>
      </c>
      <c r="K1936" s="271">
        <v>592102.47</v>
      </c>
    </row>
    <row r="1937" spans="1:11" ht="14.25" customHeight="1" x14ac:dyDescent="0.2">
      <c r="A1937" s="411" t="s">
        <v>14110</v>
      </c>
      <c r="B1937" s="432" t="s">
        <v>295</v>
      </c>
      <c r="C1937" s="1203"/>
      <c r="D1937" s="1179"/>
      <c r="E1937" s="330">
        <v>1</v>
      </c>
      <c r="F1937" s="178" t="s">
        <v>14111</v>
      </c>
      <c r="G1937" s="844" t="s">
        <v>137</v>
      </c>
      <c r="H1937" s="271">
        <v>70.3</v>
      </c>
      <c r="I1937" s="1188"/>
      <c r="J1937" s="271">
        <v>6600000</v>
      </c>
      <c r="K1937" s="271">
        <v>873148.5</v>
      </c>
    </row>
    <row r="1938" spans="1:11" ht="24" customHeight="1" x14ac:dyDescent="0.2">
      <c r="A1938" s="410" t="s">
        <v>3837</v>
      </c>
      <c r="B1938" s="432" t="s">
        <v>4167</v>
      </c>
      <c r="C1938" s="1147" t="s">
        <v>11455</v>
      </c>
      <c r="D1938" s="1150">
        <v>42</v>
      </c>
      <c r="E1938" s="347" t="s">
        <v>4168</v>
      </c>
      <c r="F1938" s="347" t="s">
        <v>5390</v>
      </c>
      <c r="G1938" s="722"/>
      <c r="H1938" s="499">
        <f>810.3-H1939-H1940-H1941-H1942-H1943-H1944-H1945-H1946-H1947-H1948-H1949-H1950-H1951-H1952-H1953-H1954-H1955-H1956-H1957</f>
        <v>100.99999999999994</v>
      </c>
      <c r="I1938" s="1168">
        <v>1974</v>
      </c>
      <c r="J1938" s="500">
        <f>369606.3-J1939-J1940-J1941-J1942-J1943-J1944-J1945-J1946-J1947-J1948-J1949-J1950-J1951-J1952-J1953-J1954-J1955-J1956-J1957</f>
        <v>46069.648648648683</v>
      </c>
      <c r="K1938" s="437"/>
    </row>
    <row r="1939" spans="1:11" x14ac:dyDescent="0.2">
      <c r="A1939" s="411" t="s">
        <v>3838</v>
      </c>
      <c r="B1939" s="432" t="s">
        <v>295</v>
      </c>
      <c r="C1939" s="1148"/>
      <c r="D1939" s="1151"/>
      <c r="E1939" s="432">
        <v>201</v>
      </c>
      <c r="F1939" s="520" t="s">
        <v>13514</v>
      </c>
      <c r="G1939" s="520" t="s">
        <v>13515</v>
      </c>
      <c r="H1939" s="443">
        <v>27.6</v>
      </c>
      <c r="I1939" s="1169"/>
      <c r="J1939" s="437">
        <f>369606.3/810.3*H1939</f>
        <v>12589.32972972973</v>
      </c>
      <c r="K1939" s="443">
        <v>529425.41</v>
      </c>
    </row>
    <row r="1940" spans="1:11" x14ac:dyDescent="0.2">
      <c r="A1940" s="411" t="s">
        <v>4172</v>
      </c>
      <c r="B1940" s="432" t="s">
        <v>295</v>
      </c>
      <c r="C1940" s="1148"/>
      <c r="D1940" s="1151"/>
      <c r="E1940" s="432">
        <v>202</v>
      </c>
      <c r="F1940" s="520" t="s">
        <v>13516</v>
      </c>
      <c r="G1940" s="701" t="s">
        <v>13517</v>
      </c>
      <c r="H1940" s="443">
        <v>46.5</v>
      </c>
      <c r="I1940" s="1169"/>
      <c r="J1940" s="437">
        <f t="shared" ref="J1940:J1952" si="16">369606.3/810.3*H1940</f>
        <v>21210.283783783783</v>
      </c>
      <c r="K1940" s="443">
        <v>891966.72</v>
      </c>
    </row>
    <row r="1941" spans="1:11" x14ac:dyDescent="0.2">
      <c r="A1941" s="411" t="s">
        <v>4173</v>
      </c>
      <c r="B1941" s="432" t="s">
        <v>295</v>
      </c>
      <c r="C1941" s="1148"/>
      <c r="D1941" s="1151"/>
      <c r="E1941" s="432">
        <v>203</v>
      </c>
      <c r="F1941" s="520" t="s">
        <v>13518</v>
      </c>
      <c r="G1941" s="520" t="s">
        <v>13519</v>
      </c>
      <c r="H1941" s="443">
        <v>23.6</v>
      </c>
      <c r="I1941" s="1169"/>
      <c r="J1941" s="437">
        <f t="shared" si="16"/>
        <v>10764.78918918919</v>
      </c>
      <c r="K1941" s="443">
        <v>452697.09</v>
      </c>
    </row>
    <row r="1942" spans="1:11" x14ac:dyDescent="0.2">
      <c r="A1942" s="411" t="s">
        <v>4174</v>
      </c>
      <c r="B1942" s="432" t="s">
        <v>295</v>
      </c>
      <c r="C1942" s="1148"/>
      <c r="D1942" s="1151"/>
      <c r="E1942" s="432">
        <v>204</v>
      </c>
      <c r="F1942" s="520" t="s">
        <v>13520</v>
      </c>
      <c r="G1942" s="520" t="s">
        <v>13521</v>
      </c>
      <c r="H1942" s="443">
        <v>30.3</v>
      </c>
      <c r="I1942" s="1169"/>
      <c r="J1942" s="437">
        <f t="shared" si="16"/>
        <v>13820.894594594596</v>
      </c>
      <c r="K1942" s="443">
        <v>581217.02</v>
      </c>
    </row>
    <row r="1943" spans="1:11" x14ac:dyDescent="0.2">
      <c r="A1943" s="411" t="s">
        <v>4985</v>
      </c>
      <c r="B1943" s="432" t="s">
        <v>295</v>
      </c>
      <c r="C1943" s="1148"/>
      <c r="D1943" s="1151"/>
      <c r="E1943" s="432">
        <v>205</v>
      </c>
      <c r="F1943" s="520" t="s">
        <v>13522</v>
      </c>
      <c r="G1943" s="520" t="s">
        <v>13521</v>
      </c>
      <c r="H1943" s="443">
        <v>29.2</v>
      </c>
      <c r="I1943" s="1169"/>
      <c r="J1943" s="437">
        <f t="shared" si="16"/>
        <v>13319.145945945946</v>
      </c>
      <c r="K1943" s="443">
        <v>560116.74</v>
      </c>
    </row>
    <row r="1944" spans="1:11" x14ac:dyDescent="0.2">
      <c r="A1944" s="411" t="s">
        <v>4986</v>
      </c>
      <c r="B1944" s="432" t="s">
        <v>295</v>
      </c>
      <c r="C1944" s="1148"/>
      <c r="D1944" s="1151"/>
      <c r="E1944" s="432">
        <v>206</v>
      </c>
      <c r="F1944" s="520" t="s">
        <v>13523</v>
      </c>
      <c r="G1944" s="433" t="s">
        <v>13069</v>
      </c>
      <c r="H1944" s="443">
        <v>29.2</v>
      </c>
      <c r="I1944" s="1169"/>
      <c r="J1944" s="437">
        <f t="shared" si="16"/>
        <v>13319.145945945946</v>
      </c>
      <c r="K1944" s="443">
        <v>560116.74</v>
      </c>
    </row>
    <row r="1945" spans="1:11" x14ac:dyDescent="0.2">
      <c r="A1945" s="411" t="s">
        <v>4987</v>
      </c>
      <c r="B1945" s="432" t="s">
        <v>295</v>
      </c>
      <c r="C1945" s="1148"/>
      <c r="D1945" s="1151"/>
      <c r="E1945" s="432">
        <v>208</v>
      </c>
      <c r="F1945" s="520" t="s">
        <v>13524</v>
      </c>
      <c r="G1945" s="520" t="s">
        <v>13525</v>
      </c>
      <c r="H1945" s="443">
        <v>46.3</v>
      </c>
      <c r="I1945" s="1169"/>
      <c r="J1945" s="437">
        <f t="shared" si="16"/>
        <v>21119.056756756756</v>
      </c>
      <c r="K1945" s="443">
        <v>888130.3</v>
      </c>
    </row>
    <row r="1946" spans="1:11" x14ac:dyDescent="0.2">
      <c r="A1946" s="411" t="s">
        <v>4988</v>
      </c>
      <c r="B1946" s="432" t="s">
        <v>295</v>
      </c>
      <c r="C1946" s="1148"/>
      <c r="D1946" s="1151"/>
      <c r="E1946" s="432">
        <v>302</v>
      </c>
      <c r="F1946" s="520" t="s">
        <v>13526</v>
      </c>
      <c r="G1946" s="432" t="s">
        <v>13070</v>
      </c>
      <c r="H1946" s="443">
        <v>22.6</v>
      </c>
      <c r="I1946" s="1169"/>
      <c r="J1946" s="437">
        <f t="shared" si="16"/>
        <v>10308.654054054055</v>
      </c>
      <c r="K1946" s="443">
        <v>433515.01</v>
      </c>
    </row>
    <row r="1947" spans="1:11" x14ac:dyDescent="0.2">
      <c r="A1947" s="411" t="s">
        <v>4989</v>
      </c>
      <c r="B1947" s="432" t="s">
        <v>295</v>
      </c>
      <c r="C1947" s="1148"/>
      <c r="D1947" s="1151"/>
      <c r="E1947" s="432">
        <v>306</v>
      </c>
      <c r="F1947" s="520" t="s">
        <v>13527</v>
      </c>
      <c r="G1947" s="701" t="s">
        <v>13528</v>
      </c>
      <c r="H1947" s="443">
        <v>65.400000000000006</v>
      </c>
      <c r="I1947" s="1169"/>
      <c r="J1947" s="437">
        <f t="shared" si="16"/>
        <v>29831.237837837842</v>
      </c>
      <c r="K1947" s="443">
        <v>1235325.95</v>
      </c>
    </row>
    <row r="1948" spans="1:11" x14ac:dyDescent="0.2">
      <c r="A1948" s="411" t="s">
        <v>5904</v>
      </c>
      <c r="B1948" s="432" t="s">
        <v>295</v>
      </c>
      <c r="C1948" s="1148"/>
      <c r="D1948" s="1151"/>
      <c r="E1948" s="432">
        <v>209</v>
      </c>
      <c r="F1948" s="520" t="s">
        <v>13529</v>
      </c>
      <c r="G1948" s="520" t="s">
        <v>13530</v>
      </c>
      <c r="H1948" s="443">
        <v>46.8</v>
      </c>
      <c r="I1948" s="1169"/>
      <c r="J1948" s="437">
        <f t="shared" si="16"/>
        <v>21347.124324324323</v>
      </c>
      <c r="K1948" s="443">
        <v>897721.34</v>
      </c>
    </row>
    <row r="1949" spans="1:11" x14ac:dyDescent="0.2">
      <c r="A1949" s="411" t="s">
        <v>5905</v>
      </c>
      <c r="B1949" s="432" t="s">
        <v>295</v>
      </c>
      <c r="C1949" s="1148"/>
      <c r="D1949" s="1151"/>
      <c r="E1949" s="432">
        <v>308</v>
      </c>
      <c r="F1949" s="520" t="s">
        <v>13531</v>
      </c>
      <c r="G1949" s="701" t="s">
        <v>13532</v>
      </c>
      <c r="H1949" s="443">
        <v>62.7</v>
      </c>
      <c r="I1949" s="1169"/>
      <c r="J1949" s="437">
        <f t="shared" si="16"/>
        <v>28599.672972972974</v>
      </c>
      <c r="K1949" s="443">
        <v>1202716.42</v>
      </c>
    </row>
    <row r="1950" spans="1:11" x14ac:dyDescent="0.2">
      <c r="A1950" s="411" t="s">
        <v>5925</v>
      </c>
      <c r="B1950" s="432" t="s">
        <v>295</v>
      </c>
      <c r="C1950" s="1148"/>
      <c r="D1950" s="1151"/>
      <c r="E1950" s="432">
        <v>210</v>
      </c>
      <c r="F1950" s="520" t="s">
        <v>13533</v>
      </c>
      <c r="G1950" s="520" t="s">
        <v>13534</v>
      </c>
      <c r="H1950" s="443">
        <v>41.4</v>
      </c>
      <c r="I1950" s="1169"/>
      <c r="J1950" s="437">
        <f t="shared" si="16"/>
        <v>18883.994594594595</v>
      </c>
      <c r="K1950" s="443">
        <v>794138.11</v>
      </c>
    </row>
    <row r="1951" spans="1:11" x14ac:dyDescent="0.2">
      <c r="A1951" s="411" t="s">
        <v>5926</v>
      </c>
      <c r="B1951" s="432" t="s">
        <v>295</v>
      </c>
      <c r="C1951" s="1148"/>
      <c r="D1951" s="1151"/>
      <c r="E1951" s="432">
        <v>304</v>
      </c>
      <c r="F1951" s="520" t="s">
        <v>13535</v>
      </c>
      <c r="G1951" s="520" t="s">
        <v>13536</v>
      </c>
      <c r="H1951" s="443">
        <v>35.200000000000003</v>
      </c>
      <c r="I1951" s="1169"/>
      <c r="J1951" s="437">
        <f t="shared" si="16"/>
        <v>16055.956756756759</v>
      </c>
      <c r="K1951" s="443">
        <v>675209.22</v>
      </c>
    </row>
    <row r="1952" spans="1:11" x14ac:dyDescent="0.2">
      <c r="A1952" s="411" t="s">
        <v>5992</v>
      </c>
      <c r="B1952" s="432" t="s">
        <v>295</v>
      </c>
      <c r="C1952" s="1148"/>
      <c r="D1952" s="1151"/>
      <c r="E1952" s="432">
        <v>309</v>
      </c>
      <c r="F1952" s="520" t="s">
        <v>13130</v>
      </c>
      <c r="G1952" s="520" t="s">
        <v>13537</v>
      </c>
      <c r="H1952" s="443">
        <v>43.7</v>
      </c>
      <c r="I1952" s="1169"/>
      <c r="J1952" s="437">
        <f t="shared" si="16"/>
        <v>19933.105405405408</v>
      </c>
      <c r="K1952" s="443">
        <v>838256.9</v>
      </c>
    </row>
    <row r="1953" spans="1:11" x14ac:dyDescent="0.2">
      <c r="A1953" s="411" t="s">
        <v>6555</v>
      </c>
      <c r="B1953" s="432" t="s">
        <v>295</v>
      </c>
      <c r="C1953" s="1148"/>
      <c r="D1953" s="1151"/>
      <c r="E1953" s="432">
        <v>207</v>
      </c>
      <c r="F1953" s="520" t="s">
        <v>13538</v>
      </c>
      <c r="G1953" s="520" t="s">
        <v>13539</v>
      </c>
      <c r="H1953" s="443">
        <v>30.9</v>
      </c>
      <c r="I1953" s="1169"/>
      <c r="J1953" s="437">
        <f>369606.3/810.3*H1953</f>
        <v>14094.575675675676</v>
      </c>
      <c r="K1953" s="443">
        <v>592726.27</v>
      </c>
    </row>
    <row r="1954" spans="1:11" x14ac:dyDescent="0.2">
      <c r="A1954" s="411" t="s">
        <v>6851</v>
      </c>
      <c r="B1954" s="432" t="s">
        <v>295</v>
      </c>
      <c r="C1954" s="1148"/>
      <c r="D1954" s="1151"/>
      <c r="E1954" s="432">
        <v>303</v>
      </c>
      <c r="F1954" s="520" t="s">
        <v>13133</v>
      </c>
      <c r="G1954" s="520" t="s">
        <v>13540</v>
      </c>
      <c r="H1954" s="443">
        <v>22.4</v>
      </c>
      <c r="I1954" s="1169"/>
      <c r="J1954" s="437">
        <f>369606.3/810.3*H1954</f>
        <v>10217.427027027026</v>
      </c>
      <c r="K1954" s="443">
        <v>429678.59</v>
      </c>
    </row>
    <row r="1955" spans="1:11" x14ac:dyDescent="0.2">
      <c r="A1955" s="411" t="s">
        <v>7658</v>
      </c>
      <c r="B1955" s="432" t="s">
        <v>295</v>
      </c>
      <c r="C1955" s="1148"/>
      <c r="D1955" s="1151"/>
      <c r="E1955" s="432">
        <v>307</v>
      </c>
      <c r="F1955" s="520" t="s">
        <v>13131</v>
      </c>
      <c r="G1955" s="520" t="s">
        <v>13541</v>
      </c>
      <c r="H1955" s="443">
        <v>45.5</v>
      </c>
      <c r="I1955" s="1169"/>
      <c r="J1955" s="437">
        <f>369606.3/810.3*H1955</f>
        <v>20754.14864864865</v>
      </c>
      <c r="K1955" s="443">
        <v>872784.64</v>
      </c>
    </row>
    <row r="1956" spans="1:11" x14ac:dyDescent="0.2">
      <c r="A1956" s="411" t="s">
        <v>7805</v>
      </c>
      <c r="B1956" s="432" t="s">
        <v>295</v>
      </c>
      <c r="C1956" s="1148"/>
      <c r="D1956" s="1151"/>
      <c r="E1956" s="432">
        <v>301</v>
      </c>
      <c r="F1956" s="520" t="s">
        <v>13134</v>
      </c>
      <c r="G1956" s="520" t="s">
        <v>13542</v>
      </c>
      <c r="H1956" s="443">
        <v>23</v>
      </c>
      <c r="I1956" s="1169"/>
      <c r="J1956" s="437">
        <f>369606.3/810.3*H1956</f>
        <v>10491.108108108108</v>
      </c>
      <c r="K1956" s="443">
        <v>441187.84000000003</v>
      </c>
    </row>
    <row r="1957" spans="1:11" x14ac:dyDescent="0.2">
      <c r="A1957" s="411" t="s">
        <v>7806</v>
      </c>
      <c r="B1957" s="432" t="s">
        <v>295</v>
      </c>
      <c r="C1957" s="1149"/>
      <c r="D1957" s="1151"/>
      <c r="E1957" s="432">
        <v>305</v>
      </c>
      <c r="F1957" s="520" t="s">
        <v>13132</v>
      </c>
      <c r="G1957" s="520" t="s">
        <v>13543</v>
      </c>
      <c r="H1957" s="443">
        <v>37</v>
      </c>
      <c r="I1957" s="1169"/>
      <c r="J1957" s="437">
        <f>369606.3/810.3*H1957</f>
        <v>16877</v>
      </c>
      <c r="K1957" s="443">
        <v>70973.960000000006</v>
      </c>
    </row>
    <row r="1958" spans="1:11" ht="15" customHeight="1" x14ac:dyDescent="0.2">
      <c r="A1958" s="347" t="s">
        <v>10930</v>
      </c>
      <c r="B1958" s="347" t="s">
        <v>295</v>
      </c>
      <c r="C1958" s="1147" t="s">
        <v>11596</v>
      </c>
      <c r="D1958" s="1151"/>
      <c r="E1958" s="451">
        <v>102</v>
      </c>
      <c r="F1958" s="178" t="s">
        <v>10931</v>
      </c>
      <c r="G1958" s="722" t="s">
        <v>137</v>
      </c>
      <c r="H1958" s="501">
        <v>30.9</v>
      </c>
      <c r="I1958" s="1169"/>
      <c r="J1958" s="437">
        <v>1079676.8999999999</v>
      </c>
      <c r="K1958" s="502">
        <v>592726.27</v>
      </c>
    </row>
    <row r="1959" spans="1:11" x14ac:dyDescent="0.2">
      <c r="A1959" s="347" t="s">
        <v>10932</v>
      </c>
      <c r="B1959" s="347" t="s">
        <v>295</v>
      </c>
      <c r="C1959" s="1148"/>
      <c r="D1959" s="1151"/>
      <c r="E1959" s="451">
        <v>103</v>
      </c>
      <c r="F1959" s="178" t="s">
        <v>10933</v>
      </c>
      <c r="G1959" s="722" t="s">
        <v>137</v>
      </c>
      <c r="H1959" s="501">
        <v>32</v>
      </c>
      <c r="I1959" s="1169"/>
      <c r="J1959" s="437">
        <v>1118112</v>
      </c>
      <c r="K1959" s="502">
        <v>613826.56000000006</v>
      </c>
    </row>
    <row r="1960" spans="1:11" x14ac:dyDescent="0.2">
      <c r="A1960" s="347" t="s">
        <v>10934</v>
      </c>
      <c r="B1960" s="347" t="s">
        <v>295</v>
      </c>
      <c r="C1960" s="1148"/>
      <c r="D1960" s="1151"/>
      <c r="E1960" s="451">
        <v>104</v>
      </c>
      <c r="F1960" s="178" t="s">
        <v>10935</v>
      </c>
      <c r="G1960" s="722" t="s">
        <v>137</v>
      </c>
      <c r="H1960" s="501">
        <f>35.9-35.9</f>
        <v>0</v>
      </c>
      <c r="I1960" s="1169"/>
      <c r="J1960" s="437">
        <f>1153053-1153053</f>
        <v>0</v>
      </c>
      <c r="K1960" s="502"/>
    </row>
    <row r="1961" spans="1:11" x14ac:dyDescent="0.2">
      <c r="A1961" s="347" t="s">
        <v>10936</v>
      </c>
      <c r="B1961" s="347" t="s">
        <v>295</v>
      </c>
      <c r="C1961" s="1148"/>
      <c r="D1961" s="1151"/>
      <c r="E1961" s="451">
        <v>106</v>
      </c>
      <c r="F1961" s="178" t="s">
        <v>10937</v>
      </c>
      <c r="G1961" s="722" t="s">
        <v>137</v>
      </c>
      <c r="H1961" s="501">
        <f>32.2-32.2</f>
        <v>0</v>
      </c>
      <c r="I1961" s="1169"/>
      <c r="J1961" s="437">
        <f>1125100.2-1125100.2</f>
        <v>0</v>
      </c>
      <c r="K1961" s="443"/>
    </row>
    <row r="1962" spans="1:11" x14ac:dyDescent="0.2">
      <c r="A1962" s="347" t="s">
        <v>10938</v>
      </c>
      <c r="B1962" s="347" t="s">
        <v>295</v>
      </c>
      <c r="C1962" s="1148"/>
      <c r="D1962" s="1151"/>
      <c r="E1962" s="451">
        <v>107</v>
      </c>
      <c r="F1962" s="178" t="s">
        <v>10939</v>
      </c>
      <c r="G1962" s="722" t="s">
        <v>137</v>
      </c>
      <c r="H1962" s="501">
        <v>37.4</v>
      </c>
      <c r="I1962" s="1169"/>
      <c r="J1962" s="437">
        <v>1153053</v>
      </c>
      <c r="K1962" s="443">
        <v>717409.79</v>
      </c>
    </row>
    <row r="1963" spans="1:11" x14ac:dyDescent="0.2">
      <c r="A1963" s="347" t="s">
        <v>10940</v>
      </c>
      <c r="B1963" s="347" t="s">
        <v>295</v>
      </c>
      <c r="C1963" s="1148"/>
      <c r="D1963" s="1151"/>
      <c r="E1963" s="451">
        <v>108</v>
      </c>
      <c r="F1963" s="178" t="s">
        <v>10941</v>
      </c>
      <c r="G1963" s="722" t="s">
        <v>137</v>
      </c>
      <c r="H1963" s="501">
        <v>28.4</v>
      </c>
      <c r="I1963" s="1169"/>
      <c r="J1963" s="437">
        <v>992324.4</v>
      </c>
      <c r="K1963" s="443">
        <v>544771.06999999995</v>
      </c>
    </row>
    <row r="1964" spans="1:11" x14ac:dyDescent="0.2">
      <c r="A1964" s="347" t="s">
        <v>10942</v>
      </c>
      <c r="B1964" s="347" t="s">
        <v>295</v>
      </c>
      <c r="C1964" s="1149"/>
      <c r="D1964" s="1152"/>
      <c r="E1964" s="451">
        <v>109</v>
      </c>
      <c r="F1964" s="178" t="s">
        <v>10943</v>
      </c>
      <c r="G1964" s="722" t="s">
        <v>137</v>
      </c>
      <c r="H1964" s="501">
        <v>76.400000000000006</v>
      </c>
      <c r="I1964" s="1170"/>
      <c r="J1964" s="437">
        <v>2669492.4</v>
      </c>
      <c r="K1964" s="443">
        <v>1465510.91</v>
      </c>
    </row>
    <row r="1965" spans="1:11" ht="21" customHeight="1" x14ac:dyDescent="0.2">
      <c r="A1965" s="351" t="s">
        <v>14082</v>
      </c>
      <c r="B1965" s="833"/>
      <c r="C1965" s="1147" t="s">
        <v>14084</v>
      </c>
      <c r="D1965" s="1150">
        <v>7</v>
      </c>
      <c r="E1965" s="451"/>
      <c r="F1965" s="178"/>
      <c r="G1965" s="838"/>
      <c r="H1965" s="501"/>
      <c r="I1965" s="1168">
        <v>1959</v>
      </c>
      <c r="J1965" s="437"/>
      <c r="K1965" s="443"/>
    </row>
    <row r="1966" spans="1:11" ht="18" customHeight="1" x14ac:dyDescent="0.2">
      <c r="A1966" s="833" t="s">
        <v>14083</v>
      </c>
      <c r="B1966" s="833" t="s">
        <v>295</v>
      </c>
      <c r="C1966" s="1148"/>
      <c r="D1966" s="1151"/>
      <c r="E1966" s="451">
        <v>4</v>
      </c>
      <c r="F1966" s="178" t="s">
        <v>14085</v>
      </c>
      <c r="G1966" s="838" t="s">
        <v>137</v>
      </c>
      <c r="H1966" s="501">
        <v>19.5</v>
      </c>
      <c r="I1966" s="1169"/>
      <c r="J1966" s="437">
        <v>1033000</v>
      </c>
      <c r="K1966" s="443">
        <v>202082.21</v>
      </c>
    </row>
    <row r="1967" spans="1:11" ht="18" customHeight="1" x14ac:dyDescent="0.2">
      <c r="A1967" s="833" t="s">
        <v>14403</v>
      </c>
      <c r="B1967" s="833" t="s">
        <v>295</v>
      </c>
      <c r="C1967" s="1148"/>
      <c r="D1967" s="1151"/>
      <c r="E1967" s="892">
        <v>1</v>
      </c>
      <c r="F1967" s="890" t="s">
        <v>14405</v>
      </c>
      <c r="G1967" s="869" t="s">
        <v>137</v>
      </c>
      <c r="H1967" s="893">
        <v>61.9</v>
      </c>
      <c r="I1967" s="1169"/>
      <c r="J1967" s="894">
        <v>3503000</v>
      </c>
      <c r="K1967" s="894">
        <v>641481.46</v>
      </c>
    </row>
    <row r="1968" spans="1:11" ht="18" customHeight="1" x14ac:dyDescent="0.2">
      <c r="A1968" s="833" t="s">
        <v>14404</v>
      </c>
      <c r="B1968" s="833" t="s">
        <v>295</v>
      </c>
      <c r="C1968" s="1149"/>
      <c r="D1968" s="1152"/>
      <c r="E1968" s="892">
        <v>3</v>
      </c>
      <c r="F1968" s="890" t="s">
        <v>14406</v>
      </c>
      <c r="G1968" s="869" t="s">
        <v>137</v>
      </c>
      <c r="H1968" s="893">
        <v>20.6</v>
      </c>
      <c r="I1968" s="1170"/>
      <c r="J1968" s="894">
        <v>1198000</v>
      </c>
      <c r="K1968" s="894">
        <v>213481.71</v>
      </c>
    </row>
    <row r="1969" spans="1:11" ht="12.75" customHeight="1" x14ac:dyDescent="0.2">
      <c r="A1969" s="410" t="s">
        <v>4718</v>
      </c>
      <c r="B1969" s="347"/>
      <c r="C1969" s="1201" t="s">
        <v>11456</v>
      </c>
      <c r="D1969" s="1177" t="s">
        <v>4724</v>
      </c>
      <c r="E1969" s="451"/>
      <c r="F1969" s="178"/>
      <c r="G1969" s="627" t="s">
        <v>4723</v>
      </c>
      <c r="H1969" s="270">
        <f>(226.2+232.9+286.4+317.9)-(226.2+232.9+286.4+317.9)</f>
        <v>0</v>
      </c>
      <c r="I1969" s="1175">
        <v>2014</v>
      </c>
      <c r="J1969" s="271">
        <f>(6558472+6833752+9279304+8404032)-(6558472+6833752+9279304+8404032)</f>
        <v>0</v>
      </c>
      <c r="K1969" s="271"/>
    </row>
    <row r="1970" spans="1:11" ht="12.75" customHeight="1" x14ac:dyDescent="0.2">
      <c r="A1970" s="411" t="s">
        <v>4719</v>
      </c>
      <c r="B1970" s="347" t="s">
        <v>295</v>
      </c>
      <c r="C1970" s="1202"/>
      <c r="D1970" s="1178"/>
      <c r="E1970" s="451">
        <v>35</v>
      </c>
      <c r="F1970" s="178" t="s">
        <v>4725</v>
      </c>
      <c r="G1970" s="722" t="s">
        <v>512</v>
      </c>
      <c r="H1970" s="271">
        <v>60.1</v>
      </c>
      <c r="I1970" s="1176"/>
      <c r="J1970" s="274">
        <v>1703000.62</v>
      </c>
      <c r="K1970" s="271">
        <v>584632.97</v>
      </c>
    </row>
    <row r="1971" spans="1:11" x14ac:dyDescent="0.2">
      <c r="A1971" s="411" t="s">
        <v>4720</v>
      </c>
      <c r="B1971" s="347" t="s">
        <v>295</v>
      </c>
      <c r="C1971" s="1202"/>
      <c r="D1971" s="1178"/>
      <c r="E1971" s="451">
        <v>36</v>
      </c>
      <c r="F1971" s="178" t="s">
        <v>4726</v>
      </c>
      <c r="G1971" s="722" t="s">
        <v>512</v>
      </c>
      <c r="H1971" s="271">
        <v>59.1</v>
      </c>
      <c r="I1971" s="1176"/>
      <c r="J1971" s="274">
        <v>1675178.58</v>
      </c>
      <c r="K1971" s="271">
        <v>574905.30000000005</v>
      </c>
    </row>
    <row r="1972" spans="1:11" ht="12" customHeight="1" x14ac:dyDescent="0.2">
      <c r="A1972" s="411" t="s">
        <v>4721</v>
      </c>
      <c r="B1972" s="347" t="s">
        <v>295</v>
      </c>
      <c r="C1972" s="1202"/>
      <c r="D1972" s="1178"/>
      <c r="E1972" s="451">
        <v>14</v>
      </c>
      <c r="F1972" s="178" t="s">
        <v>4727</v>
      </c>
      <c r="G1972" s="722" t="s">
        <v>127</v>
      </c>
      <c r="H1972" s="271">
        <v>48.3</v>
      </c>
      <c r="I1972" s="1176"/>
      <c r="J1972" s="274">
        <v>1327205.8</v>
      </c>
      <c r="K1972" s="271">
        <v>469846.46</v>
      </c>
    </row>
    <row r="1973" spans="1:11" ht="12" customHeight="1" x14ac:dyDescent="0.2">
      <c r="A1973" s="411" t="s">
        <v>4722</v>
      </c>
      <c r="B1973" s="347" t="s">
        <v>295</v>
      </c>
      <c r="C1973" s="1202"/>
      <c r="D1973" s="1178"/>
      <c r="E1973" s="451">
        <v>16</v>
      </c>
      <c r="F1973" s="178" t="s">
        <v>4728</v>
      </c>
      <c r="G1973" s="722" t="s">
        <v>127</v>
      </c>
      <c r="H1973" s="271">
        <v>65</v>
      </c>
      <c r="I1973" s="1176"/>
      <c r="J1973" s="274">
        <v>1849941.81</v>
      </c>
      <c r="K1973" s="271">
        <v>632298.55000000005</v>
      </c>
    </row>
    <row r="1974" spans="1:11" ht="12.75" customHeight="1" x14ac:dyDescent="0.2">
      <c r="A1974" s="410" t="s">
        <v>5180</v>
      </c>
      <c r="B1974" s="432"/>
      <c r="C1974" s="1183" t="s">
        <v>11457</v>
      </c>
      <c r="D1974" s="1184" t="s">
        <v>5184</v>
      </c>
      <c r="E1974" s="178"/>
      <c r="F1974" s="178" t="s">
        <v>5185</v>
      </c>
      <c r="G1974" s="725" t="s">
        <v>10051</v>
      </c>
      <c r="H1974" s="438">
        <f>1438.1-1438.1</f>
        <v>0</v>
      </c>
      <c r="I1974" s="1214">
        <v>2014</v>
      </c>
      <c r="J1974" s="438">
        <f>42617488-42617488</f>
        <v>0</v>
      </c>
      <c r="K1974" s="271"/>
    </row>
    <row r="1975" spans="1:11" ht="24" customHeight="1" x14ac:dyDescent="0.2">
      <c r="A1975" s="411" t="s">
        <v>5181</v>
      </c>
      <c r="B1975" s="432" t="s">
        <v>295</v>
      </c>
      <c r="C1975" s="1183"/>
      <c r="D1975" s="1184"/>
      <c r="E1975" s="178">
        <v>72</v>
      </c>
      <c r="F1975" s="178" t="s">
        <v>5187</v>
      </c>
      <c r="G1975" s="725" t="s">
        <v>137</v>
      </c>
      <c r="H1975" s="274">
        <v>40.5</v>
      </c>
      <c r="I1975" s="1215"/>
      <c r="J1975" s="274">
        <f t="shared" ref="J1975:J1977" si="17">42617488/1438.1*H1975</f>
        <v>1200200.4478130867</v>
      </c>
      <c r="K1975" s="271">
        <v>827000.28</v>
      </c>
    </row>
    <row r="1976" spans="1:11" ht="15" customHeight="1" x14ac:dyDescent="0.2">
      <c r="A1976" s="411" t="s">
        <v>5182</v>
      </c>
      <c r="B1976" s="432" t="s">
        <v>295</v>
      </c>
      <c r="C1976" s="1183"/>
      <c r="D1976" s="1184"/>
      <c r="E1976" s="178">
        <v>104</v>
      </c>
      <c r="F1976" s="178" t="s">
        <v>5186</v>
      </c>
      <c r="G1976" s="725" t="s">
        <v>2601</v>
      </c>
      <c r="H1976" s="274">
        <v>40.4</v>
      </c>
      <c r="I1976" s="1215"/>
      <c r="J1976" s="274">
        <f t="shared" si="17"/>
        <v>1197236.989917252</v>
      </c>
      <c r="K1976" s="271">
        <v>824958.3</v>
      </c>
    </row>
    <row r="1977" spans="1:11" ht="15.75" customHeight="1" x14ac:dyDescent="0.2">
      <c r="A1977" s="411" t="s">
        <v>5183</v>
      </c>
      <c r="B1977" s="432" t="s">
        <v>295</v>
      </c>
      <c r="C1977" s="1183"/>
      <c r="D1977" s="1184"/>
      <c r="E1977" s="178">
        <v>108</v>
      </c>
      <c r="F1977" s="178" t="s">
        <v>5246</v>
      </c>
      <c r="G1977" s="725" t="s">
        <v>2602</v>
      </c>
      <c r="H1977" s="274">
        <v>40.299999999999997</v>
      </c>
      <c r="I1977" s="1216"/>
      <c r="J1977" s="274">
        <f t="shared" si="17"/>
        <v>1194273.532021417</v>
      </c>
      <c r="K1977" s="271">
        <v>822916.33</v>
      </c>
    </row>
    <row r="1978" spans="1:11" ht="15" customHeight="1" x14ac:dyDescent="0.2">
      <c r="A1978" s="412"/>
      <c r="B1978" s="432" t="s">
        <v>10052</v>
      </c>
      <c r="C1978" s="1171" t="s">
        <v>11457</v>
      </c>
      <c r="D1978" s="1173" t="s">
        <v>5184</v>
      </c>
      <c r="E1978" s="178"/>
      <c r="F1978" s="178" t="s">
        <v>6148</v>
      </c>
      <c r="G1978" s="725" t="s">
        <v>6149</v>
      </c>
      <c r="H1978" s="271">
        <f>4472-4472</f>
        <v>0</v>
      </c>
      <c r="I1978" s="1175">
        <v>2015</v>
      </c>
      <c r="J1978" s="271"/>
      <c r="K1978" s="271">
        <v>91317166.719999999</v>
      </c>
    </row>
    <row r="1979" spans="1:11" ht="26.25" customHeight="1" x14ac:dyDescent="0.2">
      <c r="A1979" s="412" t="s">
        <v>6146</v>
      </c>
      <c r="B1979" s="432" t="s">
        <v>295</v>
      </c>
      <c r="C1979" s="1172"/>
      <c r="D1979" s="1174"/>
      <c r="E1979" s="178">
        <v>24</v>
      </c>
      <c r="F1979" s="178" t="s">
        <v>6150</v>
      </c>
      <c r="G1979" s="725" t="s">
        <v>2890</v>
      </c>
      <c r="H1979" s="271">
        <v>56.9</v>
      </c>
      <c r="I1979" s="1176"/>
      <c r="J1979" s="271">
        <f t="shared" ref="J1979:J1981" si="18">82462200/2747.4*H1979</f>
        <v>1707832.5616946931</v>
      </c>
      <c r="K1979" s="271">
        <v>1161884.3400000001</v>
      </c>
    </row>
    <row r="1980" spans="1:11" x14ac:dyDescent="0.2">
      <c r="A1980" s="412" t="s">
        <v>6147</v>
      </c>
      <c r="B1980" s="432" t="s">
        <v>295</v>
      </c>
      <c r="C1980" s="1172"/>
      <c r="D1980" s="1174"/>
      <c r="E1980" s="178">
        <v>32</v>
      </c>
      <c r="F1980" s="178" t="s">
        <v>10053</v>
      </c>
      <c r="G1980" s="725" t="s">
        <v>2600</v>
      </c>
      <c r="H1980" s="271">
        <v>56.6</v>
      </c>
      <c r="I1980" s="1176"/>
      <c r="J1980" s="271">
        <f t="shared" si="18"/>
        <v>1698828.172089976</v>
      </c>
      <c r="K1980" s="271">
        <v>1155758.42</v>
      </c>
    </row>
    <row r="1981" spans="1:11" ht="12.75" customHeight="1" x14ac:dyDescent="0.2">
      <c r="A1981" s="412" t="s">
        <v>6151</v>
      </c>
      <c r="B1981" s="432" t="s">
        <v>295</v>
      </c>
      <c r="C1981" s="1172"/>
      <c r="D1981" s="1174"/>
      <c r="E1981" s="178">
        <v>66</v>
      </c>
      <c r="F1981" s="178" t="s">
        <v>6152</v>
      </c>
      <c r="G1981" s="725" t="s">
        <v>2601</v>
      </c>
      <c r="H1981" s="271">
        <f>81.5-81.5</f>
        <v>0</v>
      </c>
      <c r="I1981" s="1176"/>
      <c r="J1981" s="271">
        <f t="shared" si="18"/>
        <v>0</v>
      </c>
      <c r="K1981" s="271">
        <f>1664210.44-1664210.44</f>
        <v>0</v>
      </c>
    </row>
    <row r="1982" spans="1:11" ht="48" x14ac:dyDescent="0.2">
      <c r="A1982" s="410" t="s">
        <v>5190</v>
      </c>
      <c r="B1982" s="347"/>
      <c r="C1982" s="1183" t="s">
        <v>11458</v>
      </c>
      <c r="D1982" s="1184" t="s">
        <v>5192</v>
      </c>
      <c r="E1982" s="178"/>
      <c r="F1982" s="178" t="s">
        <v>5201</v>
      </c>
      <c r="G1982" s="725" t="s">
        <v>5206</v>
      </c>
      <c r="H1982" s="271">
        <f>138.5-138.5</f>
        <v>0</v>
      </c>
      <c r="I1982" s="1222">
        <v>2014</v>
      </c>
      <c r="J1982" s="271">
        <f>4166496-4166496</f>
        <v>0</v>
      </c>
      <c r="K1982" s="271"/>
    </row>
    <row r="1983" spans="1:11" ht="12.75" customHeight="1" x14ac:dyDescent="0.2">
      <c r="A1983" s="411" t="s">
        <v>5191</v>
      </c>
      <c r="B1983" s="347" t="s">
        <v>295</v>
      </c>
      <c r="C1983" s="1183"/>
      <c r="D1983" s="1184"/>
      <c r="E1983" s="178">
        <v>1</v>
      </c>
      <c r="F1983" s="178" t="s">
        <v>10054</v>
      </c>
      <c r="G1983" s="725" t="s">
        <v>137</v>
      </c>
      <c r="H1983" s="271">
        <v>34.6</v>
      </c>
      <c r="I1983" s="1222"/>
      <c r="J1983" s="271">
        <f>4166496/138.5*H1983</f>
        <v>1040871.9249097473</v>
      </c>
      <c r="K1983" s="271">
        <v>497195.08</v>
      </c>
    </row>
    <row r="1984" spans="1:11" ht="36.75" customHeight="1" x14ac:dyDescent="0.2">
      <c r="A1984" s="411" t="s">
        <v>5193</v>
      </c>
      <c r="B1984" s="347" t="s">
        <v>295</v>
      </c>
      <c r="C1984" s="1183"/>
      <c r="D1984" s="1184"/>
      <c r="E1984" s="178">
        <v>2</v>
      </c>
      <c r="F1984" s="178" t="s">
        <v>5203</v>
      </c>
      <c r="G1984" s="725" t="s">
        <v>137</v>
      </c>
      <c r="H1984" s="271">
        <v>34.6</v>
      </c>
      <c r="I1984" s="1222"/>
      <c r="J1984" s="271">
        <f>4166496/138.5*H1984</f>
        <v>1040871.9249097473</v>
      </c>
      <c r="K1984" s="271">
        <v>497195.08</v>
      </c>
    </row>
    <row r="1985" spans="1:11" ht="15" customHeight="1" x14ac:dyDescent="0.2">
      <c r="A1985" s="411" t="s">
        <v>5194</v>
      </c>
      <c r="B1985" s="347" t="s">
        <v>295</v>
      </c>
      <c r="C1985" s="1183"/>
      <c r="D1985" s="1184"/>
      <c r="E1985" s="178">
        <v>3</v>
      </c>
      <c r="F1985" s="178" t="s">
        <v>5204</v>
      </c>
      <c r="G1985" s="725" t="s">
        <v>137</v>
      </c>
      <c r="H1985" s="271">
        <v>34.6</v>
      </c>
      <c r="I1985" s="1222"/>
      <c r="J1985" s="271">
        <f>4166496/138.5*H1985</f>
        <v>1040871.9249097473</v>
      </c>
      <c r="K1985" s="271">
        <v>497195.08</v>
      </c>
    </row>
    <row r="1986" spans="1:11" x14ac:dyDescent="0.2">
      <c r="A1986" s="411" t="s">
        <v>5195</v>
      </c>
      <c r="B1986" s="347" t="s">
        <v>295</v>
      </c>
      <c r="C1986" s="1183"/>
      <c r="D1986" s="1184"/>
      <c r="E1986" s="178">
        <v>4</v>
      </c>
      <c r="F1986" s="178" t="s">
        <v>5205</v>
      </c>
      <c r="G1986" s="725" t="s">
        <v>137</v>
      </c>
      <c r="H1986" s="271">
        <v>34.700000000000003</v>
      </c>
      <c r="I1986" s="1222"/>
      <c r="J1986" s="271">
        <f>4166496/138.5*H1986</f>
        <v>1043880.2252707582</v>
      </c>
      <c r="K1986" s="271">
        <v>498632.06</v>
      </c>
    </row>
    <row r="1987" spans="1:11" ht="48" x14ac:dyDescent="0.2">
      <c r="A1987" s="410" t="s">
        <v>5196</v>
      </c>
      <c r="B1987" s="347"/>
      <c r="C1987" s="1183" t="s">
        <v>11459</v>
      </c>
      <c r="D1987" s="1184" t="s">
        <v>5200</v>
      </c>
      <c r="E1987" s="451"/>
      <c r="F1987" s="178" t="s">
        <v>5202</v>
      </c>
      <c r="G1987" s="725" t="s">
        <v>5206</v>
      </c>
      <c r="H1987" s="271">
        <f>138.2-138.2</f>
        <v>0</v>
      </c>
      <c r="I1987" s="1222">
        <v>2014</v>
      </c>
      <c r="J1987" s="271">
        <f>4166496-4166496</f>
        <v>0</v>
      </c>
      <c r="K1987" s="271"/>
    </row>
    <row r="1988" spans="1:11" x14ac:dyDescent="0.2">
      <c r="A1988" s="411" t="s">
        <v>5197</v>
      </c>
      <c r="B1988" s="347" t="s">
        <v>295</v>
      </c>
      <c r="C1988" s="1183"/>
      <c r="D1988" s="1184"/>
      <c r="E1988" s="178">
        <v>1</v>
      </c>
      <c r="F1988" s="178" t="s">
        <v>5207</v>
      </c>
      <c r="G1988" s="725" t="s">
        <v>137</v>
      </c>
      <c r="H1988" s="271">
        <f>34.2-34.2</f>
        <v>0</v>
      </c>
      <c r="I1988" s="1222"/>
      <c r="J1988" s="438">
        <f>(4136421.06+1177584.28)/138.2*H1988</f>
        <v>0</v>
      </c>
      <c r="K1988" s="271">
        <f>491447.16-491447.16</f>
        <v>0</v>
      </c>
    </row>
    <row r="1989" spans="1:11" x14ac:dyDescent="0.2">
      <c r="A1989" s="411" t="s">
        <v>5198</v>
      </c>
      <c r="B1989" s="347" t="s">
        <v>295</v>
      </c>
      <c r="C1989" s="1183"/>
      <c r="D1989" s="1184"/>
      <c r="E1989" s="178">
        <v>3</v>
      </c>
      <c r="F1989" s="178" t="s">
        <v>5208</v>
      </c>
      <c r="G1989" s="725" t="s">
        <v>137</v>
      </c>
      <c r="H1989" s="271">
        <v>34.6</v>
      </c>
      <c r="I1989" s="1222"/>
      <c r="J1989" s="438">
        <f>(4136421.06+1177584.28)/138.2*H1989</f>
        <v>1330423.9129088281</v>
      </c>
      <c r="K1989" s="271">
        <v>497195.08</v>
      </c>
    </row>
    <row r="1990" spans="1:11" x14ac:dyDescent="0.2">
      <c r="A1990" s="411" t="s">
        <v>5199</v>
      </c>
      <c r="B1990" s="347" t="s">
        <v>295</v>
      </c>
      <c r="C1990" s="1183"/>
      <c r="D1990" s="1184"/>
      <c r="E1990" s="178">
        <v>4</v>
      </c>
      <c r="F1990" s="178" t="s">
        <v>5209</v>
      </c>
      <c r="G1990" s="725" t="s">
        <v>137</v>
      </c>
      <c r="H1990" s="271">
        <v>34.799999999999997</v>
      </c>
      <c r="I1990" s="1222"/>
      <c r="J1990" s="438">
        <f>(4136421.06+1177584.28)/138.2*H1990</f>
        <v>1338114.2245441391</v>
      </c>
      <c r="K1990" s="271">
        <v>500069.04</v>
      </c>
    </row>
    <row r="1991" spans="1:11" ht="13.5" customHeight="1" x14ac:dyDescent="0.2">
      <c r="A1991" s="413" t="s">
        <v>5440</v>
      </c>
      <c r="B1991" s="432"/>
      <c r="C1991" s="1201" t="s">
        <v>11460</v>
      </c>
      <c r="D1991" s="1173" t="s">
        <v>360</v>
      </c>
      <c r="E1991" s="178"/>
      <c r="F1991" s="178" t="s">
        <v>5448</v>
      </c>
      <c r="G1991" s="725" t="s">
        <v>5449</v>
      </c>
      <c r="H1991" s="271">
        <f>2100.4-2100.4</f>
        <v>0</v>
      </c>
      <c r="I1991" s="1175">
        <v>2014</v>
      </c>
      <c r="J1991" s="271"/>
      <c r="K1991" s="271">
        <v>18055500.489999998</v>
      </c>
    </row>
    <row r="1992" spans="1:11" x14ac:dyDescent="0.2">
      <c r="A1992" s="412" t="s">
        <v>5441</v>
      </c>
      <c r="B1992" s="432" t="s">
        <v>295</v>
      </c>
      <c r="C1992" s="1202"/>
      <c r="D1992" s="1174"/>
      <c r="E1992" s="178">
        <v>4</v>
      </c>
      <c r="F1992" s="178" t="s">
        <v>10055</v>
      </c>
      <c r="G1992" s="725" t="s">
        <v>512</v>
      </c>
      <c r="H1992" s="271">
        <v>53.9</v>
      </c>
      <c r="I1992" s="1176"/>
      <c r="J1992" s="438">
        <f>14004900/518.7 *H1992</f>
        <v>1455299.9999999998</v>
      </c>
      <c r="K1992" s="271">
        <v>463336.26</v>
      </c>
    </row>
    <row r="1993" spans="1:11" ht="33.75" customHeight="1" x14ac:dyDescent="0.2">
      <c r="A1993" s="412" t="s">
        <v>5442</v>
      </c>
      <c r="B1993" s="432" t="s">
        <v>295</v>
      </c>
      <c r="C1993" s="1202"/>
      <c r="D1993" s="1174"/>
      <c r="E1993" s="178">
        <v>6</v>
      </c>
      <c r="F1993" s="178" t="s">
        <v>5450</v>
      </c>
      <c r="G1993" s="725" t="s">
        <v>512</v>
      </c>
      <c r="H1993" s="271">
        <v>45.2</v>
      </c>
      <c r="I1993" s="1176"/>
      <c r="J1993" s="438">
        <f>14004900/518.7 *H1993</f>
        <v>1220400</v>
      </c>
      <c r="K1993" s="271">
        <v>388549.14</v>
      </c>
    </row>
    <row r="1994" spans="1:11" ht="15.75" customHeight="1" x14ac:dyDescent="0.2">
      <c r="A1994" s="412" t="s">
        <v>5443</v>
      </c>
      <c r="B1994" s="432" t="s">
        <v>295</v>
      </c>
      <c r="C1994" s="1202"/>
      <c r="D1994" s="1174"/>
      <c r="E1994" s="178">
        <v>7</v>
      </c>
      <c r="F1994" s="178" t="s">
        <v>5451</v>
      </c>
      <c r="G1994" s="725" t="s">
        <v>512</v>
      </c>
      <c r="H1994" s="271">
        <v>64.099999999999994</v>
      </c>
      <c r="I1994" s="1176"/>
      <c r="J1994" s="438">
        <f>14004900/518.7 *H1994</f>
        <v>1730699.9999999995</v>
      </c>
      <c r="K1994" s="271">
        <v>551017.69999999995</v>
      </c>
    </row>
    <row r="1995" spans="1:11" ht="13.5" customHeight="1" x14ac:dyDescent="0.2">
      <c r="A1995" s="412" t="s">
        <v>5444</v>
      </c>
      <c r="B1995" s="432" t="s">
        <v>295</v>
      </c>
      <c r="C1995" s="1202"/>
      <c r="D1995" s="1174"/>
      <c r="E1995" s="178">
        <v>15</v>
      </c>
      <c r="F1995" s="178" t="s">
        <v>10056</v>
      </c>
      <c r="G1995" s="725" t="s">
        <v>507</v>
      </c>
      <c r="H1995" s="271">
        <v>30.4</v>
      </c>
      <c r="I1995" s="1176"/>
      <c r="J1995" s="438">
        <f>2641350.6/95.8*H1995</f>
        <v>838173.88559498952</v>
      </c>
      <c r="K1995" s="271">
        <v>261325.09</v>
      </c>
    </row>
    <row r="1996" spans="1:11" ht="12.75" customHeight="1" x14ac:dyDescent="0.2">
      <c r="A1996" s="412" t="s">
        <v>5445</v>
      </c>
      <c r="B1996" s="432" t="s">
        <v>295</v>
      </c>
      <c r="C1996" s="1202"/>
      <c r="D1996" s="1174"/>
      <c r="E1996" s="178">
        <v>23</v>
      </c>
      <c r="F1996" s="178" t="s">
        <v>5453</v>
      </c>
      <c r="G1996" s="725" t="s">
        <v>512</v>
      </c>
      <c r="H1996" s="271">
        <v>56.2</v>
      </c>
      <c r="I1996" s="1176"/>
      <c r="J1996" s="438">
        <f t="shared" ref="J1996:J1998" si="19">14004900/518.7 *H1996</f>
        <v>1517399.9999999998</v>
      </c>
      <c r="K1996" s="271">
        <v>483107.56</v>
      </c>
    </row>
    <row r="1997" spans="1:11" x14ac:dyDescent="0.2">
      <c r="A1997" s="412" t="s">
        <v>5446</v>
      </c>
      <c r="B1997" s="432" t="s">
        <v>295</v>
      </c>
      <c r="C1997" s="1202"/>
      <c r="D1997" s="1174"/>
      <c r="E1997" s="178">
        <v>24</v>
      </c>
      <c r="F1997" s="178" t="s">
        <v>5452</v>
      </c>
      <c r="G1997" s="725" t="s">
        <v>512</v>
      </c>
      <c r="H1997" s="271">
        <v>45.5</v>
      </c>
      <c r="I1997" s="1176"/>
      <c r="J1997" s="438">
        <f t="shared" si="19"/>
        <v>1228499.9999999998</v>
      </c>
      <c r="K1997" s="271">
        <v>391128.01</v>
      </c>
    </row>
    <row r="1998" spans="1:11" x14ac:dyDescent="0.2">
      <c r="A1998" s="412" t="s">
        <v>5447</v>
      </c>
      <c r="B1998" s="432" t="s">
        <v>295</v>
      </c>
      <c r="C1998" s="1202"/>
      <c r="D1998" s="1174"/>
      <c r="E1998" s="178">
        <v>29</v>
      </c>
      <c r="F1998" s="178" t="s">
        <v>5454</v>
      </c>
      <c r="G1998" s="725" t="s">
        <v>128</v>
      </c>
      <c r="H1998" s="271">
        <v>43.9</v>
      </c>
      <c r="I1998" s="1176"/>
      <c r="J1998" s="438">
        <f t="shared" si="19"/>
        <v>1185299.9999999998</v>
      </c>
      <c r="K1998" s="271">
        <v>377374.06</v>
      </c>
    </row>
    <row r="1999" spans="1:11" ht="13.5" customHeight="1" x14ac:dyDescent="0.2">
      <c r="A1999" s="420" t="s">
        <v>10656</v>
      </c>
      <c r="B1999" s="420" t="s">
        <v>295</v>
      </c>
      <c r="C1999" s="1202"/>
      <c r="D1999" s="1174"/>
      <c r="E1999" s="38">
        <v>1</v>
      </c>
      <c r="F1999" s="2" t="s">
        <v>10657</v>
      </c>
      <c r="G1999" s="353" t="s">
        <v>137</v>
      </c>
      <c r="H1999" s="438">
        <v>34.4</v>
      </c>
      <c r="I1999" s="1176"/>
      <c r="J1999" s="438">
        <v>1153053</v>
      </c>
      <c r="K1999" s="438">
        <v>295709.96999999997</v>
      </c>
    </row>
    <row r="2000" spans="1:11" ht="14.25" customHeight="1" x14ac:dyDescent="0.2">
      <c r="A2000" s="420" t="s">
        <v>10658</v>
      </c>
      <c r="B2000" s="420" t="s">
        <v>295</v>
      </c>
      <c r="C2000" s="1202"/>
      <c r="D2000" s="1174"/>
      <c r="E2000" s="38">
        <v>2</v>
      </c>
      <c r="F2000" s="2" t="s">
        <v>10659</v>
      </c>
      <c r="G2000" s="353" t="s">
        <v>137</v>
      </c>
      <c r="H2000" s="438">
        <v>47.5</v>
      </c>
      <c r="I2000" s="1176"/>
      <c r="J2000" s="438">
        <v>1153053</v>
      </c>
      <c r="K2000" s="438">
        <v>408320.45</v>
      </c>
    </row>
    <row r="2001" spans="1:11" ht="14.25" customHeight="1" x14ac:dyDescent="0.2">
      <c r="A2001" s="347" t="s">
        <v>10752</v>
      </c>
      <c r="B2001" s="347" t="s">
        <v>11461</v>
      </c>
      <c r="C2001" s="1202"/>
      <c r="D2001" s="1174"/>
      <c r="E2001" s="38">
        <v>19</v>
      </c>
      <c r="F2001" s="2" t="s">
        <v>11462</v>
      </c>
      <c r="G2001" s="353" t="s">
        <v>10144</v>
      </c>
      <c r="H2001" s="438">
        <v>54.3</v>
      </c>
      <c r="I2001" s="1176"/>
      <c r="J2001" s="438">
        <v>1153053</v>
      </c>
      <c r="K2001" s="438">
        <v>466774.75</v>
      </c>
    </row>
    <row r="2002" spans="1:11" ht="15.75" customHeight="1" x14ac:dyDescent="0.2">
      <c r="A2002" s="347" t="s">
        <v>10944</v>
      </c>
      <c r="B2002" s="347" t="s">
        <v>11461</v>
      </c>
      <c r="C2002" s="1202"/>
      <c r="D2002" s="1174"/>
      <c r="E2002" s="38">
        <v>14</v>
      </c>
      <c r="F2002" s="2" t="s">
        <v>10945</v>
      </c>
      <c r="G2002" s="353" t="s">
        <v>507</v>
      </c>
      <c r="H2002" s="438">
        <v>48.8</v>
      </c>
      <c r="I2002" s="1176"/>
      <c r="J2002" s="438">
        <v>1153053</v>
      </c>
      <c r="K2002" s="438">
        <v>419495.54</v>
      </c>
    </row>
    <row r="2003" spans="1:11" ht="15.75" customHeight="1" x14ac:dyDescent="0.2">
      <c r="A2003" s="347" t="s">
        <v>10946</v>
      </c>
      <c r="B2003" s="347" t="s">
        <v>295</v>
      </c>
      <c r="C2003" s="1203"/>
      <c r="D2003" s="1213"/>
      <c r="E2003" s="38">
        <v>16</v>
      </c>
      <c r="F2003" s="2" t="s">
        <v>10947</v>
      </c>
      <c r="G2003" s="353" t="s">
        <v>507</v>
      </c>
      <c r="H2003" s="438">
        <v>45.8</v>
      </c>
      <c r="I2003" s="1188"/>
      <c r="J2003" s="438">
        <v>1327758</v>
      </c>
      <c r="K2003" s="438">
        <v>393706.88</v>
      </c>
    </row>
    <row r="2004" spans="1:11" ht="27" customHeight="1" x14ac:dyDescent="0.2">
      <c r="A2004" s="413" t="s">
        <v>5844</v>
      </c>
      <c r="B2004" s="432"/>
      <c r="C2004" s="1201" t="s">
        <v>11463</v>
      </c>
      <c r="D2004" s="1173" t="s">
        <v>5857</v>
      </c>
      <c r="E2004" s="178"/>
      <c r="F2004" s="178" t="s">
        <v>5858</v>
      </c>
      <c r="G2004" s="725" t="s">
        <v>5881</v>
      </c>
      <c r="H2004" s="271">
        <f>1014.7-1014.7</f>
        <v>0</v>
      </c>
      <c r="I2004" s="1175">
        <v>2015</v>
      </c>
      <c r="J2004" s="271">
        <f>25659600+1006200-(25659600+1006200)</f>
        <v>0</v>
      </c>
      <c r="K2004" s="271"/>
    </row>
    <row r="2005" spans="1:11" ht="15.75" customHeight="1" x14ac:dyDescent="0.2">
      <c r="A2005" s="412" t="s">
        <v>5845</v>
      </c>
      <c r="B2005" s="347" t="s">
        <v>295</v>
      </c>
      <c r="C2005" s="1202"/>
      <c r="D2005" s="1174"/>
      <c r="E2005" s="178">
        <v>1</v>
      </c>
      <c r="F2005" s="178" t="s">
        <v>5883</v>
      </c>
      <c r="G2005" s="725" t="s">
        <v>137</v>
      </c>
      <c r="H2005" s="271">
        <v>34.200000000000003</v>
      </c>
      <c r="I2005" s="1176"/>
      <c r="J2005" s="271">
        <f>26665800/1014.7*H2005</f>
        <v>898758.60845570115</v>
      </c>
      <c r="K2005" s="271">
        <v>561358.46</v>
      </c>
    </row>
    <row r="2006" spans="1:11" ht="15.75" customHeight="1" x14ac:dyDescent="0.2">
      <c r="A2006" s="412" t="s">
        <v>5846</v>
      </c>
      <c r="B2006" s="432" t="s">
        <v>295</v>
      </c>
      <c r="C2006" s="1202"/>
      <c r="D2006" s="1174"/>
      <c r="E2006" s="451">
        <v>2</v>
      </c>
      <c r="F2006" s="178" t="s">
        <v>5864</v>
      </c>
      <c r="G2006" s="725" t="s">
        <v>137</v>
      </c>
      <c r="H2006" s="437">
        <v>48.9</v>
      </c>
      <c r="I2006" s="1176"/>
      <c r="J2006" s="271">
        <f t="shared" ref="J2006:J2018" si="20">26665800/1014.7*H2006</f>
        <v>1285067.1331428008</v>
      </c>
      <c r="K2006" s="271">
        <v>802644.11</v>
      </c>
    </row>
    <row r="2007" spans="1:11" ht="15.75" customHeight="1" x14ac:dyDescent="0.2">
      <c r="A2007" s="412" t="s">
        <v>5847</v>
      </c>
      <c r="B2007" s="432" t="s">
        <v>295</v>
      </c>
      <c r="C2007" s="1202"/>
      <c r="D2007" s="1174"/>
      <c r="E2007" s="451">
        <v>3</v>
      </c>
      <c r="F2007" s="178" t="s">
        <v>10057</v>
      </c>
      <c r="G2007" s="725" t="s">
        <v>137</v>
      </c>
      <c r="H2007" s="437">
        <v>33.700000000000003</v>
      </c>
      <c r="I2007" s="1176"/>
      <c r="J2007" s="271">
        <f t="shared" si="20"/>
        <v>885618.86271804478</v>
      </c>
      <c r="K2007" s="271">
        <v>553151.46</v>
      </c>
    </row>
    <row r="2008" spans="1:11" ht="12.75" customHeight="1" x14ac:dyDescent="0.2">
      <c r="A2008" s="412" t="s">
        <v>5848</v>
      </c>
      <c r="B2008" s="432" t="s">
        <v>295</v>
      </c>
      <c r="C2008" s="1202"/>
      <c r="D2008" s="1174"/>
      <c r="E2008" s="178">
        <v>4</v>
      </c>
      <c r="F2008" s="178" t="s">
        <v>5865</v>
      </c>
      <c r="G2008" s="725" t="s">
        <v>137</v>
      </c>
      <c r="H2008" s="437">
        <v>33.5</v>
      </c>
      <c r="I2008" s="1176"/>
      <c r="J2008" s="271">
        <f t="shared" si="20"/>
        <v>880362.96442298207</v>
      </c>
      <c r="K2008" s="271">
        <v>549868.67000000004</v>
      </c>
    </row>
    <row r="2009" spans="1:11" ht="12.75" customHeight="1" x14ac:dyDescent="0.2">
      <c r="A2009" s="412" t="s">
        <v>5849</v>
      </c>
      <c r="B2009" s="432" t="s">
        <v>295</v>
      </c>
      <c r="C2009" s="1202"/>
      <c r="D2009" s="1174"/>
      <c r="E2009" s="451">
        <v>6</v>
      </c>
      <c r="F2009" s="178" t="s">
        <v>5867</v>
      </c>
      <c r="G2009" s="725" t="s">
        <v>512</v>
      </c>
      <c r="H2009" s="437">
        <v>48</v>
      </c>
      <c r="I2009" s="1176"/>
      <c r="J2009" s="271">
        <f t="shared" si="20"/>
        <v>1261415.5908150191</v>
      </c>
      <c r="K2009" s="271">
        <v>787871.52</v>
      </c>
    </row>
    <row r="2010" spans="1:11" ht="12.75" customHeight="1" x14ac:dyDescent="0.2">
      <c r="A2010" s="412" t="s">
        <v>5850</v>
      </c>
      <c r="B2010" s="432" t="s">
        <v>295</v>
      </c>
      <c r="C2010" s="1202"/>
      <c r="D2010" s="1174"/>
      <c r="E2010" s="451">
        <v>8</v>
      </c>
      <c r="F2010" s="178" t="s">
        <v>5859</v>
      </c>
      <c r="G2010" s="725" t="s">
        <v>512</v>
      </c>
      <c r="H2010" s="437">
        <v>34</v>
      </c>
      <c r="I2010" s="1176"/>
      <c r="J2010" s="271">
        <f t="shared" si="20"/>
        <v>893502.71016063855</v>
      </c>
      <c r="K2010" s="271">
        <v>558075.66</v>
      </c>
    </row>
    <row r="2011" spans="1:11" ht="12.75" customHeight="1" x14ac:dyDescent="0.2">
      <c r="A2011" s="412" t="s">
        <v>5851</v>
      </c>
      <c r="B2011" s="432" t="s">
        <v>295</v>
      </c>
      <c r="C2011" s="1202"/>
      <c r="D2011" s="1174"/>
      <c r="E2011" s="451">
        <v>9</v>
      </c>
      <c r="F2011" s="178" t="s">
        <v>5862</v>
      </c>
      <c r="G2011" s="725" t="s">
        <v>128</v>
      </c>
      <c r="H2011" s="437">
        <v>34</v>
      </c>
      <c r="I2011" s="1176"/>
      <c r="J2011" s="271">
        <f t="shared" si="20"/>
        <v>893502.71016063855</v>
      </c>
      <c r="K2011" s="271">
        <v>558075.66</v>
      </c>
    </row>
    <row r="2012" spans="1:11" ht="12.75" customHeight="1" x14ac:dyDescent="0.2">
      <c r="A2012" s="412" t="s">
        <v>10329</v>
      </c>
      <c r="B2012" s="432" t="s">
        <v>295</v>
      </c>
      <c r="C2012" s="1202"/>
      <c r="D2012" s="1174"/>
      <c r="E2012" s="451">
        <v>11</v>
      </c>
      <c r="F2012" s="178" t="s">
        <v>10330</v>
      </c>
      <c r="G2012" s="353" t="s">
        <v>128</v>
      </c>
      <c r="H2012" s="443">
        <v>33.799999999999997</v>
      </c>
      <c r="I2012" s="1176"/>
      <c r="J2012" s="438">
        <v>1041348</v>
      </c>
      <c r="K2012" s="438">
        <v>554792.86</v>
      </c>
    </row>
    <row r="2013" spans="1:11" ht="12.75" customHeight="1" x14ac:dyDescent="0.2">
      <c r="A2013" s="412" t="s">
        <v>5852</v>
      </c>
      <c r="B2013" s="432" t="s">
        <v>295</v>
      </c>
      <c r="C2013" s="1202"/>
      <c r="D2013" s="1174"/>
      <c r="E2013" s="451">
        <v>12</v>
      </c>
      <c r="F2013" s="178" t="s">
        <v>10331</v>
      </c>
      <c r="G2013" s="725" t="s">
        <v>128</v>
      </c>
      <c r="H2013" s="437">
        <v>34.299999999999997</v>
      </c>
      <c r="I2013" s="1176"/>
      <c r="J2013" s="271">
        <f t="shared" si="20"/>
        <v>901386.55760323233</v>
      </c>
      <c r="K2013" s="271">
        <v>562999.86</v>
      </c>
    </row>
    <row r="2014" spans="1:11" ht="12.75" customHeight="1" x14ac:dyDescent="0.2">
      <c r="A2014" s="412" t="s">
        <v>5853</v>
      </c>
      <c r="B2014" s="432" t="s">
        <v>295</v>
      </c>
      <c r="C2014" s="1202"/>
      <c r="D2014" s="1174"/>
      <c r="E2014" s="451">
        <v>14</v>
      </c>
      <c r="F2014" s="178" t="s">
        <v>5861</v>
      </c>
      <c r="G2014" s="725" t="s">
        <v>137</v>
      </c>
      <c r="H2014" s="437">
        <v>47.1</v>
      </c>
      <c r="I2014" s="1176"/>
      <c r="J2014" s="271">
        <f t="shared" si="20"/>
        <v>1237764.0484872374</v>
      </c>
      <c r="K2014" s="271">
        <v>778023.13</v>
      </c>
    </row>
    <row r="2015" spans="1:11" ht="12.75" customHeight="1" x14ac:dyDescent="0.2">
      <c r="A2015" s="412" t="s">
        <v>5854</v>
      </c>
      <c r="B2015" s="432" t="s">
        <v>295</v>
      </c>
      <c r="C2015" s="1202"/>
      <c r="D2015" s="1174"/>
      <c r="E2015" s="451">
        <v>15</v>
      </c>
      <c r="F2015" s="178" t="s">
        <v>5860</v>
      </c>
      <c r="G2015" s="725" t="s">
        <v>137</v>
      </c>
      <c r="H2015" s="437">
        <v>34.299999999999997</v>
      </c>
      <c r="I2015" s="1176"/>
      <c r="J2015" s="271">
        <f t="shared" si="20"/>
        <v>901386.55760323233</v>
      </c>
      <c r="K2015" s="271">
        <v>562999.86</v>
      </c>
    </row>
    <row r="2016" spans="1:11" ht="12.75" customHeight="1" x14ac:dyDescent="0.2">
      <c r="A2016" s="412" t="s">
        <v>10332</v>
      </c>
      <c r="B2016" s="492" t="s">
        <v>5588</v>
      </c>
      <c r="C2016" s="1202"/>
      <c r="D2016" s="1174"/>
      <c r="E2016" s="503">
        <v>17</v>
      </c>
      <c r="F2016" s="417" t="s">
        <v>10333</v>
      </c>
      <c r="G2016" s="353" t="s">
        <v>512</v>
      </c>
      <c r="H2016" s="443">
        <v>34</v>
      </c>
      <c r="I2016" s="1176"/>
      <c r="J2016" s="438">
        <v>1041348</v>
      </c>
      <c r="K2016" s="438">
        <v>558075.66</v>
      </c>
    </row>
    <row r="2017" spans="1:11" ht="12.75" customHeight="1" x14ac:dyDescent="0.2">
      <c r="A2017" s="412" t="s">
        <v>5855</v>
      </c>
      <c r="B2017" s="432" t="s">
        <v>295</v>
      </c>
      <c r="C2017" s="1202"/>
      <c r="D2017" s="1174"/>
      <c r="E2017" s="178">
        <v>19</v>
      </c>
      <c r="F2017" s="178" t="s">
        <v>5863</v>
      </c>
      <c r="G2017" s="725" t="s">
        <v>512</v>
      </c>
      <c r="H2017" s="437">
        <v>69.099999999999994</v>
      </c>
      <c r="I2017" s="1176"/>
      <c r="J2017" s="271">
        <f t="shared" si="20"/>
        <v>1815912.8609441211</v>
      </c>
      <c r="K2017" s="271">
        <v>1134206.71</v>
      </c>
    </row>
    <row r="2018" spans="1:11" ht="12.75" customHeight="1" x14ac:dyDescent="0.2">
      <c r="A2018" s="412" t="s">
        <v>5856</v>
      </c>
      <c r="B2018" s="432" t="s">
        <v>295</v>
      </c>
      <c r="C2018" s="1202"/>
      <c r="D2018" s="1174"/>
      <c r="E2018" s="451">
        <v>21</v>
      </c>
      <c r="F2018" s="178" t="s">
        <v>5866</v>
      </c>
      <c r="G2018" s="725" t="s">
        <v>128</v>
      </c>
      <c r="H2018" s="437">
        <v>50.8</v>
      </c>
      <c r="I2018" s="1176"/>
      <c r="J2018" s="271">
        <f t="shared" si="20"/>
        <v>1334998.1669458952</v>
      </c>
      <c r="K2018" s="271">
        <v>833830.69</v>
      </c>
    </row>
    <row r="2019" spans="1:11" ht="12.75" customHeight="1" x14ac:dyDescent="0.2">
      <c r="A2019" s="420" t="s">
        <v>11741</v>
      </c>
      <c r="B2019" s="420" t="s">
        <v>295</v>
      </c>
      <c r="C2019" s="1202"/>
      <c r="D2019" s="1174"/>
      <c r="E2019" s="451">
        <v>20</v>
      </c>
      <c r="F2019" s="200" t="s">
        <v>11742</v>
      </c>
      <c r="G2019" s="624" t="s">
        <v>128</v>
      </c>
      <c r="H2019" s="416">
        <v>33.799999999999997</v>
      </c>
      <c r="I2019" s="1176"/>
      <c r="J2019" s="567">
        <v>924000</v>
      </c>
      <c r="K2019" s="567">
        <v>554792.86</v>
      </c>
    </row>
    <row r="2020" spans="1:11" ht="12.75" customHeight="1" x14ac:dyDescent="0.2">
      <c r="A2020" s="432" t="s">
        <v>13040</v>
      </c>
      <c r="B2020" s="432" t="s">
        <v>295</v>
      </c>
      <c r="C2020" s="1202"/>
      <c r="D2020" s="1174"/>
      <c r="E2020" s="200">
        <v>16</v>
      </c>
      <c r="F2020" s="624" t="s">
        <v>5868</v>
      </c>
      <c r="G2020" s="200" t="s">
        <v>137</v>
      </c>
      <c r="H2020" s="443">
        <f>34.1</f>
        <v>34.1</v>
      </c>
      <c r="I2020" s="1176"/>
      <c r="J2020" s="763">
        <v>1911558</v>
      </c>
      <c r="K2020" s="763">
        <v>559717.06000000006</v>
      </c>
    </row>
    <row r="2021" spans="1:11" ht="12.75" customHeight="1" x14ac:dyDescent="0.2">
      <c r="A2021" s="432" t="s">
        <v>13218</v>
      </c>
      <c r="B2021" s="432" t="s">
        <v>295</v>
      </c>
      <c r="C2021" s="1203"/>
      <c r="D2021" s="1213"/>
      <c r="E2021" s="432">
        <v>5</v>
      </c>
      <c r="F2021" s="200" t="s">
        <v>13219</v>
      </c>
      <c r="G2021" s="200" t="s">
        <v>512</v>
      </c>
      <c r="H2021" s="443">
        <f>34.5</f>
        <v>34.5</v>
      </c>
      <c r="I2021" s="1188"/>
      <c r="J2021" s="763">
        <v>1295005.8</v>
      </c>
      <c r="K2021" s="763">
        <v>566282.66</v>
      </c>
    </row>
    <row r="2022" spans="1:11" ht="12.75" customHeight="1" x14ac:dyDescent="0.2">
      <c r="A2022" s="413" t="s">
        <v>5873</v>
      </c>
      <c r="B2022" s="432"/>
      <c r="C2022" s="1171" t="s">
        <v>11464</v>
      </c>
      <c r="D2022" s="1173" t="s">
        <v>5857</v>
      </c>
      <c r="E2022" s="178"/>
      <c r="F2022" s="200" t="s">
        <v>5882</v>
      </c>
      <c r="G2022" s="624" t="s">
        <v>5880</v>
      </c>
      <c r="H2022" s="274">
        <f>715.8+26.4-742.2</f>
        <v>0</v>
      </c>
      <c r="I2022" s="1214">
        <v>2015</v>
      </c>
      <c r="J2022" s="274">
        <f>21474000+792000-22266000</f>
        <v>0</v>
      </c>
      <c r="K2022" s="274">
        <v>11126063.779999999</v>
      </c>
    </row>
    <row r="2023" spans="1:11" x14ac:dyDescent="0.2">
      <c r="A2023" s="412" t="s">
        <v>5874</v>
      </c>
      <c r="B2023" s="432" t="s">
        <v>295</v>
      </c>
      <c r="C2023" s="1172"/>
      <c r="D2023" s="1174"/>
      <c r="E2023" s="347">
        <v>4</v>
      </c>
      <c r="F2023" s="200" t="s">
        <v>5884</v>
      </c>
      <c r="G2023" s="624" t="s">
        <v>137</v>
      </c>
      <c r="H2023" s="274">
        <v>39.5</v>
      </c>
      <c r="I2023" s="1215"/>
      <c r="J2023" s="274">
        <f t="shared" ref="J2023:J2028" si="21">21474000/715.8*H2023</f>
        <v>1185000.0000000002</v>
      </c>
      <c r="K2023" s="274">
        <v>518498.73</v>
      </c>
    </row>
    <row r="2024" spans="1:11" ht="12.75" customHeight="1" x14ac:dyDescent="0.2">
      <c r="A2024" s="412" t="s">
        <v>5875</v>
      </c>
      <c r="B2024" s="432" t="s">
        <v>295</v>
      </c>
      <c r="C2024" s="1172"/>
      <c r="D2024" s="1174"/>
      <c r="E2024" s="347">
        <v>5</v>
      </c>
      <c r="F2024" s="200" t="s">
        <v>5886</v>
      </c>
      <c r="G2024" s="624" t="s">
        <v>512</v>
      </c>
      <c r="H2024" s="274">
        <v>31.9</v>
      </c>
      <c r="I2024" s="1215"/>
      <c r="J2024" s="274">
        <f t="shared" si="21"/>
        <v>957000.00000000012</v>
      </c>
      <c r="K2024" s="274">
        <v>418736.95</v>
      </c>
    </row>
    <row r="2025" spans="1:11" x14ac:dyDescent="0.2">
      <c r="A2025" s="412" t="s">
        <v>5876</v>
      </c>
      <c r="B2025" s="432" t="s">
        <v>295</v>
      </c>
      <c r="C2025" s="1172"/>
      <c r="D2025" s="1174"/>
      <c r="E2025" s="347">
        <v>7</v>
      </c>
      <c r="F2025" s="200" t="s">
        <v>5887</v>
      </c>
      <c r="G2025" s="624" t="s">
        <v>512</v>
      </c>
      <c r="H2025" s="274">
        <v>25.9</v>
      </c>
      <c r="I2025" s="1215"/>
      <c r="J2025" s="274">
        <f t="shared" si="21"/>
        <v>777000</v>
      </c>
      <c r="K2025" s="274">
        <v>339977.65</v>
      </c>
    </row>
    <row r="2026" spans="1:11" x14ac:dyDescent="0.2">
      <c r="A2026" s="412" t="s">
        <v>5877</v>
      </c>
      <c r="B2026" s="432" t="s">
        <v>295</v>
      </c>
      <c r="C2026" s="1172"/>
      <c r="D2026" s="1174"/>
      <c r="E2026" s="347">
        <v>13</v>
      </c>
      <c r="F2026" s="200" t="s">
        <v>5885</v>
      </c>
      <c r="G2026" s="624" t="s">
        <v>137</v>
      </c>
      <c r="H2026" s="274">
        <v>39.5</v>
      </c>
      <c r="I2026" s="1215"/>
      <c r="J2026" s="274">
        <f t="shared" si="21"/>
        <v>1185000.0000000002</v>
      </c>
      <c r="K2026" s="274">
        <v>518498.73</v>
      </c>
    </row>
    <row r="2027" spans="1:11" x14ac:dyDescent="0.2">
      <c r="A2027" s="412" t="s">
        <v>5878</v>
      </c>
      <c r="B2027" s="432" t="s">
        <v>295</v>
      </c>
      <c r="C2027" s="1172"/>
      <c r="D2027" s="1174"/>
      <c r="E2027" s="347">
        <v>19</v>
      </c>
      <c r="F2027" s="200" t="s">
        <v>5888</v>
      </c>
      <c r="G2027" s="624" t="s">
        <v>512</v>
      </c>
      <c r="H2027" s="274">
        <v>26.4</v>
      </c>
      <c r="I2027" s="1215"/>
      <c r="J2027" s="274">
        <f t="shared" si="21"/>
        <v>792000</v>
      </c>
      <c r="K2027" s="274">
        <v>346540.92</v>
      </c>
    </row>
    <row r="2028" spans="1:11" ht="13.5" customHeight="1" x14ac:dyDescent="0.2">
      <c r="A2028" s="412" t="s">
        <v>5879</v>
      </c>
      <c r="B2028" s="432" t="s">
        <v>295</v>
      </c>
      <c r="C2028" s="1172"/>
      <c r="D2028" s="1174"/>
      <c r="E2028" s="347">
        <v>21</v>
      </c>
      <c r="F2028" s="200" t="s">
        <v>5889</v>
      </c>
      <c r="G2028" s="624" t="s">
        <v>128</v>
      </c>
      <c r="H2028" s="274">
        <v>39.5</v>
      </c>
      <c r="I2028" s="1215"/>
      <c r="J2028" s="274">
        <f t="shared" si="21"/>
        <v>1185000.0000000002</v>
      </c>
      <c r="K2028" s="274">
        <v>518498.73</v>
      </c>
    </row>
    <row r="2029" spans="1:11" ht="13.5" customHeight="1" x14ac:dyDescent="0.2">
      <c r="A2029" s="433" t="s">
        <v>12165</v>
      </c>
      <c r="B2029" s="433" t="s">
        <v>295</v>
      </c>
      <c r="C2029" s="1172"/>
      <c r="D2029" s="1174"/>
      <c r="E2029" s="347">
        <v>20</v>
      </c>
      <c r="F2029" s="200" t="s">
        <v>12166</v>
      </c>
      <c r="G2029" s="624" t="s">
        <v>512</v>
      </c>
      <c r="H2029" s="443">
        <v>26.4</v>
      </c>
      <c r="I2029" s="1215"/>
      <c r="J2029" s="438">
        <v>775105</v>
      </c>
      <c r="K2029" s="438">
        <v>346540.92</v>
      </c>
    </row>
    <row r="2030" spans="1:11" ht="13.5" customHeight="1" x14ac:dyDescent="0.2">
      <c r="A2030" s="433" t="s">
        <v>12513</v>
      </c>
      <c r="B2030" s="433" t="s">
        <v>295</v>
      </c>
      <c r="C2030" s="1204"/>
      <c r="D2030" s="1213"/>
      <c r="E2030" s="432">
        <v>10</v>
      </c>
      <c r="F2030" s="200" t="s">
        <v>12514</v>
      </c>
      <c r="G2030" s="624" t="s">
        <v>128</v>
      </c>
      <c r="H2030" s="443">
        <v>31.9</v>
      </c>
      <c r="I2030" s="1216"/>
      <c r="J2030" s="438">
        <v>1031039.9</v>
      </c>
      <c r="K2030" s="438">
        <v>418736.95</v>
      </c>
    </row>
    <row r="2031" spans="1:11" ht="15" customHeight="1" x14ac:dyDescent="0.2">
      <c r="A2031" s="413" t="s">
        <v>5907</v>
      </c>
      <c r="B2031" s="432"/>
      <c r="C2031" s="1201" t="s">
        <v>11465</v>
      </c>
      <c r="D2031" s="1173" t="s">
        <v>5910</v>
      </c>
      <c r="E2031" s="178"/>
      <c r="F2031" s="178" t="s">
        <v>5911</v>
      </c>
      <c r="G2031" s="725" t="s">
        <v>5880</v>
      </c>
      <c r="H2031" s="437">
        <f>797+34.7-(797+34.7)</f>
        <v>0</v>
      </c>
      <c r="I2031" s="1175">
        <v>2015</v>
      </c>
      <c r="J2031" s="437">
        <f>23832000+1041000-24873000</f>
        <v>0</v>
      </c>
      <c r="K2031" s="271">
        <v>12139433.439999999</v>
      </c>
    </row>
    <row r="2032" spans="1:11" ht="25.5" customHeight="1" x14ac:dyDescent="0.2">
      <c r="A2032" s="412" t="s">
        <v>5908</v>
      </c>
      <c r="B2032" s="432" t="s">
        <v>295</v>
      </c>
      <c r="C2032" s="1202"/>
      <c r="D2032" s="1174"/>
      <c r="E2032" s="178">
        <v>2</v>
      </c>
      <c r="F2032" s="178" t="s">
        <v>5912</v>
      </c>
      <c r="G2032" s="725" t="s">
        <v>137</v>
      </c>
      <c r="H2032" s="437">
        <v>58.6</v>
      </c>
      <c r="I2032" s="1176"/>
      <c r="J2032" s="437">
        <f>23832000/797*H2032</f>
        <v>1752264.9937264745</v>
      </c>
      <c r="K2032" s="271">
        <v>769215.84</v>
      </c>
    </row>
    <row r="2033" spans="1:11" ht="13.5" customHeight="1" x14ac:dyDescent="0.2">
      <c r="A2033" s="412" t="s">
        <v>5909</v>
      </c>
      <c r="B2033" s="432" t="s">
        <v>295</v>
      </c>
      <c r="C2033" s="1203"/>
      <c r="D2033" s="1213"/>
      <c r="E2033" s="38">
        <v>11</v>
      </c>
      <c r="F2033" s="2" t="s">
        <v>10334</v>
      </c>
      <c r="G2033" s="353" t="s">
        <v>10335</v>
      </c>
      <c r="H2033" s="443">
        <v>34.700000000000003</v>
      </c>
      <c r="I2033" s="1188"/>
      <c r="J2033" s="443">
        <v>1063227</v>
      </c>
      <c r="K2033" s="443">
        <v>455491.29</v>
      </c>
    </row>
    <row r="2034" spans="1:11" ht="32.25" customHeight="1" x14ac:dyDescent="0.2">
      <c r="A2034" s="410" t="s">
        <v>6407</v>
      </c>
      <c r="B2034" s="350" t="s">
        <v>7387</v>
      </c>
      <c r="C2034" s="1171" t="s">
        <v>13544</v>
      </c>
      <c r="D2034" s="1177">
        <v>5</v>
      </c>
      <c r="E2034" s="451"/>
      <c r="F2034" s="178" t="s">
        <v>6421</v>
      </c>
      <c r="G2034" s="725" t="s">
        <v>5206</v>
      </c>
      <c r="H2034" s="437">
        <f>104.6-104.6</f>
        <v>0</v>
      </c>
      <c r="I2034" s="1177">
        <v>2015</v>
      </c>
      <c r="J2034" s="437">
        <f>(3102315.78+1041348)-(3102315.78+1041348)</f>
        <v>0</v>
      </c>
      <c r="K2034" s="271">
        <v>1885317.76</v>
      </c>
    </row>
    <row r="2035" spans="1:11" ht="12.75" customHeight="1" x14ac:dyDescent="0.2">
      <c r="A2035" s="411" t="s">
        <v>6408</v>
      </c>
      <c r="B2035" s="347" t="s">
        <v>295</v>
      </c>
      <c r="C2035" s="1172"/>
      <c r="D2035" s="1178"/>
      <c r="E2035" s="451">
        <v>1</v>
      </c>
      <c r="F2035" s="178" t="s">
        <v>10058</v>
      </c>
      <c r="G2035" s="722" t="s">
        <v>137</v>
      </c>
      <c r="H2035" s="437">
        <v>34.700000000000003</v>
      </c>
      <c r="I2035" s="1178"/>
      <c r="J2035" s="271">
        <f>3102315.78/104.6*H2035</f>
        <v>1029162.1182217973</v>
      </c>
      <c r="K2035" s="271">
        <v>498632.06</v>
      </c>
    </row>
    <row r="2036" spans="1:11" x14ac:dyDescent="0.2">
      <c r="A2036" s="411" t="s">
        <v>6409</v>
      </c>
      <c r="B2036" s="347" t="s">
        <v>295</v>
      </c>
      <c r="C2036" s="1172"/>
      <c r="D2036" s="1178"/>
      <c r="E2036" s="451">
        <v>2</v>
      </c>
      <c r="F2036" s="178" t="s">
        <v>6422</v>
      </c>
      <c r="G2036" s="722" t="s">
        <v>137</v>
      </c>
      <c r="H2036" s="437">
        <v>34.9</v>
      </c>
      <c r="I2036" s="1178"/>
      <c r="J2036" s="271">
        <f>3102315.78/104.6*H2036</f>
        <v>1035093.8883556405</v>
      </c>
      <c r="K2036" s="271">
        <v>501506.02</v>
      </c>
    </row>
    <row r="2037" spans="1:11" ht="15.75" customHeight="1" x14ac:dyDescent="0.2">
      <c r="A2037" s="411" t="s">
        <v>6410</v>
      </c>
      <c r="B2037" s="347" t="s">
        <v>295</v>
      </c>
      <c r="C2037" s="1172"/>
      <c r="D2037" s="1178"/>
      <c r="E2037" s="451">
        <v>3</v>
      </c>
      <c r="F2037" s="178" t="s">
        <v>6423</v>
      </c>
      <c r="G2037" s="722" t="s">
        <v>137</v>
      </c>
      <c r="H2037" s="437">
        <v>35</v>
      </c>
      <c r="I2037" s="1178"/>
      <c r="J2037" s="271">
        <f>3102315.78/104.6*H2037</f>
        <v>1038059.7734225621</v>
      </c>
      <c r="K2037" s="271">
        <v>502943</v>
      </c>
    </row>
    <row r="2038" spans="1:11" ht="27" customHeight="1" x14ac:dyDescent="0.2">
      <c r="A2038" s="411" t="s">
        <v>7527</v>
      </c>
      <c r="B2038" s="347" t="s">
        <v>295</v>
      </c>
      <c r="C2038" s="1204"/>
      <c r="D2038" s="1179"/>
      <c r="E2038" s="451">
        <v>4</v>
      </c>
      <c r="F2038" s="178" t="s">
        <v>7528</v>
      </c>
      <c r="G2038" s="722" t="s">
        <v>137</v>
      </c>
      <c r="H2038" s="437">
        <v>34.700000000000003</v>
      </c>
      <c r="I2038" s="1179"/>
      <c r="J2038" s="271">
        <v>1041348</v>
      </c>
      <c r="K2038" s="271">
        <v>498632.06</v>
      </c>
    </row>
    <row r="2039" spans="1:11" ht="48" x14ac:dyDescent="0.2">
      <c r="A2039" s="410" t="s">
        <v>6411</v>
      </c>
      <c r="B2039" s="350" t="s">
        <v>7387</v>
      </c>
      <c r="C2039" s="1171" t="s">
        <v>13545</v>
      </c>
      <c r="D2039" s="1177">
        <v>7</v>
      </c>
      <c r="E2039" s="451"/>
      <c r="F2039" s="178" t="s">
        <v>6424</v>
      </c>
      <c r="G2039" s="725" t="s">
        <v>5206</v>
      </c>
      <c r="H2039" s="437">
        <f>138.4-138.4</f>
        <v>0</v>
      </c>
      <c r="I2039" s="1177">
        <v>2015</v>
      </c>
      <c r="J2039" s="271">
        <f>4136421.05-4136421.05</f>
        <v>0</v>
      </c>
      <c r="K2039" s="271">
        <v>1980158.44</v>
      </c>
    </row>
    <row r="2040" spans="1:11" x14ac:dyDescent="0.2">
      <c r="A2040" s="411" t="s">
        <v>6412</v>
      </c>
      <c r="B2040" s="347" t="s">
        <v>295</v>
      </c>
      <c r="C2040" s="1172"/>
      <c r="D2040" s="1178"/>
      <c r="E2040" s="451">
        <v>1</v>
      </c>
      <c r="F2040" s="178" t="s">
        <v>6426</v>
      </c>
      <c r="G2040" s="722" t="s">
        <v>137</v>
      </c>
      <c r="H2040" s="437">
        <v>34.6</v>
      </c>
      <c r="I2040" s="1178"/>
      <c r="J2040" s="271">
        <f>4136421.05/137.8*H2040</f>
        <v>1038607.8978955006</v>
      </c>
      <c r="K2040" s="271">
        <v>497195.08</v>
      </c>
    </row>
    <row r="2041" spans="1:11" x14ac:dyDescent="0.2">
      <c r="A2041" s="411" t="s">
        <v>6415</v>
      </c>
      <c r="B2041" s="347" t="s">
        <v>295</v>
      </c>
      <c r="C2041" s="1172"/>
      <c r="D2041" s="1178"/>
      <c r="E2041" s="451">
        <v>2</v>
      </c>
      <c r="F2041" s="178" t="s">
        <v>6427</v>
      </c>
      <c r="G2041" s="722" t="s">
        <v>137</v>
      </c>
      <c r="H2041" s="437">
        <v>34.6</v>
      </c>
      <c r="I2041" s="1178"/>
      <c r="J2041" s="271">
        <f>4136421.05/137.8*H2041</f>
        <v>1038607.8978955006</v>
      </c>
      <c r="K2041" s="271">
        <v>497195.08</v>
      </c>
    </row>
    <row r="2042" spans="1:11" x14ac:dyDescent="0.2">
      <c r="A2042" s="411" t="s">
        <v>6416</v>
      </c>
      <c r="B2042" s="347" t="s">
        <v>295</v>
      </c>
      <c r="C2042" s="1172"/>
      <c r="D2042" s="1178"/>
      <c r="E2042" s="451">
        <v>3</v>
      </c>
      <c r="F2042" s="178" t="s">
        <v>6428</v>
      </c>
      <c r="G2042" s="722" t="s">
        <v>137</v>
      </c>
      <c r="H2042" s="437">
        <v>34.6</v>
      </c>
      <c r="I2042" s="1178"/>
      <c r="J2042" s="271">
        <f>4136421.05/137.8*H2042</f>
        <v>1038607.8978955006</v>
      </c>
      <c r="K2042" s="271">
        <v>497195.08</v>
      </c>
    </row>
    <row r="2043" spans="1:11" ht="18.75" customHeight="1" x14ac:dyDescent="0.2">
      <c r="A2043" s="411" t="s">
        <v>6417</v>
      </c>
      <c r="B2043" s="347" t="s">
        <v>295</v>
      </c>
      <c r="C2043" s="1204"/>
      <c r="D2043" s="1179"/>
      <c r="E2043" s="451">
        <v>4</v>
      </c>
      <c r="F2043" s="178" t="s">
        <v>6425</v>
      </c>
      <c r="G2043" s="722" t="s">
        <v>137</v>
      </c>
      <c r="H2043" s="437">
        <v>34</v>
      </c>
      <c r="I2043" s="1179"/>
      <c r="J2043" s="271">
        <v>1020597.35</v>
      </c>
      <c r="K2043" s="271">
        <v>488573.2</v>
      </c>
    </row>
    <row r="2044" spans="1:11" ht="48" x14ac:dyDescent="0.2">
      <c r="A2044" s="410" t="s">
        <v>6413</v>
      </c>
      <c r="B2044" s="350" t="s">
        <v>7387</v>
      </c>
      <c r="C2044" s="1171" t="s">
        <v>13546</v>
      </c>
      <c r="D2044" s="1177">
        <v>9</v>
      </c>
      <c r="E2044" s="451"/>
      <c r="F2044" s="178" t="s">
        <v>6429</v>
      </c>
      <c r="G2044" s="725" t="s">
        <v>5206</v>
      </c>
      <c r="H2044" s="437">
        <f>137.2-137.2</f>
        <v>0</v>
      </c>
      <c r="I2044" s="1177">
        <v>2015</v>
      </c>
      <c r="J2044" s="271">
        <f>4136421.05-4136421.05</f>
        <v>0</v>
      </c>
      <c r="K2044" s="271">
        <v>1971536.56</v>
      </c>
    </row>
    <row r="2045" spans="1:11" x14ac:dyDescent="0.2">
      <c r="A2045" s="411" t="s">
        <v>6414</v>
      </c>
      <c r="B2045" s="347" t="s">
        <v>295</v>
      </c>
      <c r="C2045" s="1172"/>
      <c r="D2045" s="1178"/>
      <c r="E2045" s="451">
        <v>1</v>
      </c>
      <c r="F2045" s="178" t="s">
        <v>6432</v>
      </c>
      <c r="G2045" s="722" t="s">
        <v>137</v>
      </c>
      <c r="H2045" s="437">
        <v>34.200000000000003</v>
      </c>
      <c r="I2045" s="1178"/>
      <c r="J2045" s="271">
        <f>4136421.05/137.2*H2045</f>
        <v>1031090.3783527698</v>
      </c>
      <c r="K2045" s="271">
        <v>491447.16</v>
      </c>
    </row>
    <row r="2046" spans="1:11" x14ac:dyDescent="0.2">
      <c r="A2046" s="411" t="s">
        <v>6418</v>
      </c>
      <c r="B2046" s="347" t="s">
        <v>295</v>
      </c>
      <c r="C2046" s="1172"/>
      <c r="D2046" s="1178"/>
      <c r="E2046" s="451">
        <v>2</v>
      </c>
      <c r="F2046" s="178" t="s">
        <v>6433</v>
      </c>
      <c r="G2046" s="722" t="s">
        <v>137</v>
      </c>
      <c r="H2046" s="437">
        <v>34.4</v>
      </c>
      <c r="I2046" s="1178"/>
      <c r="J2046" s="271">
        <f>4136421.05/137.2*H2046</f>
        <v>1037120.1466472303</v>
      </c>
      <c r="K2046" s="271">
        <v>494321.12</v>
      </c>
    </row>
    <row r="2047" spans="1:11" x14ac:dyDescent="0.2">
      <c r="A2047" s="411" t="s">
        <v>6419</v>
      </c>
      <c r="B2047" s="347" t="s">
        <v>295</v>
      </c>
      <c r="C2047" s="1172"/>
      <c r="D2047" s="1178"/>
      <c r="E2047" s="451">
        <v>3</v>
      </c>
      <c r="F2047" s="178" t="s">
        <v>6431</v>
      </c>
      <c r="G2047" s="722" t="s">
        <v>137</v>
      </c>
      <c r="H2047" s="437">
        <v>34.4</v>
      </c>
      <c r="I2047" s="1178"/>
      <c r="J2047" s="271">
        <f>4136421.05/137.2*H2047</f>
        <v>1037120.1466472303</v>
      </c>
      <c r="K2047" s="271">
        <v>494321.12</v>
      </c>
    </row>
    <row r="2048" spans="1:11" ht="18" customHeight="1" x14ac:dyDescent="0.2">
      <c r="A2048" s="411" t="s">
        <v>6420</v>
      </c>
      <c r="B2048" s="347" t="s">
        <v>295</v>
      </c>
      <c r="C2048" s="1204"/>
      <c r="D2048" s="1179"/>
      <c r="E2048" s="451">
        <v>4</v>
      </c>
      <c r="F2048" s="178" t="s">
        <v>6430</v>
      </c>
      <c r="G2048" s="722" t="s">
        <v>137</v>
      </c>
      <c r="H2048" s="437">
        <v>34.200000000000003</v>
      </c>
      <c r="I2048" s="1179"/>
      <c r="J2048" s="271">
        <v>1031090.37</v>
      </c>
      <c r="K2048" s="271">
        <v>491447.16</v>
      </c>
    </row>
    <row r="2049" spans="1:11" ht="15" customHeight="1" x14ac:dyDescent="0.2">
      <c r="A2049" s="410" t="s">
        <v>6587</v>
      </c>
      <c r="B2049" s="347"/>
      <c r="C2049" s="1171" t="s">
        <v>11466</v>
      </c>
      <c r="D2049" s="1177" t="s">
        <v>5927</v>
      </c>
      <c r="E2049" s="451"/>
      <c r="F2049" s="178"/>
      <c r="G2049" s="722"/>
      <c r="H2049" s="437">
        <f>833.3-833.3</f>
        <v>0</v>
      </c>
      <c r="I2049" s="1177">
        <v>2015</v>
      </c>
      <c r="J2049" s="271">
        <f>26548062.8-26548062.8</f>
        <v>0</v>
      </c>
      <c r="K2049" s="271"/>
    </row>
    <row r="2050" spans="1:11" ht="14.25" customHeight="1" x14ac:dyDescent="0.2">
      <c r="A2050" s="411" t="s">
        <v>9911</v>
      </c>
      <c r="B2050" s="347" t="s">
        <v>295</v>
      </c>
      <c r="C2050" s="1172"/>
      <c r="D2050" s="1178"/>
      <c r="E2050" s="451">
        <v>18</v>
      </c>
      <c r="F2050" s="200" t="s">
        <v>9913</v>
      </c>
      <c r="G2050" s="724" t="s">
        <v>128</v>
      </c>
      <c r="H2050" s="505">
        <v>30</v>
      </c>
      <c r="I2050" s="1178"/>
      <c r="J2050" s="480">
        <f>2332075.1/73.2*H2050</f>
        <v>955768.48360655736</v>
      </c>
      <c r="K2050" s="480">
        <v>339638.1</v>
      </c>
    </row>
    <row r="2051" spans="1:11" ht="15" customHeight="1" x14ac:dyDescent="0.2">
      <c r="A2051" s="411" t="s">
        <v>9912</v>
      </c>
      <c r="B2051" s="347" t="s">
        <v>295</v>
      </c>
      <c r="C2051" s="1172"/>
      <c r="D2051" s="1178"/>
      <c r="E2051" s="453" t="s">
        <v>7251</v>
      </c>
      <c r="F2051" s="200" t="s">
        <v>9914</v>
      </c>
      <c r="G2051" s="724" t="s">
        <v>128</v>
      </c>
      <c r="H2051" s="505">
        <v>36.799999999999997</v>
      </c>
      <c r="I2051" s="1179"/>
      <c r="J2051" s="480">
        <f>2332075.1/73.2*H2051</f>
        <v>1172409.3398907103</v>
      </c>
      <c r="K2051" s="480">
        <v>416622.74</v>
      </c>
    </row>
    <row r="2052" spans="1:11" ht="12.75" customHeight="1" x14ac:dyDescent="0.2">
      <c r="A2052" s="410" t="s">
        <v>6609</v>
      </c>
      <c r="B2052" s="347"/>
      <c r="C2052" s="1171" t="s">
        <v>11467</v>
      </c>
      <c r="D2052" s="1177">
        <v>1</v>
      </c>
      <c r="E2052" s="350"/>
      <c r="F2052" s="178" t="s">
        <v>7167</v>
      </c>
      <c r="G2052" s="722" t="s">
        <v>6845</v>
      </c>
      <c r="H2052" s="498">
        <f>657-657</f>
        <v>0</v>
      </c>
      <c r="I2052" s="1177">
        <v>2016</v>
      </c>
      <c r="J2052" s="437">
        <f>20751225.6-20751225.6</f>
        <v>0</v>
      </c>
      <c r="K2052" s="271">
        <v>11589243.699999999</v>
      </c>
    </row>
    <row r="2053" spans="1:11" ht="15" customHeight="1" x14ac:dyDescent="0.2">
      <c r="A2053" s="411" t="s">
        <v>6610</v>
      </c>
      <c r="B2053" s="347" t="s">
        <v>295</v>
      </c>
      <c r="C2053" s="1172"/>
      <c r="D2053" s="1178"/>
      <c r="E2053" s="347">
        <v>2</v>
      </c>
      <c r="F2053" s="178" t="s">
        <v>10059</v>
      </c>
      <c r="G2053" s="722" t="s">
        <v>7168</v>
      </c>
      <c r="H2053" s="498">
        <v>32.799999999999997</v>
      </c>
      <c r="I2053" s="1178"/>
      <c r="J2053" s="437">
        <f t="shared" ref="J2053:J2062" si="22">20751225.6/657*H2053</f>
        <v>1035982.039086758</v>
      </c>
      <c r="K2053" s="271">
        <v>471329.44</v>
      </c>
    </row>
    <row r="2054" spans="1:11" ht="16.5" customHeight="1" x14ac:dyDescent="0.2">
      <c r="A2054" s="411" t="s">
        <v>6611</v>
      </c>
      <c r="B2054" s="347" t="s">
        <v>295</v>
      </c>
      <c r="C2054" s="1172"/>
      <c r="D2054" s="1178"/>
      <c r="E2054" s="347">
        <v>3</v>
      </c>
      <c r="F2054" s="178" t="s">
        <v>10060</v>
      </c>
      <c r="G2054" s="722" t="s">
        <v>7168</v>
      </c>
      <c r="H2054" s="498">
        <v>33.200000000000003</v>
      </c>
      <c r="I2054" s="1178"/>
      <c r="J2054" s="437">
        <f t="shared" si="22"/>
        <v>1048615.9663926943</v>
      </c>
      <c r="K2054" s="271">
        <v>477077.36</v>
      </c>
    </row>
    <row r="2055" spans="1:11" ht="13.5" customHeight="1" x14ac:dyDescent="0.2">
      <c r="A2055" s="411" t="s">
        <v>6612</v>
      </c>
      <c r="B2055" s="347" t="s">
        <v>295</v>
      </c>
      <c r="C2055" s="1172"/>
      <c r="D2055" s="1178"/>
      <c r="E2055" s="347">
        <v>5</v>
      </c>
      <c r="F2055" s="178" t="s">
        <v>10061</v>
      </c>
      <c r="G2055" s="722" t="s">
        <v>7168</v>
      </c>
      <c r="H2055" s="498">
        <v>33</v>
      </c>
      <c r="I2055" s="1178"/>
      <c r="J2055" s="437">
        <f t="shared" si="22"/>
        <v>1042299.0027397261</v>
      </c>
      <c r="K2055" s="271">
        <v>474203.4</v>
      </c>
    </row>
    <row r="2056" spans="1:11" ht="12.75" customHeight="1" x14ac:dyDescent="0.2">
      <c r="A2056" s="411" t="s">
        <v>6613</v>
      </c>
      <c r="B2056" s="347" t="s">
        <v>295</v>
      </c>
      <c r="C2056" s="1172"/>
      <c r="D2056" s="1178"/>
      <c r="E2056" s="347">
        <v>7</v>
      </c>
      <c r="F2056" s="178" t="s">
        <v>10062</v>
      </c>
      <c r="G2056" s="722" t="s">
        <v>7168</v>
      </c>
      <c r="H2056" s="498">
        <v>33.299999999999997</v>
      </c>
      <c r="I2056" s="1178"/>
      <c r="J2056" s="437">
        <f t="shared" si="22"/>
        <v>1051774.448219178</v>
      </c>
      <c r="K2056" s="271">
        <v>478514.34</v>
      </c>
    </row>
    <row r="2057" spans="1:11" x14ac:dyDescent="0.2">
      <c r="A2057" s="411" t="s">
        <v>6614</v>
      </c>
      <c r="B2057" s="347" t="s">
        <v>295</v>
      </c>
      <c r="C2057" s="1172"/>
      <c r="D2057" s="1178"/>
      <c r="E2057" s="347">
        <v>8</v>
      </c>
      <c r="F2057" s="178" t="s">
        <v>10063</v>
      </c>
      <c r="G2057" s="722" t="s">
        <v>10064</v>
      </c>
      <c r="H2057" s="498">
        <v>33.1</v>
      </c>
      <c r="I2057" s="1178"/>
      <c r="J2057" s="437">
        <f t="shared" si="22"/>
        <v>1045457.4845662102</v>
      </c>
      <c r="K2057" s="271">
        <v>475640.38</v>
      </c>
    </row>
    <row r="2058" spans="1:11" ht="12.75" customHeight="1" x14ac:dyDescent="0.2">
      <c r="A2058" s="411" t="s">
        <v>6615</v>
      </c>
      <c r="B2058" s="347" t="s">
        <v>295</v>
      </c>
      <c r="C2058" s="1172"/>
      <c r="D2058" s="1178"/>
      <c r="E2058" s="347">
        <v>11</v>
      </c>
      <c r="F2058" s="178" t="s">
        <v>10065</v>
      </c>
      <c r="G2058" s="722" t="s">
        <v>10064</v>
      </c>
      <c r="H2058" s="498">
        <v>33</v>
      </c>
      <c r="I2058" s="1178"/>
      <c r="J2058" s="437">
        <f t="shared" si="22"/>
        <v>1042299.0027397261</v>
      </c>
      <c r="K2058" s="271">
        <v>474203.4</v>
      </c>
    </row>
    <row r="2059" spans="1:11" x14ac:dyDescent="0.2">
      <c r="A2059" s="411" t="s">
        <v>6616</v>
      </c>
      <c r="B2059" s="347" t="s">
        <v>295</v>
      </c>
      <c r="C2059" s="1172"/>
      <c r="D2059" s="1178"/>
      <c r="E2059" s="347">
        <v>14</v>
      </c>
      <c r="F2059" s="178" t="s">
        <v>10066</v>
      </c>
      <c r="G2059" s="722" t="s">
        <v>10064</v>
      </c>
      <c r="H2059" s="498">
        <v>32.9</v>
      </c>
      <c r="I2059" s="1178"/>
      <c r="J2059" s="437">
        <f t="shared" si="22"/>
        <v>1039140.520913242</v>
      </c>
      <c r="K2059" s="271">
        <v>472766.42</v>
      </c>
    </row>
    <row r="2060" spans="1:11" x14ac:dyDescent="0.2">
      <c r="A2060" s="411" t="s">
        <v>6617</v>
      </c>
      <c r="B2060" s="347" t="s">
        <v>295</v>
      </c>
      <c r="C2060" s="1172"/>
      <c r="D2060" s="1178"/>
      <c r="E2060" s="347">
        <v>15</v>
      </c>
      <c r="F2060" s="178" t="s">
        <v>10067</v>
      </c>
      <c r="G2060" s="722" t="s">
        <v>8286</v>
      </c>
      <c r="H2060" s="498">
        <v>33</v>
      </c>
      <c r="I2060" s="1178"/>
      <c r="J2060" s="437">
        <f t="shared" si="22"/>
        <v>1042299.0027397261</v>
      </c>
      <c r="K2060" s="271">
        <v>474203.4</v>
      </c>
    </row>
    <row r="2061" spans="1:11" x14ac:dyDescent="0.2">
      <c r="A2061" s="411" t="s">
        <v>6618</v>
      </c>
      <c r="B2061" s="347" t="s">
        <v>295</v>
      </c>
      <c r="C2061" s="1172"/>
      <c r="D2061" s="1178"/>
      <c r="E2061" s="347">
        <v>17</v>
      </c>
      <c r="F2061" s="178" t="s">
        <v>10068</v>
      </c>
      <c r="G2061" s="722" t="s">
        <v>8286</v>
      </c>
      <c r="H2061" s="498">
        <v>32.200000000000003</v>
      </c>
      <c r="I2061" s="1178"/>
      <c r="J2061" s="437">
        <f t="shared" si="22"/>
        <v>1017031.1481278541</v>
      </c>
      <c r="K2061" s="271">
        <v>462707.56</v>
      </c>
    </row>
    <row r="2062" spans="1:11" x14ac:dyDescent="0.2">
      <c r="A2062" s="411" t="s">
        <v>7233</v>
      </c>
      <c r="B2062" s="347" t="s">
        <v>295</v>
      </c>
      <c r="C2062" s="1172"/>
      <c r="D2062" s="1178"/>
      <c r="E2062" s="347">
        <v>19</v>
      </c>
      <c r="F2062" s="178" t="s">
        <v>10069</v>
      </c>
      <c r="G2062" s="722" t="s">
        <v>8286</v>
      </c>
      <c r="H2062" s="498">
        <v>32.700000000000003</v>
      </c>
      <c r="I2062" s="1178"/>
      <c r="J2062" s="437">
        <f t="shared" si="22"/>
        <v>1032823.5572602742</v>
      </c>
      <c r="K2062" s="271">
        <v>469892.46</v>
      </c>
    </row>
    <row r="2063" spans="1:11" ht="14.25" customHeight="1" x14ac:dyDescent="0.2">
      <c r="A2063" s="411" t="s">
        <v>11814</v>
      </c>
      <c r="B2063" s="347" t="s">
        <v>295</v>
      </c>
      <c r="C2063" s="1172"/>
      <c r="D2063" s="1178"/>
      <c r="E2063" s="432">
        <v>12</v>
      </c>
      <c r="F2063" s="200" t="s">
        <v>11785</v>
      </c>
      <c r="G2063" s="724" t="s">
        <v>512</v>
      </c>
      <c r="H2063" s="505">
        <v>32.9</v>
      </c>
      <c r="I2063" s="1178"/>
      <c r="J2063" s="443">
        <v>919380</v>
      </c>
      <c r="K2063" s="480">
        <v>472766.42</v>
      </c>
    </row>
    <row r="2064" spans="1:11" ht="14.25" customHeight="1" x14ac:dyDescent="0.2">
      <c r="A2064" s="411" t="s">
        <v>11815</v>
      </c>
      <c r="B2064" s="347" t="s">
        <v>295</v>
      </c>
      <c r="C2064" s="1204"/>
      <c r="D2064" s="1179"/>
      <c r="E2064" s="432">
        <v>10</v>
      </c>
      <c r="F2064" s="200" t="s">
        <v>11816</v>
      </c>
      <c r="G2064" s="724" t="s">
        <v>512</v>
      </c>
      <c r="H2064" s="505">
        <v>32.6</v>
      </c>
      <c r="I2064" s="1179"/>
      <c r="J2064" s="443">
        <v>912800</v>
      </c>
      <c r="K2064" s="480">
        <v>468455.48</v>
      </c>
    </row>
    <row r="2065" spans="1:11" ht="14.25" customHeight="1" x14ac:dyDescent="0.2">
      <c r="A2065" s="410" t="s">
        <v>6669</v>
      </c>
      <c r="B2065" s="347"/>
      <c r="C2065" s="1171" t="s">
        <v>11468</v>
      </c>
      <c r="D2065" s="1177" t="s">
        <v>6674</v>
      </c>
      <c r="E2065" s="451"/>
      <c r="F2065" s="178" t="s">
        <v>6675</v>
      </c>
      <c r="G2065" s="722" t="s">
        <v>6680</v>
      </c>
      <c r="H2065" s="498">
        <f>1010.6-1010.6</f>
        <v>0</v>
      </c>
      <c r="I2065" s="1177">
        <v>2016</v>
      </c>
      <c r="J2065" s="437">
        <f>31366821.78-31366821.78</f>
        <v>0</v>
      </c>
      <c r="K2065" s="271"/>
    </row>
    <row r="2066" spans="1:11" ht="16.5" customHeight="1" x14ac:dyDescent="0.2">
      <c r="A2066" s="411" t="s">
        <v>6670</v>
      </c>
      <c r="B2066" s="347" t="s">
        <v>295</v>
      </c>
      <c r="C2066" s="1172"/>
      <c r="D2066" s="1178"/>
      <c r="E2066" s="347">
        <v>2</v>
      </c>
      <c r="F2066" s="178" t="s">
        <v>6676</v>
      </c>
      <c r="G2066" s="722" t="s">
        <v>137</v>
      </c>
      <c r="H2066" s="347">
        <v>31.5</v>
      </c>
      <c r="I2066" s="1178"/>
      <c r="J2066" s="437">
        <f t="shared" ref="J2066:J2069" si="23">31366821.78/1010.6*H2066</f>
        <v>977691.35767860676</v>
      </c>
      <c r="K2066" s="275">
        <v>306421.61</v>
      </c>
    </row>
    <row r="2067" spans="1:11" ht="15.75" customHeight="1" x14ac:dyDescent="0.2">
      <c r="A2067" s="411" t="s">
        <v>6671</v>
      </c>
      <c r="B2067" s="347" t="s">
        <v>295</v>
      </c>
      <c r="C2067" s="1172"/>
      <c r="D2067" s="1178"/>
      <c r="E2067" s="347">
        <v>9</v>
      </c>
      <c r="F2067" s="178" t="s">
        <v>6677</v>
      </c>
      <c r="G2067" s="722" t="s">
        <v>128</v>
      </c>
      <c r="H2067" s="347">
        <v>60.2</v>
      </c>
      <c r="I2067" s="1178"/>
      <c r="J2067" s="437">
        <f t="shared" si="23"/>
        <v>1868476.8168968931</v>
      </c>
      <c r="K2067" s="275">
        <v>585605.73</v>
      </c>
    </row>
    <row r="2068" spans="1:11" ht="16.5" customHeight="1" x14ac:dyDescent="0.2">
      <c r="A2068" s="411" t="s">
        <v>6672</v>
      </c>
      <c r="B2068" s="347" t="s">
        <v>295</v>
      </c>
      <c r="C2068" s="1172"/>
      <c r="D2068" s="1178"/>
      <c r="E2068" s="347">
        <v>12</v>
      </c>
      <c r="F2068" s="178" t="s">
        <v>6678</v>
      </c>
      <c r="G2068" s="722" t="s">
        <v>128</v>
      </c>
      <c r="H2068" s="347">
        <v>66.5</v>
      </c>
      <c r="I2068" s="1178"/>
      <c r="J2068" s="437">
        <f t="shared" si="23"/>
        <v>2064015.0884326142</v>
      </c>
      <c r="K2068" s="275">
        <v>646890.06000000006</v>
      </c>
    </row>
    <row r="2069" spans="1:11" x14ac:dyDescent="0.2">
      <c r="A2069" s="411" t="s">
        <v>6673</v>
      </c>
      <c r="B2069" s="347" t="s">
        <v>295</v>
      </c>
      <c r="C2069" s="1172"/>
      <c r="D2069" s="1178"/>
      <c r="E2069" s="347">
        <v>14</v>
      </c>
      <c r="F2069" s="178" t="s">
        <v>6679</v>
      </c>
      <c r="G2069" s="722" t="s">
        <v>137</v>
      </c>
      <c r="H2069" s="347">
        <v>53.6</v>
      </c>
      <c r="I2069" s="1178"/>
      <c r="J2069" s="437">
        <f t="shared" si="23"/>
        <v>1663627.1990975658</v>
      </c>
      <c r="K2069" s="275">
        <v>521403.11</v>
      </c>
    </row>
    <row r="2070" spans="1:11" x14ac:dyDescent="0.2">
      <c r="A2070" s="867" t="s">
        <v>14311</v>
      </c>
      <c r="B2070" s="833" t="s">
        <v>295</v>
      </c>
      <c r="C2070" s="1204"/>
      <c r="D2070" s="1179"/>
      <c r="E2070" s="833">
        <v>1</v>
      </c>
      <c r="F2070" s="178" t="s">
        <v>14312</v>
      </c>
      <c r="G2070" s="615" t="s">
        <v>137</v>
      </c>
      <c r="H2070" s="833">
        <v>60.5</v>
      </c>
      <c r="I2070" s="1179"/>
      <c r="J2070" s="437">
        <v>6236369.2000000002</v>
      </c>
      <c r="K2070" s="275">
        <v>588524.04</v>
      </c>
    </row>
    <row r="2071" spans="1:11" ht="36" customHeight="1" x14ac:dyDescent="0.2">
      <c r="A2071" s="410" t="s">
        <v>6836</v>
      </c>
      <c r="B2071" s="276" t="s">
        <v>7387</v>
      </c>
      <c r="C2071" s="1171" t="s">
        <v>13547</v>
      </c>
      <c r="D2071" s="1177" t="s">
        <v>5857</v>
      </c>
      <c r="E2071" s="347"/>
      <c r="F2071" s="178" t="s">
        <v>6844</v>
      </c>
      <c r="G2071" s="722" t="s">
        <v>6845</v>
      </c>
      <c r="H2071" s="437">
        <f>661.1-661.1</f>
        <v>0</v>
      </c>
      <c r="I2071" s="1177">
        <v>2016</v>
      </c>
      <c r="J2071" s="437">
        <f>20620004-20620004</f>
        <v>0</v>
      </c>
      <c r="K2071" s="275"/>
    </row>
    <row r="2072" spans="1:11" ht="18.75" customHeight="1" x14ac:dyDescent="0.2">
      <c r="A2072" s="411" t="s">
        <v>6837</v>
      </c>
      <c r="B2072" s="347" t="s">
        <v>295</v>
      </c>
      <c r="C2072" s="1172"/>
      <c r="D2072" s="1178"/>
      <c r="E2072" s="347">
        <v>3</v>
      </c>
      <c r="F2072" s="178" t="s">
        <v>6846</v>
      </c>
      <c r="G2072" s="722" t="s">
        <v>137</v>
      </c>
      <c r="H2072" s="498">
        <v>32.700000000000003</v>
      </c>
      <c r="I2072" s="1178"/>
      <c r="J2072" s="437">
        <f t="shared" ref="J2072:J2078" si="24">20620004/661.1*H2072</f>
        <v>1019927.5915897747</v>
      </c>
      <c r="K2072" s="275">
        <v>370205.53</v>
      </c>
    </row>
    <row r="2073" spans="1:11" ht="15" customHeight="1" x14ac:dyDescent="0.2">
      <c r="A2073" s="411" t="s">
        <v>6838</v>
      </c>
      <c r="B2073" s="347" t="s">
        <v>295</v>
      </c>
      <c r="C2073" s="1172"/>
      <c r="D2073" s="1178"/>
      <c r="E2073" s="347">
        <v>6</v>
      </c>
      <c r="F2073" s="178" t="s">
        <v>6847</v>
      </c>
      <c r="G2073" s="722" t="s">
        <v>137</v>
      </c>
      <c r="H2073" s="498">
        <v>33.200000000000003</v>
      </c>
      <c r="I2073" s="1178"/>
      <c r="J2073" s="437">
        <f t="shared" si="24"/>
        <v>1035522.8147027682</v>
      </c>
      <c r="K2073" s="275">
        <v>375866.16</v>
      </c>
    </row>
    <row r="2074" spans="1:11" ht="15" customHeight="1" x14ac:dyDescent="0.2">
      <c r="A2074" s="411" t="s">
        <v>6839</v>
      </c>
      <c r="B2074" s="347" t="s">
        <v>295</v>
      </c>
      <c r="C2074" s="1172"/>
      <c r="D2074" s="1178"/>
      <c r="E2074" s="347">
        <v>10</v>
      </c>
      <c r="F2074" s="178" t="s">
        <v>6848</v>
      </c>
      <c r="G2074" s="722" t="s">
        <v>512</v>
      </c>
      <c r="H2074" s="498">
        <v>32.700000000000003</v>
      </c>
      <c r="I2074" s="1178"/>
      <c r="J2074" s="437">
        <f t="shared" si="24"/>
        <v>1019927.5915897747</v>
      </c>
      <c r="K2074" s="275">
        <v>370205.53</v>
      </c>
    </row>
    <row r="2075" spans="1:11" ht="15" customHeight="1" x14ac:dyDescent="0.2">
      <c r="A2075" s="411" t="s">
        <v>6840</v>
      </c>
      <c r="B2075" s="347" t="s">
        <v>295</v>
      </c>
      <c r="C2075" s="1172"/>
      <c r="D2075" s="1178"/>
      <c r="E2075" s="347">
        <v>11</v>
      </c>
      <c r="F2075" s="178" t="s">
        <v>6849</v>
      </c>
      <c r="G2075" s="722" t="s">
        <v>512</v>
      </c>
      <c r="H2075" s="498">
        <v>32.700000000000003</v>
      </c>
      <c r="I2075" s="1178"/>
      <c r="J2075" s="437">
        <f t="shared" si="24"/>
        <v>1019927.5915897747</v>
      </c>
      <c r="K2075" s="275">
        <v>370205.53</v>
      </c>
    </row>
    <row r="2076" spans="1:11" ht="15" customHeight="1" x14ac:dyDescent="0.2">
      <c r="A2076" s="411" t="s">
        <v>6841</v>
      </c>
      <c r="B2076" s="347" t="s">
        <v>295</v>
      </c>
      <c r="C2076" s="1172"/>
      <c r="D2076" s="1178"/>
      <c r="E2076" s="347">
        <v>17</v>
      </c>
      <c r="F2076" s="178" t="s">
        <v>10070</v>
      </c>
      <c r="G2076" s="722" t="s">
        <v>128</v>
      </c>
      <c r="H2076" s="498">
        <v>32.5</v>
      </c>
      <c r="I2076" s="1178"/>
      <c r="J2076" s="437">
        <f t="shared" si="24"/>
        <v>1013689.5023445772</v>
      </c>
      <c r="K2076" s="275">
        <v>367941.28</v>
      </c>
    </row>
    <row r="2077" spans="1:11" ht="15" customHeight="1" x14ac:dyDescent="0.2">
      <c r="A2077" s="411" t="s">
        <v>6842</v>
      </c>
      <c r="B2077" s="347" t="s">
        <v>295</v>
      </c>
      <c r="C2077" s="1172"/>
      <c r="D2077" s="1178"/>
      <c r="E2077" s="347">
        <v>18</v>
      </c>
      <c r="F2077" s="178" t="s">
        <v>10071</v>
      </c>
      <c r="G2077" s="722" t="s">
        <v>128</v>
      </c>
      <c r="H2077" s="498">
        <v>32.700000000000003</v>
      </c>
      <c r="I2077" s="1178"/>
      <c r="J2077" s="437">
        <f t="shared" si="24"/>
        <v>1019927.5915897747</v>
      </c>
      <c r="K2077" s="275">
        <v>370205.53</v>
      </c>
    </row>
    <row r="2078" spans="1:11" ht="15" customHeight="1" x14ac:dyDescent="0.2">
      <c r="A2078" s="411" t="s">
        <v>6843</v>
      </c>
      <c r="B2078" s="347" t="s">
        <v>295</v>
      </c>
      <c r="C2078" s="1172"/>
      <c r="D2078" s="1178"/>
      <c r="E2078" s="347">
        <v>19</v>
      </c>
      <c r="F2078" s="178" t="s">
        <v>6850</v>
      </c>
      <c r="G2078" s="722" t="s">
        <v>128</v>
      </c>
      <c r="H2078" s="498">
        <v>32.9</v>
      </c>
      <c r="I2078" s="1178"/>
      <c r="J2078" s="437">
        <f t="shared" si="24"/>
        <v>1026165.680834972</v>
      </c>
      <c r="K2078" s="275">
        <v>372469.78</v>
      </c>
    </row>
    <row r="2079" spans="1:11" ht="15" customHeight="1" x14ac:dyDescent="0.2">
      <c r="A2079" s="867" t="s">
        <v>14286</v>
      </c>
      <c r="B2079" s="833" t="s">
        <v>295</v>
      </c>
      <c r="C2079" s="1172"/>
      <c r="D2079" s="1178"/>
      <c r="E2079" s="833">
        <v>2</v>
      </c>
      <c r="F2079" s="265" t="s">
        <v>14287</v>
      </c>
      <c r="G2079" s="615" t="s">
        <v>137</v>
      </c>
      <c r="H2079" s="498">
        <v>33.5</v>
      </c>
      <c r="I2079" s="1178"/>
      <c r="J2079" s="437">
        <v>2918178.66</v>
      </c>
      <c r="K2079" s="275">
        <v>379262.55</v>
      </c>
    </row>
    <row r="2080" spans="1:11" ht="15" customHeight="1" x14ac:dyDescent="0.2">
      <c r="A2080" s="867" t="s">
        <v>14286</v>
      </c>
      <c r="B2080" s="833" t="s">
        <v>295</v>
      </c>
      <c r="C2080" s="1204"/>
      <c r="D2080" s="1179"/>
      <c r="E2080" s="833">
        <v>12</v>
      </c>
      <c r="F2080" s="265" t="s">
        <v>14288</v>
      </c>
      <c r="G2080" s="615" t="s">
        <v>512</v>
      </c>
      <c r="H2080" s="498">
        <v>32.9</v>
      </c>
      <c r="I2080" s="1179"/>
      <c r="J2080" s="437">
        <v>3064785.8</v>
      </c>
      <c r="K2080" s="275"/>
    </row>
    <row r="2081" spans="1:11" ht="15" customHeight="1" x14ac:dyDescent="0.2">
      <c r="A2081" s="410" t="s">
        <v>7166</v>
      </c>
      <c r="B2081" s="276" t="s">
        <v>7387</v>
      </c>
      <c r="C2081" s="1171" t="s">
        <v>13548</v>
      </c>
      <c r="D2081" s="1177" t="s">
        <v>7251</v>
      </c>
      <c r="E2081" s="178"/>
      <c r="F2081" s="265"/>
      <c r="G2081" s="725" t="s">
        <v>7403</v>
      </c>
      <c r="H2081" s="498">
        <f>106.1-106.1</f>
        <v>0</v>
      </c>
      <c r="I2081" s="1217">
        <v>2015</v>
      </c>
      <c r="J2081" s="437">
        <f>3092460-3092460</f>
        <v>0</v>
      </c>
      <c r="K2081" s="275">
        <v>1858719.48</v>
      </c>
    </row>
    <row r="2082" spans="1:11" ht="15" customHeight="1" x14ac:dyDescent="0.2">
      <c r="A2082" s="411" t="s">
        <v>7391</v>
      </c>
      <c r="B2082" s="460" t="s">
        <v>295</v>
      </c>
      <c r="C2082" s="1172"/>
      <c r="D2082" s="1178"/>
      <c r="E2082" s="178">
        <v>1</v>
      </c>
      <c r="F2082" s="265" t="s">
        <v>7405</v>
      </c>
      <c r="G2082" s="722" t="s">
        <v>137</v>
      </c>
      <c r="H2082" s="347">
        <v>35.200000000000003</v>
      </c>
      <c r="I2082" s="1218"/>
      <c r="J2082" s="437">
        <f>3092460/106.1*H2082</f>
        <v>1025962.2243166826</v>
      </c>
      <c r="K2082" s="275">
        <v>462054.56</v>
      </c>
    </row>
    <row r="2083" spans="1:11" ht="15" customHeight="1" x14ac:dyDescent="0.2">
      <c r="A2083" s="411" t="s">
        <v>7392</v>
      </c>
      <c r="B2083" s="460" t="s">
        <v>295</v>
      </c>
      <c r="C2083" s="1172"/>
      <c r="D2083" s="1178"/>
      <c r="E2083" s="178">
        <v>2</v>
      </c>
      <c r="F2083" s="265" t="s">
        <v>7406</v>
      </c>
      <c r="G2083" s="722" t="s">
        <v>137</v>
      </c>
      <c r="H2083" s="347">
        <v>35.5</v>
      </c>
      <c r="I2083" s="1218"/>
      <c r="J2083" s="437">
        <f>3092460/106.1*H2083</f>
        <v>1034706.2205466542</v>
      </c>
      <c r="K2083" s="275">
        <v>465992.53</v>
      </c>
    </row>
    <row r="2084" spans="1:11" ht="15" customHeight="1" x14ac:dyDescent="0.2">
      <c r="A2084" s="411" t="s">
        <v>7393</v>
      </c>
      <c r="B2084" s="460" t="s">
        <v>295</v>
      </c>
      <c r="C2084" s="1172"/>
      <c r="D2084" s="1178"/>
      <c r="E2084" s="178">
        <v>3</v>
      </c>
      <c r="F2084" s="265" t="s">
        <v>7404</v>
      </c>
      <c r="G2084" s="722" t="s">
        <v>137</v>
      </c>
      <c r="H2084" s="347">
        <v>35.4</v>
      </c>
      <c r="I2084" s="1218"/>
      <c r="J2084" s="437">
        <f>3092460/106.1*H2084</f>
        <v>1031791.5551366635</v>
      </c>
      <c r="K2084" s="275">
        <v>464679.87</v>
      </c>
    </row>
    <row r="2085" spans="1:11" ht="15" customHeight="1" x14ac:dyDescent="0.2">
      <c r="A2085" s="411" t="s">
        <v>7394</v>
      </c>
      <c r="B2085" s="460" t="s">
        <v>295</v>
      </c>
      <c r="C2085" s="1204"/>
      <c r="D2085" s="1179"/>
      <c r="E2085" s="178">
        <v>4</v>
      </c>
      <c r="F2085" s="265" t="s">
        <v>7253</v>
      </c>
      <c r="G2085" s="722" t="s">
        <v>137</v>
      </c>
      <c r="H2085" s="347">
        <v>35.5</v>
      </c>
      <c r="I2085" s="1219"/>
      <c r="J2085" s="437">
        <v>1041348</v>
      </c>
      <c r="K2085" s="275">
        <v>465992.53</v>
      </c>
    </row>
    <row r="2086" spans="1:11" ht="36" customHeight="1" x14ac:dyDescent="0.2">
      <c r="A2086" s="410" t="s">
        <v>7250</v>
      </c>
      <c r="B2086" s="276" t="s">
        <v>7387</v>
      </c>
      <c r="C2086" s="1171" t="s">
        <v>13549</v>
      </c>
      <c r="D2086" s="1177" t="s">
        <v>7252</v>
      </c>
      <c r="E2086" s="178"/>
      <c r="F2086" s="265" t="s">
        <v>7400</v>
      </c>
      <c r="G2086" s="722" t="s">
        <v>7402</v>
      </c>
      <c r="H2086" s="498">
        <f>142.2-142.2</f>
        <v>0</v>
      </c>
      <c r="I2086" s="1217">
        <v>2015</v>
      </c>
      <c r="J2086" s="437">
        <f>3092460-3092460</f>
        <v>0</v>
      </c>
      <c r="K2086" s="275">
        <v>1866595.41</v>
      </c>
    </row>
    <row r="2087" spans="1:11" ht="14.25" customHeight="1" x14ac:dyDescent="0.2">
      <c r="A2087" s="411" t="s">
        <v>7395</v>
      </c>
      <c r="B2087" s="460" t="s">
        <v>295</v>
      </c>
      <c r="C2087" s="1172"/>
      <c r="D2087" s="1178"/>
      <c r="E2087" s="178">
        <v>1</v>
      </c>
      <c r="F2087" s="265" t="s">
        <v>10072</v>
      </c>
      <c r="G2087" s="628" t="s">
        <v>137</v>
      </c>
      <c r="H2087" s="347">
        <v>35.5</v>
      </c>
      <c r="I2087" s="1218"/>
      <c r="J2087" s="437">
        <f>3092460/142.2*H2087</f>
        <v>772027.6371308018</v>
      </c>
      <c r="K2087" s="275">
        <v>465992.53</v>
      </c>
    </row>
    <row r="2088" spans="1:11" ht="15.75" customHeight="1" x14ac:dyDescent="0.2">
      <c r="A2088" s="411" t="s">
        <v>7396</v>
      </c>
      <c r="B2088" s="460" t="s">
        <v>295</v>
      </c>
      <c r="C2088" s="1172"/>
      <c r="D2088" s="1178"/>
      <c r="E2088" s="178">
        <v>2</v>
      </c>
      <c r="F2088" s="347" t="s">
        <v>7399</v>
      </c>
      <c r="G2088" s="628" t="s">
        <v>137</v>
      </c>
      <c r="H2088" s="347">
        <v>35.5</v>
      </c>
      <c r="I2088" s="1218"/>
      <c r="J2088" s="437">
        <f>3092460/142.2*H2088</f>
        <v>772027.6371308018</v>
      </c>
      <c r="K2088" s="275">
        <v>465992.53</v>
      </c>
    </row>
    <row r="2089" spans="1:11" ht="15.75" customHeight="1" x14ac:dyDescent="0.2">
      <c r="A2089" s="411" t="s">
        <v>7397</v>
      </c>
      <c r="B2089" s="460" t="s">
        <v>295</v>
      </c>
      <c r="C2089" s="1172"/>
      <c r="D2089" s="1178"/>
      <c r="E2089" s="347">
        <v>3</v>
      </c>
      <c r="F2089" s="347" t="s">
        <v>7401</v>
      </c>
      <c r="G2089" s="628" t="s">
        <v>137</v>
      </c>
      <c r="H2089" s="347">
        <v>35.5</v>
      </c>
      <c r="I2089" s="1218"/>
      <c r="J2089" s="437">
        <f>3092460/142.2*H2089</f>
        <v>772027.6371308018</v>
      </c>
      <c r="K2089" s="275">
        <v>465992.53</v>
      </c>
    </row>
    <row r="2090" spans="1:11" ht="16.5" customHeight="1" x14ac:dyDescent="0.2">
      <c r="A2090" s="411" t="s">
        <v>7398</v>
      </c>
      <c r="B2090" s="460" t="s">
        <v>295</v>
      </c>
      <c r="C2090" s="1204"/>
      <c r="D2090" s="1179"/>
      <c r="E2090" s="178">
        <v>4</v>
      </c>
      <c r="F2090" s="265" t="s">
        <v>7254</v>
      </c>
      <c r="G2090" s="628" t="s">
        <v>137</v>
      </c>
      <c r="H2090" s="347">
        <v>35.700000000000003</v>
      </c>
      <c r="I2090" s="1219"/>
      <c r="J2090" s="437">
        <v>1041348</v>
      </c>
      <c r="K2090" s="275">
        <v>468617.84</v>
      </c>
    </row>
    <row r="2091" spans="1:11" ht="36" customHeight="1" x14ac:dyDescent="0.2">
      <c r="A2091" s="410" t="s">
        <v>7522</v>
      </c>
      <c r="B2091" s="460"/>
      <c r="C2091" s="1201" t="s">
        <v>11469</v>
      </c>
      <c r="D2091" s="1177">
        <v>2</v>
      </c>
      <c r="E2091" s="178"/>
      <c r="F2091" s="178" t="s">
        <v>7619</v>
      </c>
      <c r="G2091" s="722" t="s">
        <v>6845</v>
      </c>
      <c r="H2091" s="347">
        <f>1152.7-1152.7</f>
        <v>0</v>
      </c>
      <c r="I2091" s="1217">
        <v>2016</v>
      </c>
      <c r="J2091" s="437">
        <f>36065352.4-36065352.4</f>
        <v>0</v>
      </c>
      <c r="K2091" s="275">
        <v>18851740.620000001</v>
      </c>
    </row>
    <row r="2092" spans="1:11" ht="15.75" customHeight="1" x14ac:dyDescent="0.2">
      <c r="A2092" s="411" t="s">
        <v>7614</v>
      </c>
      <c r="B2092" s="460" t="s">
        <v>295</v>
      </c>
      <c r="C2092" s="1202"/>
      <c r="D2092" s="1178"/>
      <c r="E2092" s="178">
        <v>13</v>
      </c>
      <c r="F2092" s="178" t="s">
        <v>7620</v>
      </c>
      <c r="G2092" s="628" t="s">
        <v>137</v>
      </c>
      <c r="H2092" s="498">
        <v>44.4</v>
      </c>
      <c r="I2092" s="1218"/>
      <c r="J2092" s="437">
        <f t="shared" ref="J2092" si="25">36065352.4/1152.7*H2092</f>
        <v>1389174.6738613688</v>
      </c>
      <c r="K2092" s="275">
        <v>638019.12</v>
      </c>
    </row>
    <row r="2093" spans="1:11" ht="13.5" customHeight="1" x14ac:dyDescent="0.2">
      <c r="A2093" s="411" t="s">
        <v>8056</v>
      </c>
      <c r="B2093" s="460" t="s">
        <v>295</v>
      </c>
      <c r="C2093" s="1202"/>
      <c r="D2093" s="1178"/>
      <c r="E2093" s="265">
        <v>10</v>
      </c>
      <c r="F2093" s="178" t="s">
        <v>8057</v>
      </c>
      <c r="G2093" s="629" t="s">
        <v>137</v>
      </c>
      <c r="H2093" s="507">
        <v>46</v>
      </c>
      <c r="I2093" s="1218"/>
      <c r="J2093" s="463">
        <v>1480924</v>
      </c>
      <c r="K2093" s="275">
        <v>661010.80000000005</v>
      </c>
    </row>
    <row r="2094" spans="1:11" ht="14.25" customHeight="1" x14ac:dyDescent="0.2">
      <c r="A2094" s="411" t="s">
        <v>10336</v>
      </c>
      <c r="B2094" s="866" t="s">
        <v>295</v>
      </c>
      <c r="C2094" s="1202"/>
      <c r="D2094" s="1178"/>
      <c r="E2094" s="352">
        <v>8</v>
      </c>
      <c r="F2094" s="38" t="s">
        <v>10337</v>
      </c>
      <c r="G2094" s="629" t="s">
        <v>128</v>
      </c>
      <c r="H2094" s="507">
        <v>40.1</v>
      </c>
      <c r="I2094" s="1218"/>
      <c r="J2094" s="463">
        <v>1090881</v>
      </c>
      <c r="K2094" s="508">
        <v>576228.98</v>
      </c>
    </row>
    <row r="2095" spans="1:11" ht="14.25" customHeight="1" x14ac:dyDescent="0.2">
      <c r="A2095" s="411" t="s">
        <v>12502</v>
      </c>
      <c r="B2095" s="460" t="s">
        <v>295</v>
      </c>
      <c r="C2095" s="1202"/>
      <c r="D2095" s="1178"/>
      <c r="E2095" s="682">
        <v>5</v>
      </c>
      <c r="F2095" s="200" t="s">
        <v>12503</v>
      </c>
      <c r="G2095" s="683" t="s">
        <v>512</v>
      </c>
      <c r="H2095" s="505">
        <f>39.9</f>
        <v>39.9</v>
      </c>
      <c r="I2095" s="1218"/>
      <c r="J2095" s="480">
        <v>1066593</v>
      </c>
      <c r="K2095" s="506">
        <v>573355.02</v>
      </c>
    </row>
    <row r="2096" spans="1:11" ht="14.25" customHeight="1" x14ac:dyDescent="0.2">
      <c r="A2096" s="764" t="s">
        <v>13020</v>
      </c>
      <c r="B2096" s="492" t="s">
        <v>295</v>
      </c>
      <c r="C2096" s="1203"/>
      <c r="D2096" s="1179"/>
      <c r="E2096" s="200">
        <v>16</v>
      </c>
      <c r="F2096" s="200" t="s">
        <v>13021</v>
      </c>
      <c r="G2096" s="505" t="s">
        <v>512</v>
      </c>
      <c r="H2096" s="505">
        <f>53.7</f>
        <v>53.7</v>
      </c>
      <c r="I2096" s="1219"/>
      <c r="J2096" s="480">
        <v>1911558</v>
      </c>
      <c r="K2096" s="480">
        <v>771658.26</v>
      </c>
    </row>
    <row r="2097" spans="1:11" ht="25.5" customHeight="1" x14ac:dyDescent="0.2">
      <c r="A2097" s="410" t="s">
        <v>7523</v>
      </c>
      <c r="B2097" s="347"/>
      <c r="C2097" s="1201" t="s">
        <v>11470</v>
      </c>
      <c r="D2097" s="1177">
        <v>3</v>
      </c>
      <c r="E2097" s="347"/>
      <c r="F2097" s="265" t="s">
        <v>7773</v>
      </c>
      <c r="G2097" s="722" t="s">
        <v>6845</v>
      </c>
      <c r="H2097" s="507"/>
      <c r="I2097" s="1177">
        <v>2016</v>
      </c>
      <c r="J2097" s="463"/>
      <c r="K2097" s="275"/>
    </row>
    <row r="2098" spans="1:11" ht="14.25" customHeight="1" x14ac:dyDescent="0.2">
      <c r="A2098" s="411" t="s">
        <v>7524</v>
      </c>
      <c r="B2098" s="347" t="s">
        <v>295</v>
      </c>
      <c r="C2098" s="1202"/>
      <c r="D2098" s="1178"/>
      <c r="E2098" s="265">
        <v>2</v>
      </c>
      <c r="F2098" s="265" t="s">
        <v>7775</v>
      </c>
      <c r="G2098" s="722" t="s">
        <v>137</v>
      </c>
      <c r="H2098" s="507">
        <v>27.8</v>
      </c>
      <c r="I2098" s="1178"/>
      <c r="J2098" s="463"/>
      <c r="K2098" s="275">
        <v>399480.44</v>
      </c>
    </row>
    <row r="2099" spans="1:11" ht="15.75" customHeight="1" x14ac:dyDescent="0.2">
      <c r="A2099" s="411" t="s">
        <v>7525</v>
      </c>
      <c r="B2099" s="347" t="s">
        <v>295</v>
      </c>
      <c r="C2099" s="1202"/>
      <c r="D2099" s="1178"/>
      <c r="E2099" s="265">
        <v>3</v>
      </c>
      <c r="F2099" s="265" t="s">
        <v>7774</v>
      </c>
      <c r="G2099" s="722" t="s">
        <v>137</v>
      </c>
      <c r="H2099" s="507">
        <v>66.599999999999994</v>
      </c>
      <c r="I2099" s="1178"/>
      <c r="J2099" s="463"/>
      <c r="K2099" s="275">
        <v>957028.68</v>
      </c>
    </row>
    <row r="2100" spans="1:11" ht="15" customHeight="1" x14ac:dyDescent="0.2">
      <c r="A2100" s="411" t="s">
        <v>7748</v>
      </c>
      <c r="B2100" s="347" t="s">
        <v>295</v>
      </c>
      <c r="C2100" s="1202"/>
      <c r="D2100" s="1178"/>
      <c r="E2100" s="265">
        <v>4</v>
      </c>
      <c r="F2100" s="265" t="s">
        <v>7776</v>
      </c>
      <c r="G2100" s="722" t="s">
        <v>512</v>
      </c>
      <c r="H2100" s="507">
        <v>43.3</v>
      </c>
      <c r="I2100" s="1178"/>
      <c r="J2100" s="463"/>
      <c r="K2100" s="275">
        <v>622212.34</v>
      </c>
    </row>
    <row r="2101" spans="1:11" ht="17.25" customHeight="1" x14ac:dyDescent="0.2">
      <c r="A2101" s="411" t="s">
        <v>7749</v>
      </c>
      <c r="B2101" s="347" t="s">
        <v>295</v>
      </c>
      <c r="C2101" s="1202"/>
      <c r="D2101" s="1178"/>
      <c r="E2101" s="265">
        <v>5</v>
      </c>
      <c r="F2101" s="265" t="s">
        <v>7777</v>
      </c>
      <c r="G2101" s="722" t="s">
        <v>512</v>
      </c>
      <c r="H2101" s="507">
        <v>27.9</v>
      </c>
      <c r="I2101" s="1178"/>
      <c r="J2101" s="463"/>
      <c r="K2101" s="275">
        <v>400917.42</v>
      </c>
    </row>
    <row r="2102" spans="1:11" ht="15.75" customHeight="1" x14ac:dyDescent="0.2">
      <c r="A2102" s="411" t="s">
        <v>7750</v>
      </c>
      <c r="B2102" s="347" t="s">
        <v>295</v>
      </c>
      <c r="C2102" s="1202"/>
      <c r="D2102" s="1178"/>
      <c r="E2102" s="265">
        <v>17</v>
      </c>
      <c r="F2102" s="265" t="s">
        <v>10073</v>
      </c>
      <c r="G2102" s="722" t="s">
        <v>128</v>
      </c>
      <c r="H2102" s="507">
        <f>27.4-27.4</f>
        <v>0</v>
      </c>
      <c r="I2102" s="1178"/>
      <c r="J2102" s="463">
        <f>852790.09-852790.09</f>
        <v>0</v>
      </c>
      <c r="K2102" s="275">
        <f>393732.52-393732.52</f>
        <v>0</v>
      </c>
    </row>
    <row r="2103" spans="1:11" x14ac:dyDescent="0.2">
      <c r="A2103" s="411" t="s">
        <v>7751</v>
      </c>
      <c r="B2103" s="347" t="s">
        <v>295</v>
      </c>
      <c r="C2103" s="1202"/>
      <c r="D2103" s="1178"/>
      <c r="E2103" s="265">
        <v>18</v>
      </c>
      <c r="F2103" s="265" t="s">
        <v>7778</v>
      </c>
      <c r="G2103" s="722" t="s">
        <v>128</v>
      </c>
      <c r="H2103" s="507">
        <v>43.3</v>
      </c>
      <c r="I2103" s="1178"/>
      <c r="J2103" s="463"/>
      <c r="K2103" s="275">
        <v>622212.34</v>
      </c>
    </row>
    <row r="2104" spans="1:11" x14ac:dyDescent="0.2">
      <c r="A2104" s="411" t="s">
        <v>8254</v>
      </c>
      <c r="B2104" s="347" t="s">
        <v>295</v>
      </c>
      <c r="C2104" s="1203"/>
      <c r="D2104" s="1179"/>
      <c r="E2104" s="265">
        <v>16</v>
      </c>
      <c r="F2104" s="265" t="s">
        <v>8255</v>
      </c>
      <c r="G2104" s="722" t="s">
        <v>128</v>
      </c>
      <c r="H2104" s="507">
        <v>66.900000000000006</v>
      </c>
      <c r="I2104" s="1179"/>
      <c r="J2104" s="463">
        <v>2134462.2000000002</v>
      </c>
      <c r="K2104" s="275">
        <v>961339.62</v>
      </c>
    </row>
    <row r="2105" spans="1:11" ht="51" x14ac:dyDescent="0.2">
      <c r="A2105" s="410" t="s">
        <v>7615</v>
      </c>
      <c r="B2105" s="347"/>
      <c r="C2105" s="1171" t="s">
        <v>11471</v>
      </c>
      <c r="D2105" s="1177" t="s">
        <v>5192</v>
      </c>
      <c r="E2105" s="347"/>
      <c r="F2105" s="178" t="s">
        <v>7755</v>
      </c>
      <c r="G2105" s="722" t="s">
        <v>7756</v>
      </c>
      <c r="H2105" s="498">
        <f>771.5-771.5</f>
        <v>0</v>
      </c>
      <c r="I2105" s="1217">
        <v>2016</v>
      </c>
      <c r="J2105" s="498">
        <f>23730112-23730112</f>
        <v>0</v>
      </c>
      <c r="K2105" s="440"/>
    </row>
    <row r="2106" spans="1:11" x14ac:dyDescent="0.2">
      <c r="A2106" s="411" t="s">
        <v>7616</v>
      </c>
      <c r="B2106" s="347" t="s">
        <v>295</v>
      </c>
      <c r="C2106" s="1172"/>
      <c r="D2106" s="1178"/>
      <c r="E2106" s="347">
        <v>1</v>
      </c>
      <c r="F2106" s="178" t="s">
        <v>7758</v>
      </c>
      <c r="G2106" s="629" t="s">
        <v>137</v>
      </c>
      <c r="H2106" s="507">
        <v>60.1</v>
      </c>
      <c r="I2106" s="1218"/>
      <c r="J2106" s="507">
        <f>23730112/771.5*H2106</f>
        <v>1848580.3385612443</v>
      </c>
      <c r="K2106" s="275">
        <v>516455.53</v>
      </c>
    </row>
    <row r="2107" spans="1:11" ht="14.25" customHeight="1" x14ac:dyDescent="0.2">
      <c r="A2107" s="411" t="s">
        <v>7617</v>
      </c>
      <c r="B2107" s="347" t="s">
        <v>295</v>
      </c>
      <c r="C2107" s="1172"/>
      <c r="D2107" s="1178"/>
      <c r="E2107" s="347">
        <v>2</v>
      </c>
      <c r="F2107" s="178" t="s">
        <v>7757</v>
      </c>
      <c r="G2107" s="629" t="s">
        <v>137</v>
      </c>
      <c r="H2107" s="507">
        <v>48.1</v>
      </c>
      <c r="I2107" s="1218"/>
      <c r="J2107" s="507">
        <f t="shared" ref="J2107:J2114" si="26">23730112/771.5*H2107</f>
        <v>1479479.4390149061</v>
      </c>
      <c r="K2107" s="275">
        <v>413336.29</v>
      </c>
    </row>
    <row r="2108" spans="1:11" x14ac:dyDescent="0.2">
      <c r="A2108" s="411" t="s">
        <v>7618</v>
      </c>
      <c r="B2108" s="347" t="s">
        <v>295</v>
      </c>
      <c r="C2108" s="1172"/>
      <c r="D2108" s="1178"/>
      <c r="E2108" s="347">
        <v>3</v>
      </c>
      <c r="F2108" s="178" t="s">
        <v>7759</v>
      </c>
      <c r="G2108" s="629" t="s">
        <v>137</v>
      </c>
      <c r="H2108" s="507">
        <v>33.1</v>
      </c>
      <c r="I2108" s="1218"/>
      <c r="J2108" s="507">
        <f t="shared" si="26"/>
        <v>1018103.3145819831</v>
      </c>
      <c r="K2108" s="275">
        <v>284437.24</v>
      </c>
    </row>
    <row r="2109" spans="1:11" x14ac:dyDescent="0.2">
      <c r="A2109" s="411" t="s">
        <v>7754</v>
      </c>
      <c r="B2109" s="347" t="s">
        <v>295</v>
      </c>
      <c r="C2109" s="1172"/>
      <c r="D2109" s="1178"/>
      <c r="E2109" s="347">
        <v>8</v>
      </c>
      <c r="F2109" s="178" t="s">
        <v>7760</v>
      </c>
      <c r="G2109" s="629" t="s">
        <v>128</v>
      </c>
      <c r="H2109" s="507">
        <v>48.1</v>
      </c>
      <c r="I2109" s="1218"/>
      <c r="J2109" s="507">
        <f t="shared" si="26"/>
        <v>1479479.4390149061</v>
      </c>
      <c r="K2109" s="275">
        <v>413336.29</v>
      </c>
    </row>
    <row r="2110" spans="1:11" x14ac:dyDescent="0.2">
      <c r="A2110" s="411" t="s">
        <v>7763</v>
      </c>
      <c r="B2110" s="347" t="s">
        <v>295</v>
      </c>
      <c r="C2110" s="1172"/>
      <c r="D2110" s="1178"/>
      <c r="E2110" s="347">
        <v>12</v>
      </c>
      <c r="F2110" s="178" t="s">
        <v>7761</v>
      </c>
      <c r="G2110" s="629" t="s">
        <v>137</v>
      </c>
      <c r="H2110" s="507">
        <v>46.4</v>
      </c>
      <c r="I2110" s="1218"/>
      <c r="J2110" s="507">
        <f t="shared" si="26"/>
        <v>1427190.1449125081</v>
      </c>
      <c r="K2110" s="275">
        <v>398727.73</v>
      </c>
    </row>
    <row r="2111" spans="1:11" x14ac:dyDescent="0.2">
      <c r="A2111" s="411" t="s">
        <v>7764</v>
      </c>
      <c r="B2111" s="347" t="s">
        <v>308</v>
      </c>
      <c r="C2111" s="1172"/>
      <c r="D2111" s="1178"/>
      <c r="E2111" s="347">
        <v>13</v>
      </c>
      <c r="F2111" s="178" t="s">
        <v>10074</v>
      </c>
      <c r="G2111" s="629" t="s">
        <v>137</v>
      </c>
      <c r="H2111" s="507">
        <v>38.9</v>
      </c>
      <c r="I2111" s="1218"/>
      <c r="J2111" s="507">
        <f t="shared" si="26"/>
        <v>1196502.0826960467</v>
      </c>
      <c r="K2111" s="275">
        <v>334278.2</v>
      </c>
    </row>
    <row r="2112" spans="1:11" ht="16.5" customHeight="1" x14ac:dyDescent="0.2">
      <c r="A2112" s="411" t="s">
        <v>7765</v>
      </c>
      <c r="B2112" s="347" t="s">
        <v>295</v>
      </c>
      <c r="C2112" s="1172"/>
      <c r="D2112" s="1178"/>
      <c r="E2112" s="347">
        <v>14</v>
      </c>
      <c r="F2112" s="178" t="s">
        <v>7762</v>
      </c>
      <c r="G2112" s="629" t="s">
        <v>512</v>
      </c>
      <c r="H2112" s="507">
        <v>35.6</v>
      </c>
      <c r="I2112" s="1218"/>
      <c r="J2112" s="507">
        <f t="shared" si="26"/>
        <v>1094999.3353208036</v>
      </c>
      <c r="K2112" s="275">
        <v>305920.40999999997</v>
      </c>
    </row>
    <row r="2113" spans="1:11" x14ac:dyDescent="0.2">
      <c r="A2113" s="411" t="s">
        <v>7766</v>
      </c>
      <c r="B2113" s="347" t="s">
        <v>295</v>
      </c>
      <c r="C2113" s="1172"/>
      <c r="D2113" s="1178"/>
      <c r="E2113" s="347">
        <v>17</v>
      </c>
      <c r="F2113" s="178" t="s">
        <v>10075</v>
      </c>
      <c r="G2113" s="629" t="s">
        <v>512</v>
      </c>
      <c r="H2113" s="507">
        <v>38.9</v>
      </c>
      <c r="I2113" s="1218"/>
      <c r="J2113" s="507">
        <f t="shared" si="26"/>
        <v>1196502.0826960467</v>
      </c>
      <c r="K2113" s="275">
        <v>334278.2</v>
      </c>
    </row>
    <row r="2114" spans="1:11" x14ac:dyDescent="0.2">
      <c r="A2114" s="411" t="s">
        <v>7767</v>
      </c>
      <c r="B2114" s="347" t="s">
        <v>295</v>
      </c>
      <c r="C2114" s="1172"/>
      <c r="D2114" s="1178"/>
      <c r="E2114" s="347">
        <v>19</v>
      </c>
      <c r="F2114" s="178" t="s">
        <v>10076</v>
      </c>
      <c r="G2114" s="629" t="s">
        <v>128</v>
      </c>
      <c r="H2114" s="507">
        <v>45.4</v>
      </c>
      <c r="I2114" s="1218"/>
      <c r="J2114" s="507">
        <f t="shared" si="26"/>
        <v>1396431.7366169798</v>
      </c>
      <c r="K2114" s="275">
        <v>390134.46</v>
      </c>
    </row>
    <row r="2115" spans="1:11" x14ac:dyDescent="0.2">
      <c r="A2115" s="411" t="s">
        <v>9027</v>
      </c>
      <c r="B2115" s="347" t="s">
        <v>295</v>
      </c>
      <c r="C2115" s="1172"/>
      <c r="D2115" s="1178"/>
      <c r="E2115" s="347">
        <v>11</v>
      </c>
      <c r="F2115" s="178" t="s">
        <v>9029</v>
      </c>
      <c r="G2115" s="629" t="s">
        <v>137</v>
      </c>
      <c r="H2115" s="507">
        <v>45.4</v>
      </c>
      <c r="I2115" s="1218"/>
      <c r="J2115" s="463">
        <v>1461607.6</v>
      </c>
      <c r="K2115" s="275">
        <v>390134.46</v>
      </c>
    </row>
    <row r="2116" spans="1:11" x14ac:dyDescent="0.2">
      <c r="A2116" s="411" t="s">
        <v>9557</v>
      </c>
      <c r="B2116" s="347" t="s">
        <v>295</v>
      </c>
      <c r="C2116" s="1172"/>
      <c r="D2116" s="1178"/>
      <c r="E2116" s="445" t="s">
        <v>335</v>
      </c>
      <c r="F2116" s="178" t="s">
        <v>9559</v>
      </c>
      <c r="G2116" s="629" t="s">
        <v>128</v>
      </c>
      <c r="H2116" s="507">
        <v>26.3</v>
      </c>
      <c r="I2116" s="1218"/>
      <c r="J2116" s="463">
        <v>847359.7</v>
      </c>
      <c r="K2116" s="463">
        <v>226003</v>
      </c>
    </row>
    <row r="2117" spans="1:11" ht="24.75" customHeight="1" x14ac:dyDescent="0.2">
      <c r="A2117" s="410" t="s">
        <v>7752</v>
      </c>
      <c r="B2117" s="347"/>
      <c r="C2117" s="1171" t="s">
        <v>11472</v>
      </c>
      <c r="D2117" s="1177" t="s">
        <v>7844</v>
      </c>
      <c r="E2117" s="432"/>
      <c r="F2117" s="200" t="s">
        <v>7845</v>
      </c>
      <c r="G2117" s="724" t="s">
        <v>6845</v>
      </c>
      <c r="H2117" s="505">
        <f>1093.6-1093.6</f>
        <v>0</v>
      </c>
      <c r="I2117" s="1185">
        <v>2016</v>
      </c>
      <c r="J2117" s="443">
        <f>34667421.6-34667421.6</f>
        <v>0</v>
      </c>
      <c r="K2117" s="274"/>
    </row>
    <row r="2118" spans="1:11" ht="12.75" customHeight="1" x14ac:dyDescent="0.2">
      <c r="A2118" s="411" t="s">
        <v>7768</v>
      </c>
      <c r="B2118" s="347" t="s">
        <v>295</v>
      </c>
      <c r="C2118" s="1172"/>
      <c r="D2118" s="1178"/>
      <c r="E2118" s="347">
        <v>3</v>
      </c>
      <c r="F2118" s="200" t="s">
        <v>7846</v>
      </c>
      <c r="G2118" s="724" t="s">
        <v>137</v>
      </c>
      <c r="H2118" s="505">
        <v>46.7</v>
      </c>
      <c r="I2118" s="1186"/>
      <c r="J2118" s="443">
        <f t="shared" ref="J2118:J2119" si="27">34667421.6/1093.6*H2118</f>
        <v>1480402.8792245795</v>
      </c>
      <c r="K2118" s="274">
        <v>565255.4</v>
      </c>
    </row>
    <row r="2119" spans="1:11" ht="15" customHeight="1" x14ac:dyDescent="0.2">
      <c r="A2119" s="411" t="s">
        <v>7769</v>
      </c>
      <c r="B2119" s="347" t="s">
        <v>295</v>
      </c>
      <c r="C2119" s="1172"/>
      <c r="D2119" s="1178"/>
      <c r="E2119" s="347">
        <v>4</v>
      </c>
      <c r="F2119" s="200" t="s">
        <v>7847</v>
      </c>
      <c r="G2119" s="724" t="s">
        <v>137</v>
      </c>
      <c r="H2119" s="505">
        <v>47</v>
      </c>
      <c r="I2119" s="1186"/>
      <c r="J2119" s="443">
        <f t="shared" si="27"/>
        <v>1489912.9619604975</v>
      </c>
      <c r="K2119" s="274">
        <v>568886.59</v>
      </c>
    </row>
    <row r="2120" spans="1:11" x14ac:dyDescent="0.2">
      <c r="A2120" s="411" t="s">
        <v>8252</v>
      </c>
      <c r="B2120" s="347" t="s">
        <v>295</v>
      </c>
      <c r="C2120" s="1172"/>
      <c r="D2120" s="1178"/>
      <c r="E2120" s="509" t="s">
        <v>358</v>
      </c>
      <c r="F2120" s="38" t="s">
        <v>8253</v>
      </c>
      <c r="G2120" s="611" t="s">
        <v>137</v>
      </c>
      <c r="H2120" s="507">
        <v>27.2</v>
      </c>
      <c r="I2120" s="1186"/>
      <c r="J2120" s="508">
        <v>875676.8</v>
      </c>
      <c r="K2120" s="338">
        <v>329227.98</v>
      </c>
    </row>
    <row r="2121" spans="1:11" ht="48" x14ac:dyDescent="0.2">
      <c r="A2121" s="410" t="s">
        <v>7753</v>
      </c>
      <c r="B2121" s="432"/>
      <c r="C2121" s="1171" t="s">
        <v>11473</v>
      </c>
      <c r="D2121" s="1185" t="s">
        <v>334</v>
      </c>
      <c r="E2121" s="432"/>
      <c r="F2121" s="265" t="s">
        <v>8105</v>
      </c>
      <c r="G2121" s="630" t="s">
        <v>8106</v>
      </c>
      <c r="H2121" s="505">
        <v>0</v>
      </c>
      <c r="I2121" s="1185">
        <v>2016</v>
      </c>
      <c r="J2121" s="504"/>
      <c r="K2121" s="274"/>
    </row>
    <row r="2122" spans="1:11" ht="18" customHeight="1" x14ac:dyDescent="0.2">
      <c r="A2122" s="411" t="s">
        <v>7770</v>
      </c>
      <c r="B2122" s="432" t="s">
        <v>295</v>
      </c>
      <c r="C2122" s="1172"/>
      <c r="D2122" s="1186"/>
      <c r="E2122" s="432">
        <v>1</v>
      </c>
      <c r="F2122" s="265" t="s">
        <v>10077</v>
      </c>
      <c r="G2122" s="724" t="s">
        <v>137</v>
      </c>
      <c r="H2122" s="432">
        <v>31.8</v>
      </c>
      <c r="I2122" s="1186"/>
      <c r="J2122" s="504"/>
      <c r="K2122" s="274">
        <v>521964.88</v>
      </c>
    </row>
    <row r="2123" spans="1:11" x14ac:dyDescent="0.2">
      <c r="A2123" s="411" t="s">
        <v>7771</v>
      </c>
      <c r="B2123" s="432" t="s">
        <v>295</v>
      </c>
      <c r="C2123" s="1172"/>
      <c r="D2123" s="1186"/>
      <c r="E2123" s="432">
        <v>2</v>
      </c>
      <c r="F2123" s="265" t="s">
        <v>10078</v>
      </c>
      <c r="G2123" s="724" t="s">
        <v>137</v>
      </c>
      <c r="H2123" s="432">
        <v>31.8</v>
      </c>
      <c r="I2123" s="1186"/>
      <c r="J2123" s="504"/>
      <c r="K2123" s="274">
        <v>521964.88</v>
      </c>
    </row>
    <row r="2124" spans="1:11" x14ac:dyDescent="0.2">
      <c r="A2124" s="411" t="s">
        <v>7772</v>
      </c>
      <c r="B2124" s="432" t="s">
        <v>295</v>
      </c>
      <c r="C2124" s="1204"/>
      <c r="D2124" s="1187"/>
      <c r="E2124" s="432">
        <v>4</v>
      </c>
      <c r="F2124" s="265" t="s">
        <v>10079</v>
      </c>
      <c r="G2124" s="724" t="s">
        <v>137</v>
      </c>
      <c r="H2124" s="432">
        <v>31.6</v>
      </c>
      <c r="I2124" s="1187"/>
      <c r="J2124" s="504"/>
      <c r="K2124" s="274">
        <v>518682.08</v>
      </c>
    </row>
    <row r="2125" spans="1:11" ht="48" x14ac:dyDescent="0.2">
      <c r="A2125" s="410" t="s">
        <v>7840</v>
      </c>
      <c r="B2125" s="432"/>
      <c r="C2125" s="1171" t="s">
        <v>11474</v>
      </c>
      <c r="D2125" s="1185" t="s">
        <v>5857</v>
      </c>
      <c r="E2125" s="451"/>
      <c r="F2125" s="265" t="s">
        <v>8107</v>
      </c>
      <c r="G2125" s="630" t="s">
        <v>8106</v>
      </c>
      <c r="H2125" s="505">
        <v>0</v>
      </c>
      <c r="I2125" s="1185">
        <v>2016</v>
      </c>
      <c r="J2125" s="504"/>
      <c r="K2125" s="504"/>
    </row>
    <row r="2126" spans="1:11" x14ac:dyDescent="0.2">
      <c r="A2126" s="411" t="s">
        <v>7841</v>
      </c>
      <c r="B2126" s="432" t="s">
        <v>295</v>
      </c>
      <c r="C2126" s="1172"/>
      <c r="D2126" s="1186"/>
      <c r="E2126" s="432">
        <v>1</v>
      </c>
      <c r="F2126" s="265" t="s">
        <v>10080</v>
      </c>
      <c r="G2126" s="724" t="s">
        <v>137</v>
      </c>
      <c r="H2126" s="432">
        <v>31.6</v>
      </c>
      <c r="I2126" s="1186"/>
      <c r="J2126" s="437"/>
      <c r="K2126" s="274">
        <v>518682.08</v>
      </c>
    </row>
    <row r="2127" spans="1:11" ht="12.75" customHeight="1" x14ac:dyDescent="0.2">
      <c r="A2127" s="411" t="s">
        <v>7842</v>
      </c>
      <c r="B2127" s="432" t="s">
        <v>295</v>
      </c>
      <c r="C2127" s="1172"/>
      <c r="D2127" s="1186"/>
      <c r="E2127" s="432">
        <v>2</v>
      </c>
      <c r="F2127" s="265" t="s">
        <v>10081</v>
      </c>
      <c r="G2127" s="724" t="s">
        <v>137</v>
      </c>
      <c r="H2127" s="432">
        <v>29.3</v>
      </c>
      <c r="I2127" s="1186"/>
      <c r="J2127" s="437"/>
      <c r="K2127" s="274">
        <v>480929.91</v>
      </c>
    </row>
    <row r="2128" spans="1:11" ht="48.75" customHeight="1" x14ac:dyDescent="0.2">
      <c r="A2128" s="411" t="s">
        <v>7843</v>
      </c>
      <c r="B2128" s="432" t="s">
        <v>295</v>
      </c>
      <c r="C2128" s="1204"/>
      <c r="D2128" s="1187"/>
      <c r="E2128" s="432">
        <v>4</v>
      </c>
      <c r="F2128" s="265" t="s">
        <v>10082</v>
      </c>
      <c r="G2128" s="724" t="s">
        <v>137</v>
      </c>
      <c r="H2128" s="432">
        <v>31.7</v>
      </c>
      <c r="I2128" s="1187"/>
      <c r="J2128" s="437"/>
      <c r="K2128" s="274">
        <v>520323.48</v>
      </c>
    </row>
    <row r="2129" spans="1:11" ht="33.75" customHeight="1" x14ac:dyDescent="0.2">
      <c r="A2129" s="410" t="s">
        <v>8287</v>
      </c>
      <c r="B2129" s="2" t="s">
        <v>8290</v>
      </c>
      <c r="C2129" s="1011" t="s">
        <v>13550</v>
      </c>
      <c r="D2129" s="717">
        <v>4</v>
      </c>
      <c r="E2129" s="433"/>
      <c r="F2129" s="2" t="s">
        <v>8288</v>
      </c>
      <c r="G2129" s="631" t="s">
        <v>8289</v>
      </c>
      <c r="H2129" s="432">
        <v>41.3</v>
      </c>
      <c r="I2129" s="717">
        <v>1961</v>
      </c>
      <c r="J2129" s="508">
        <v>1063227</v>
      </c>
      <c r="K2129" s="355">
        <v>408015.92</v>
      </c>
    </row>
    <row r="2130" spans="1:11" ht="38.25" x14ac:dyDescent="0.2">
      <c r="A2130" s="410" t="s">
        <v>9061</v>
      </c>
      <c r="B2130" s="2" t="s">
        <v>8290</v>
      </c>
      <c r="C2130" s="1011" t="s">
        <v>13551</v>
      </c>
      <c r="D2130" s="717">
        <v>9</v>
      </c>
      <c r="E2130" s="433"/>
      <c r="F2130" s="2" t="s">
        <v>10083</v>
      </c>
      <c r="G2130" s="621" t="s">
        <v>10084</v>
      </c>
      <c r="H2130" s="432">
        <f>36.2-36.2</f>
        <v>0</v>
      </c>
      <c r="I2130" s="717">
        <v>1962</v>
      </c>
      <c r="J2130" s="458">
        <v>0</v>
      </c>
      <c r="K2130" s="337">
        <f>288409.38-288409.38</f>
        <v>0</v>
      </c>
    </row>
    <row r="2131" spans="1:11" ht="18" customHeight="1" x14ac:dyDescent="0.2">
      <c r="A2131" s="410" t="s">
        <v>9110</v>
      </c>
      <c r="B2131" s="2"/>
      <c r="C2131" s="1189" t="s">
        <v>13552</v>
      </c>
      <c r="D2131" s="1160" t="s">
        <v>9111</v>
      </c>
      <c r="E2131" s="433"/>
      <c r="F2131" s="2" t="s">
        <v>9119</v>
      </c>
      <c r="G2131" s="621" t="s">
        <v>9123</v>
      </c>
      <c r="H2131" s="505">
        <f>608.9-608.9</f>
        <v>0</v>
      </c>
      <c r="I2131" s="1160">
        <v>2016</v>
      </c>
      <c r="J2131" s="508">
        <f>19214448.4-19214448.4</f>
        <v>0</v>
      </c>
      <c r="K2131" s="506">
        <v>9486557.6899999995</v>
      </c>
    </row>
    <row r="2132" spans="1:11" ht="18" customHeight="1" x14ac:dyDescent="0.2">
      <c r="A2132" s="510" t="s">
        <v>9112</v>
      </c>
      <c r="B2132" s="420" t="s">
        <v>295</v>
      </c>
      <c r="C2132" s="1190"/>
      <c r="D2132" s="1161"/>
      <c r="E2132" s="433">
        <v>9</v>
      </c>
      <c r="F2132" s="2" t="s">
        <v>9122</v>
      </c>
      <c r="G2132" s="621" t="s">
        <v>128</v>
      </c>
      <c r="H2132" s="505">
        <v>37.6</v>
      </c>
      <c r="I2132" s="1161"/>
      <c r="J2132" s="508">
        <f t="shared" ref="J2132:J2134" si="28">19214448.4/608.9*H2132</f>
        <v>1186505.6000000001</v>
      </c>
      <c r="K2132" s="506">
        <v>493558.28</v>
      </c>
    </row>
    <row r="2133" spans="1:11" x14ac:dyDescent="0.2">
      <c r="A2133" s="510" t="s">
        <v>9113</v>
      </c>
      <c r="B2133" s="420" t="s">
        <v>295</v>
      </c>
      <c r="C2133" s="1190"/>
      <c r="D2133" s="1161"/>
      <c r="E2133" s="433">
        <v>10</v>
      </c>
      <c r="F2133" s="2" t="s">
        <v>9120</v>
      </c>
      <c r="G2133" s="621" t="s">
        <v>137</v>
      </c>
      <c r="H2133" s="505">
        <v>38.700000000000003</v>
      </c>
      <c r="I2133" s="1161"/>
      <c r="J2133" s="508">
        <f t="shared" si="28"/>
        <v>1221217.2000000002</v>
      </c>
      <c r="K2133" s="506">
        <v>507997.49</v>
      </c>
    </row>
    <row r="2134" spans="1:11" x14ac:dyDescent="0.2">
      <c r="A2134" s="510" t="s">
        <v>9114</v>
      </c>
      <c r="B2134" s="420" t="s">
        <v>295</v>
      </c>
      <c r="C2134" s="1190"/>
      <c r="D2134" s="1161"/>
      <c r="E2134" s="433">
        <v>12</v>
      </c>
      <c r="F2134" s="2" t="s">
        <v>9121</v>
      </c>
      <c r="G2134" s="621" t="s">
        <v>137</v>
      </c>
      <c r="H2134" s="505">
        <v>31.6</v>
      </c>
      <c r="I2134" s="1161"/>
      <c r="J2134" s="508">
        <f t="shared" si="28"/>
        <v>997169.60000000009</v>
      </c>
      <c r="K2134" s="506">
        <v>414798.98</v>
      </c>
    </row>
    <row r="2135" spans="1:11" x14ac:dyDescent="0.2">
      <c r="A2135" s="510" t="s">
        <v>9401</v>
      </c>
      <c r="B2135" s="420" t="s">
        <v>295</v>
      </c>
      <c r="C2135" s="1190"/>
      <c r="D2135" s="1161"/>
      <c r="E2135" s="433">
        <v>17</v>
      </c>
      <c r="F2135" s="2" t="s">
        <v>9402</v>
      </c>
      <c r="G2135" s="621" t="s">
        <v>128</v>
      </c>
      <c r="H2135" s="505">
        <v>26.8</v>
      </c>
      <c r="I2135" s="1161"/>
      <c r="J2135" s="508">
        <v>862799.2</v>
      </c>
      <c r="K2135" s="506">
        <v>351791.54</v>
      </c>
    </row>
    <row r="2136" spans="1:11" x14ac:dyDescent="0.2">
      <c r="A2136" s="510" t="s">
        <v>11739</v>
      </c>
      <c r="B2136" s="420" t="s">
        <v>295</v>
      </c>
      <c r="C2136" s="1190"/>
      <c r="D2136" s="1161"/>
      <c r="E2136" s="433">
        <v>13</v>
      </c>
      <c r="F2136" s="2" t="s">
        <v>11740</v>
      </c>
      <c r="G2136" s="621" t="s">
        <v>512</v>
      </c>
      <c r="H2136" s="568">
        <v>38.700000000000003</v>
      </c>
      <c r="I2136" s="1161"/>
      <c r="J2136" s="508">
        <v>924000</v>
      </c>
      <c r="K2136" s="506">
        <v>507997.49</v>
      </c>
    </row>
    <row r="2137" spans="1:11" x14ac:dyDescent="0.2">
      <c r="A2137" s="684" t="s">
        <v>12511</v>
      </c>
      <c r="B2137" s="433" t="s">
        <v>295</v>
      </c>
      <c r="C2137" s="1190"/>
      <c r="D2137" s="1161"/>
      <c r="E2137" s="433">
        <v>18</v>
      </c>
      <c r="F2137" s="2" t="s">
        <v>12512</v>
      </c>
      <c r="G2137" s="621" t="s">
        <v>128</v>
      </c>
      <c r="H2137" s="568">
        <v>31.6</v>
      </c>
      <c r="I2137" s="1161"/>
      <c r="J2137" s="506">
        <v>1021343.6</v>
      </c>
      <c r="K2137" s="506">
        <v>414798.98</v>
      </c>
    </row>
    <row r="2138" spans="1:11" x14ac:dyDescent="0.2">
      <c r="A2138" s="684" t="s">
        <v>12565</v>
      </c>
      <c r="B2138" s="433" t="s">
        <v>295</v>
      </c>
      <c r="C2138" s="1190"/>
      <c r="D2138" s="1161"/>
      <c r="E2138" s="433">
        <v>8</v>
      </c>
      <c r="F2138" s="2" t="s">
        <v>12566</v>
      </c>
      <c r="G2138" s="621" t="s">
        <v>128</v>
      </c>
      <c r="H2138" s="568">
        <v>34.200000000000003</v>
      </c>
      <c r="I2138" s="1161"/>
      <c r="J2138" s="506">
        <v>1009311.6</v>
      </c>
      <c r="K2138" s="506">
        <v>448928.01</v>
      </c>
    </row>
    <row r="2139" spans="1:11" x14ac:dyDescent="0.2">
      <c r="A2139" s="684" t="s">
        <v>12651</v>
      </c>
      <c r="B2139" s="433" t="s">
        <v>295</v>
      </c>
      <c r="C2139" s="1191"/>
      <c r="D2139" s="1162"/>
      <c r="E2139" s="433">
        <v>3</v>
      </c>
      <c r="F2139" s="2" t="s">
        <v>12652</v>
      </c>
      <c r="G2139" s="621" t="s">
        <v>137</v>
      </c>
      <c r="H2139" s="568">
        <v>37.6</v>
      </c>
      <c r="I2139" s="1162"/>
      <c r="J2139" s="506">
        <v>1295005.8</v>
      </c>
      <c r="K2139" s="506">
        <v>493558.28</v>
      </c>
    </row>
    <row r="2140" spans="1:11" ht="25.5" customHeight="1" x14ac:dyDescent="0.2">
      <c r="A2140" s="410" t="s">
        <v>9115</v>
      </c>
      <c r="B2140" s="2"/>
      <c r="C2140" s="1189" t="s">
        <v>13553</v>
      </c>
      <c r="D2140" s="1160" t="s">
        <v>3015</v>
      </c>
      <c r="E2140" s="433"/>
      <c r="F2140" s="2" t="s">
        <v>9124</v>
      </c>
      <c r="G2140" s="621" t="s">
        <v>9123</v>
      </c>
      <c r="H2140" s="505">
        <f>660.8-660.8</f>
        <v>0</v>
      </c>
      <c r="I2140" s="1160">
        <v>2016</v>
      </c>
      <c r="J2140" s="508">
        <f>20852204.8-20852204.8</f>
        <v>0</v>
      </c>
      <c r="K2140" s="506"/>
    </row>
    <row r="2141" spans="1:11" ht="14.25" customHeight="1" x14ac:dyDescent="0.2">
      <c r="A2141" s="510" t="s">
        <v>9116</v>
      </c>
      <c r="B2141" s="420" t="s">
        <v>295</v>
      </c>
      <c r="C2141" s="1190"/>
      <c r="D2141" s="1161"/>
      <c r="E2141" s="433">
        <v>1</v>
      </c>
      <c r="F2141" s="2" t="s">
        <v>9135</v>
      </c>
      <c r="G2141" s="621" t="s">
        <v>137</v>
      </c>
      <c r="H2141" s="505">
        <v>40.799999999999997</v>
      </c>
      <c r="I2141" s="1161"/>
      <c r="J2141" s="508">
        <f>20852204.8/660.8*H2141</f>
        <v>1287484.8</v>
      </c>
      <c r="K2141" s="506">
        <v>535563.24</v>
      </c>
    </row>
    <row r="2142" spans="1:11" ht="14.25" customHeight="1" x14ac:dyDescent="0.2">
      <c r="A2142" s="510" t="s">
        <v>9117</v>
      </c>
      <c r="B2142" s="420" t="s">
        <v>295</v>
      </c>
      <c r="C2142" s="1190"/>
      <c r="D2142" s="1161"/>
      <c r="E2142" s="433">
        <v>2</v>
      </c>
      <c r="F2142" s="2" t="s">
        <v>10338</v>
      </c>
      <c r="G2142" s="621" t="s">
        <v>137</v>
      </c>
      <c r="H2142" s="505">
        <v>34.200000000000003</v>
      </c>
      <c r="I2142" s="1161"/>
      <c r="J2142" s="508">
        <f t="shared" ref="J2142:J2148" si="29">20852204.8/660.8*H2142</f>
        <v>1079215.2000000002</v>
      </c>
      <c r="K2142" s="506">
        <v>448928.01</v>
      </c>
    </row>
    <row r="2143" spans="1:11" ht="14.25" customHeight="1" x14ac:dyDescent="0.2">
      <c r="A2143" s="510" t="s">
        <v>9118</v>
      </c>
      <c r="B2143" s="420" t="s">
        <v>295</v>
      </c>
      <c r="C2143" s="1190"/>
      <c r="D2143" s="1161"/>
      <c r="E2143" s="433">
        <v>8</v>
      </c>
      <c r="F2143" s="2" t="s">
        <v>9134</v>
      </c>
      <c r="G2143" s="621" t="s">
        <v>128</v>
      </c>
      <c r="H2143" s="505">
        <v>34.200000000000003</v>
      </c>
      <c r="I2143" s="1161"/>
      <c r="J2143" s="508">
        <f t="shared" si="29"/>
        <v>1079215.2000000002</v>
      </c>
      <c r="K2143" s="506">
        <v>448928.01</v>
      </c>
    </row>
    <row r="2144" spans="1:11" ht="14.25" customHeight="1" x14ac:dyDescent="0.2">
      <c r="A2144" s="510" t="s">
        <v>9125</v>
      </c>
      <c r="B2144" s="420" t="s">
        <v>295</v>
      </c>
      <c r="C2144" s="1190"/>
      <c r="D2144" s="1161"/>
      <c r="E2144" s="433">
        <v>12</v>
      </c>
      <c r="F2144" s="2" t="s">
        <v>9130</v>
      </c>
      <c r="G2144" s="621" t="s">
        <v>137</v>
      </c>
      <c r="H2144" s="505">
        <v>38.5</v>
      </c>
      <c r="I2144" s="1161"/>
      <c r="J2144" s="508">
        <f t="shared" si="29"/>
        <v>1214906.0000000002</v>
      </c>
      <c r="K2144" s="506">
        <v>505372.18</v>
      </c>
    </row>
    <row r="2145" spans="1:11" ht="14.25" customHeight="1" x14ac:dyDescent="0.2">
      <c r="A2145" s="510" t="s">
        <v>9126</v>
      </c>
      <c r="B2145" s="420" t="s">
        <v>295</v>
      </c>
      <c r="C2145" s="1190"/>
      <c r="D2145" s="1161"/>
      <c r="E2145" s="433">
        <v>13</v>
      </c>
      <c r="F2145" s="2" t="s">
        <v>9131</v>
      </c>
      <c r="G2145" s="621" t="s">
        <v>137</v>
      </c>
      <c r="H2145" s="505">
        <v>31.4</v>
      </c>
      <c r="I2145" s="1161"/>
      <c r="J2145" s="508">
        <f t="shared" si="29"/>
        <v>990858.4</v>
      </c>
      <c r="K2145" s="506">
        <v>412173.67</v>
      </c>
    </row>
    <row r="2146" spans="1:11" ht="16.5" customHeight="1" x14ac:dyDescent="0.2">
      <c r="A2146" s="510" t="s">
        <v>9127</v>
      </c>
      <c r="B2146" s="420" t="s">
        <v>295</v>
      </c>
      <c r="C2146" s="1190"/>
      <c r="D2146" s="1161"/>
      <c r="E2146" s="433">
        <v>15</v>
      </c>
      <c r="F2146" s="2" t="s">
        <v>9132</v>
      </c>
      <c r="G2146" s="621" t="s">
        <v>512</v>
      </c>
      <c r="H2146" s="505">
        <v>33.299999999999997</v>
      </c>
      <c r="I2146" s="1161"/>
      <c r="J2146" s="508">
        <f t="shared" si="29"/>
        <v>1050814.8</v>
      </c>
      <c r="K2146" s="506">
        <v>437114.12</v>
      </c>
    </row>
    <row r="2147" spans="1:11" x14ac:dyDescent="0.2">
      <c r="A2147" s="510" t="s">
        <v>9128</v>
      </c>
      <c r="B2147" s="420" t="s">
        <v>295</v>
      </c>
      <c r="C2147" s="1190"/>
      <c r="D2147" s="1161"/>
      <c r="E2147" s="433">
        <v>19</v>
      </c>
      <c r="F2147" s="2" t="s">
        <v>10085</v>
      </c>
      <c r="G2147" s="621" t="s">
        <v>128</v>
      </c>
      <c r="H2147" s="432">
        <v>33.299999999999997</v>
      </c>
      <c r="I2147" s="1161"/>
      <c r="J2147" s="508">
        <f t="shared" si="29"/>
        <v>1050814.8</v>
      </c>
      <c r="K2147" s="438">
        <v>437114.12</v>
      </c>
    </row>
    <row r="2148" spans="1:11" x14ac:dyDescent="0.2">
      <c r="A2148" s="510" t="s">
        <v>9129</v>
      </c>
      <c r="B2148" s="420" t="s">
        <v>295</v>
      </c>
      <c r="C2148" s="1190"/>
      <c r="D2148" s="1161"/>
      <c r="E2148" s="433">
        <v>21</v>
      </c>
      <c r="F2148" s="2" t="s">
        <v>9133</v>
      </c>
      <c r="G2148" s="621" t="s">
        <v>128</v>
      </c>
      <c r="H2148" s="432">
        <v>31.4</v>
      </c>
      <c r="I2148" s="1161"/>
      <c r="J2148" s="508">
        <f t="shared" si="29"/>
        <v>990858.4</v>
      </c>
      <c r="K2148" s="438">
        <v>412173.67</v>
      </c>
    </row>
    <row r="2149" spans="1:11" x14ac:dyDescent="0.2">
      <c r="A2149" s="510" t="s">
        <v>9399</v>
      </c>
      <c r="B2149" s="420" t="s">
        <v>295</v>
      </c>
      <c r="C2149" s="1190"/>
      <c r="D2149" s="1161"/>
      <c r="E2149" s="433">
        <v>7</v>
      </c>
      <c r="F2149" s="2" t="s">
        <v>9400</v>
      </c>
      <c r="G2149" s="621" t="s">
        <v>128</v>
      </c>
      <c r="H2149" s="432">
        <v>40.799999999999997</v>
      </c>
      <c r="I2149" s="1161"/>
      <c r="J2149" s="508">
        <v>1313515.2</v>
      </c>
      <c r="K2149" s="438">
        <v>535563.24</v>
      </c>
    </row>
    <row r="2150" spans="1:11" x14ac:dyDescent="0.2">
      <c r="A2150" s="684" t="s">
        <v>13030</v>
      </c>
      <c r="B2150" s="433" t="s">
        <v>295</v>
      </c>
      <c r="C2150" s="1191"/>
      <c r="D2150" s="1162"/>
      <c r="E2150" s="433">
        <v>5</v>
      </c>
      <c r="F2150" s="2" t="s">
        <v>13031</v>
      </c>
      <c r="G2150" s="433" t="s">
        <v>512</v>
      </c>
      <c r="H2150" s="568">
        <v>34.200000000000003</v>
      </c>
      <c r="I2150" s="1162"/>
      <c r="J2150" s="506">
        <v>1911558</v>
      </c>
      <c r="K2150" s="438">
        <v>448928.01</v>
      </c>
    </row>
    <row r="2151" spans="1:11" ht="25.5" customHeight="1" x14ac:dyDescent="0.2">
      <c r="A2151" s="410" t="s">
        <v>9201</v>
      </c>
      <c r="B2151" s="420"/>
      <c r="C2151" s="1189" t="s">
        <v>13554</v>
      </c>
      <c r="D2151" s="1160" t="s">
        <v>9205</v>
      </c>
      <c r="E2151" s="433"/>
      <c r="F2151" s="2" t="s">
        <v>9204</v>
      </c>
      <c r="G2151" s="621" t="s">
        <v>5881</v>
      </c>
      <c r="H2151" s="432"/>
      <c r="I2151" s="1160">
        <v>2017</v>
      </c>
      <c r="J2151" s="511">
        <f>11793132.6-11793132.6</f>
        <v>0</v>
      </c>
      <c r="K2151" s="438">
        <v>9230693.6500000004</v>
      </c>
    </row>
    <row r="2152" spans="1:11" ht="14.25" customHeight="1" x14ac:dyDescent="0.2">
      <c r="A2152" s="510" t="s">
        <v>9202</v>
      </c>
      <c r="B2152" s="420" t="s">
        <v>295</v>
      </c>
      <c r="C2152" s="1190"/>
      <c r="D2152" s="1161"/>
      <c r="E2152" s="509" t="s">
        <v>332</v>
      </c>
      <c r="F2152" s="2" t="s">
        <v>9206</v>
      </c>
      <c r="G2152" s="621" t="s">
        <v>512</v>
      </c>
      <c r="H2152" s="432">
        <v>24.5</v>
      </c>
      <c r="I2152" s="1161"/>
      <c r="J2152" s="438">
        <v>775875.4</v>
      </c>
      <c r="K2152" s="438">
        <v>195194.2</v>
      </c>
    </row>
    <row r="2153" spans="1:11" ht="12.75" customHeight="1" x14ac:dyDescent="0.2">
      <c r="A2153" s="510" t="s">
        <v>9203</v>
      </c>
      <c r="B2153" s="420" t="s">
        <v>295</v>
      </c>
      <c r="C2153" s="1190"/>
      <c r="D2153" s="1161"/>
      <c r="E2153" s="420">
        <v>8</v>
      </c>
      <c r="F2153" s="2" t="s">
        <v>9207</v>
      </c>
      <c r="G2153" s="621" t="s">
        <v>512</v>
      </c>
      <c r="H2153" s="432">
        <v>27.3</v>
      </c>
      <c r="I2153" s="1161"/>
      <c r="J2153" s="438">
        <v>878896.2</v>
      </c>
      <c r="K2153" s="438">
        <v>217502.1</v>
      </c>
    </row>
    <row r="2154" spans="1:11" ht="12.75" customHeight="1" x14ac:dyDescent="0.2">
      <c r="A2154" s="510" t="s">
        <v>14313</v>
      </c>
      <c r="B2154" s="420" t="s">
        <v>295</v>
      </c>
      <c r="C2154" s="1190"/>
      <c r="D2154" s="1161"/>
      <c r="E2154" s="420">
        <v>20</v>
      </c>
      <c r="F2154" s="2" t="s">
        <v>14314</v>
      </c>
      <c r="G2154" s="621" t="s">
        <v>128</v>
      </c>
      <c r="H2154" s="432">
        <v>40.200000000000003</v>
      </c>
      <c r="I2154" s="1161"/>
      <c r="J2154" s="438">
        <v>4704927.5999999996</v>
      </c>
      <c r="K2154" s="438">
        <v>320277.82</v>
      </c>
    </row>
    <row r="2155" spans="1:11" ht="12.75" customHeight="1" x14ac:dyDescent="0.2">
      <c r="A2155" s="510" t="s">
        <v>14381</v>
      </c>
      <c r="B2155" s="420" t="s">
        <v>295</v>
      </c>
      <c r="C2155" s="1191"/>
      <c r="D2155" s="1162"/>
      <c r="E2155" s="869">
        <v>16</v>
      </c>
      <c r="F2155" s="869" t="s">
        <v>14382</v>
      </c>
      <c r="G2155" s="869" t="s">
        <v>512</v>
      </c>
      <c r="H2155" s="874">
        <v>57.2</v>
      </c>
      <c r="I2155" s="1162"/>
      <c r="J2155" s="872">
        <v>6013203</v>
      </c>
      <c r="K2155" s="872">
        <v>455718.69</v>
      </c>
    </row>
    <row r="2156" spans="1:11" ht="12.75" customHeight="1" x14ac:dyDescent="0.2">
      <c r="A2156" s="410" t="s">
        <v>9345</v>
      </c>
      <c r="B2156" s="347"/>
      <c r="C2156" s="1171" t="s">
        <v>11475</v>
      </c>
      <c r="D2156" s="1185" t="s">
        <v>9347</v>
      </c>
      <c r="E2156" s="432"/>
      <c r="F2156" s="178"/>
      <c r="G2156" s="724" t="s">
        <v>9351</v>
      </c>
      <c r="H2156" s="432"/>
      <c r="I2156" s="1185">
        <v>2017</v>
      </c>
      <c r="J2156" s="443">
        <v>51169143.600000001</v>
      </c>
      <c r="K2156" s="438"/>
    </row>
    <row r="2157" spans="1:11" x14ac:dyDescent="0.2">
      <c r="A2157" s="411" t="s">
        <v>9346</v>
      </c>
      <c r="B2157" s="347" t="s">
        <v>295</v>
      </c>
      <c r="C2157" s="1172"/>
      <c r="D2157" s="1186"/>
      <c r="E2157" s="432">
        <v>2</v>
      </c>
      <c r="F2157" s="178" t="s">
        <v>9355</v>
      </c>
      <c r="G2157" s="724" t="s">
        <v>137</v>
      </c>
      <c r="H2157" s="432">
        <v>58.8</v>
      </c>
      <c r="I2157" s="1186"/>
      <c r="J2157" s="443">
        <v>1909104.2</v>
      </c>
      <c r="K2157" s="438">
        <v>958201.27</v>
      </c>
    </row>
    <row r="2158" spans="1:11" ht="25.5" customHeight="1" x14ac:dyDescent="0.2">
      <c r="A2158" s="411" t="s">
        <v>9348</v>
      </c>
      <c r="B2158" s="347" t="s">
        <v>295</v>
      </c>
      <c r="C2158" s="1172"/>
      <c r="D2158" s="1186"/>
      <c r="E2158" s="432">
        <v>11</v>
      </c>
      <c r="F2158" s="178" t="s">
        <v>9353</v>
      </c>
      <c r="G2158" s="724" t="s">
        <v>507</v>
      </c>
      <c r="H2158" s="432">
        <v>58.8</v>
      </c>
      <c r="I2158" s="1186"/>
      <c r="J2158" s="443">
        <v>1909104.2</v>
      </c>
      <c r="K2158" s="438">
        <v>958201.27</v>
      </c>
    </row>
    <row r="2159" spans="1:11" x14ac:dyDescent="0.2">
      <c r="A2159" s="411" t="s">
        <v>9349</v>
      </c>
      <c r="B2159" s="347" t="s">
        <v>295</v>
      </c>
      <c r="C2159" s="1172"/>
      <c r="D2159" s="1186"/>
      <c r="E2159" s="432">
        <v>15</v>
      </c>
      <c r="F2159" s="178" t="s">
        <v>9354</v>
      </c>
      <c r="G2159" s="724" t="s">
        <v>127</v>
      </c>
      <c r="H2159" s="432">
        <v>52.7</v>
      </c>
      <c r="I2159" s="1186"/>
      <c r="J2159" s="443">
        <v>1699843.2</v>
      </c>
      <c r="K2159" s="438">
        <v>858796.04</v>
      </c>
    </row>
    <row r="2160" spans="1:11" x14ac:dyDescent="0.2">
      <c r="A2160" s="411" t="s">
        <v>9350</v>
      </c>
      <c r="B2160" s="347" t="s">
        <v>295</v>
      </c>
      <c r="C2160" s="1172"/>
      <c r="D2160" s="1186"/>
      <c r="E2160" s="432">
        <v>17</v>
      </c>
      <c r="F2160" s="178" t="s">
        <v>9359</v>
      </c>
      <c r="G2160" s="724" t="s">
        <v>137</v>
      </c>
      <c r="H2160" s="432">
        <v>48.8</v>
      </c>
      <c r="I2160" s="1186"/>
      <c r="J2160" s="443">
        <v>1564628.4</v>
      </c>
      <c r="K2160" s="438">
        <v>795241.87</v>
      </c>
    </row>
    <row r="2161" spans="1:11" x14ac:dyDescent="0.2">
      <c r="A2161" s="411" t="s">
        <v>9352</v>
      </c>
      <c r="B2161" s="347" t="s">
        <v>295</v>
      </c>
      <c r="C2161" s="1172"/>
      <c r="D2161" s="1186"/>
      <c r="E2161" s="432">
        <v>28</v>
      </c>
      <c r="F2161" s="178" t="s">
        <v>9356</v>
      </c>
      <c r="G2161" s="724" t="s">
        <v>127</v>
      </c>
      <c r="H2161" s="432">
        <v>55.9</v>
      </c>
      <c r="I2161" s="1186"/>
      <c r="J2161" s="443">
        <v>1796425.2</v>
      </c>
      <c r="K2161" s="438">
        <v>910943.05</v>
      </c>
    </row>
    <row r="2162" spans="1:11" ht="25.5" customHeight="1" x14ac:dyDescent="0.2">
      <c r="A2162" s="410" t="s">
        <v>9364</v>
      </c>
      <c r="B2162" s="347"/>
      <c r="C2162" s="1171" t="s">
        <v>11476</v>
      </c>
      <c r="D2162" s="1185" t="s">
        <v>9365</v>
      </c>
      <c r="E2162" s="432"/>
      <c r="F2162" s="178" t="s">
        <v>9425</v>
      </c>
      <c r="G2162" s="724" t="s">
        <v>9431</v>
      </c>
      <c r="H2162" s="432"/>
      <c r="I2162" s="1185">
        <v>2017</v>
      </c>
      <c r="J2162" s="443">
        <f>(69307243.2+1075279.6)-70382522.8</f>
        <v>0</v>
      </c>
      <c r="K2162" s="438"/>
    </row>
    <row r="2163" spans="1:11" x14ac:dyDescent="0.2">
      <c r="A2163" s="411" t="s">
        <v>9366</v>
      </c>
      <c r="B2163" s="347" t="s">
        <v>295</v>
      </c>
      <c r="C2163" s="1172"/>
      <c r="D2163" s="1186"/>
      <c r="E2163" s="432">
        <v>3</v>
      </c>
      <c r="F2163" s="178" t="s">
        <v>10086</v>
      </c>
      <c r="G2163" s="724" t="s">
        <v>137</v>
      </c>
      <c r="H2163" s="505">
        <v>50</v>
      </c>
      <c r="I2163" s="1186"/>
      <c r="J2163" s="443">
        <v>1574286.6</v>
      </c>
      <c r="K2163" s="438">
        <v>718490</v>
      </c>
    </row>
    <row r="2164" spans="1:11" ht="13.5" customHeight="1" x14ac:dyDescent="0.2">
      <c r="A2164" s="411" t="s">
        <v>9367</v>
      </c>
      <c r="B2164" s="347" t="s">
        <v>295</v>
      </c>
      <c r="C2164" s="1172"/>
      <c r="D2164" s="1186"/>
      <c r="E2164" s="432">
        <v>5</v>
      </c>
      <c r="F2164" s="178" t="s">
        <v>9416</v>
      </c>
      <c r="G2164" s="724" t="s">
        <v>512</v>
      </c>
      <c r="H2164" s="505">
        <v>31.5</v>
      </c>
      <c r="I2164" s="1186"/>
      <c r="J2164" s="443">
        <v>1007672.2</v>
      </c>
      <c r="K2164" s="438">
        <v>452648.7</v>
      </c>
    </row>
    <row r="2165" spans="1:11" x14ac:dyDescent="0.2">
      <c r="A2165" s="411" t="s">
        <v>9368</v>
      </c>
      <c r="B2165" s="347" t="s">
        <v>295</v>
      </c>
      <c r="C2165" s="1172"/>
      <c r="D2165" s="1186"/>
      <c r="E2165" s="432">
        <v>7</v>
      </c>
      <c r="F2165" s="178" t="s">
        <v>9417</v>
      </c>
      <c r="G2165" s="724" t="s">
        <v>512</v>
      </c>
      <c r="H2165" s="505">
        <v>49.6</v>
      </c>
      <c r="I2165" s="1186"/>
      <c r="J2165" s="443">
        <v>1574286.6</v>
      </c>
      <c r="K2165" s="438">
        <v>712742.08</v>
      </c>
    </row>
    <row r="2166" spans="1:11" x14ac:dyDescent="0.2">
      <c r="A2166" s="411" t="s">
        <v>9369</v>
      </c>
      <c r="B2166" s="347" t="s">
        <v>295</v>
      </c>
      <c r="C2166" s="1172"/>
      <c r="D2166" s="1186"/>
      <c r="E2166" s="432">
        <v>10</v>
      </c>
      <c r="F2166" s="178" t="s">
        <v>9418</v>
      </c>
      <c r="G2166" s="724" t="s">
        <v>128</v>
      </c>
      <c r="H2166" s="505">
        <v>35.6</v>
      </c>
      <c r="I2166" s="1186"/>
      <c r="J2166" s="443">
        <v>1142887</v>
      </c>
      <c r="K2166" s="438">
        <v>511564.88</v>
      </c>
    </row>
    <row r="2167" spans="1:11" x14ac:dyDescent="0.2">
      <c r="A2167" s="411" t="s">
        <v>9370</v>
      </c>
      <c r="B2167" s="347" t="s">
        <v>295</v>
      </c>
      <c r="C2167" s="1172"/>
      <c r="D2167" s="1186"/>
      <c r="E2167" s="432">
        <v>14</v>
      </c>
      <c r="F2167" s="178" t="s">
        <v>9419</v>
      </c>
      <c r="G2167" s="724" t="s">
        <v>507</v>
      </c>
      <c r="H2167" s="505">
        <v>35.9</v>
      </c>
      <c r="I2167" s="1186"/>
      <c r="J2167" s="443">
        <v>1142887</v>
      </c>
      <c r="K2167" s="438">
        <v>515875.82</v>
      </c>
    </row>
    <row r="2168" spans="1:11" x14ac:dyDescent="0.2">
      <c r="A2168" s="411" t="s">
        <v>9371</v>
      </c>
      <c r="B2168" s="347" t="s">
        <v>295</v>
      </c>
      <c r="C2168" s="1172"/>
      <c r="D2168" s="1186"/>
      <c r="E2168" s="432">
        <v>16</v>
      </c>
      <c r="F2168" s="178" t="s">
        <v>10087</v>
      </c>
      <c r="G2168" s="724" t="s">
        <v>127</v>
      </c>
      <c r="H2168" s="505">
        <v>31.5</v>
      </c>
      <c r="I2168" s="1186"/>
      <c r="J2168" s="443">
        <v>1007672.2</v>
      </c>
      <c r="K2168" s="438">
        <v>452648.7</v>
      </c>
    </row>
    <row r="2169" spans="1:11" ht="15" customHeight="1" x14ac:dyDescent="0.2">
      <c r="A2169" s="411" t="s">
        <v>9372</v>
      </c>
      <c r="B2169" s="347" t="s">
        <v>295</v>
      </c>
      <c r="C2169" s="1172"/>
      <c r="D2169" s="1186"/>
      <c r="E2169" s="432">
        <v>18</v>
      </c>
      <c r="F2169" s="178" t="s">
        <v>9420</v>
      </c>
      <c r="G2169" s="724" t="s">
        <v>127</v>
      </c>
      <c r="H2169" s="505">
        <v>82.1</v>
      </c>
      <c r="I2169" s="1186"/>
      <c r="J2169" s="443">
        <v>2588397.6</v>
      </c>
      <c r="K2169" s="438">
        <v>1179760.58</v>
      </c>
    </row>
    <row r="2170" spans="1:11" ht="12.75" customHeight="1" x14ac:dyDescent="0.2">
      <c r="A2170" s="411" t="s">
        <v>9373</v>
      </c>
      <c r="B2170" s="347" t="s">
        <v>295</v>
      </c>
      <c r="C2170" s="1172"/>
      <c r="D2170" s="1186"/>
      <c r="E2170" s="432">
        <v>22</v>
      </c>
      <c r="F2170" s="178" t="s">
        <v>9421</v>
      </c>
      <c r="G2170" s="724" t="s">
        <v>512</v>
      </c>
      <c r="H2170" s="505">
        <v>72.599999999999994</v>
      </c>
      <c r="I2170" s="1186"/>
      <c r="J2170" s="443">
        <v>2317968</v>
      </c>
      <c r="K2170" s="438">
        <v>1043247.48</v>
      </c>
    </row>
    <row r="2171" spans="1:11" x14ac:dyDescent="0.2">
      <c r="A2171" s="411" t="s">
        <v>9374</v>
      </c>
      <c r="B2171" s="347" t="s">
        <v>295</v>
      </c>
      <c r="C2171" s="1172"/>
      <c r="D2171" s="1186"/>
      <c r="E2171" s="432">
        <v>23</v>
      </c>
      <c r="F2171" s="178" t="s">
        <v>9422</v>
      </c>
      <c r="G2171" s="724" t="s">
        <v>512</v>
      </c>
      <c r="H2171" s="505">
        <v>33.700000000000003</v>
      </c>
      <c r="I2171" s="1186"/>
      <c r="J2171" s="443">
        <v>1075279.6000000001</v>
      </c>
      <c r="K2171" s="438">
        <v>484262.26</v>
      </c>
    </row>
    <row r="2172" spans="1:11" x14ac:dyDescent="0.2">
      <c r="A2172" s="411" t="s">
        <v>9375</v>
      </c>
      <c r="B2172" s="347" t="s">
        <v>295</v>
      </c>
      <c r="C2172" s="1172"/>
      <c r="D2172" s="1186"/>
      <c r="E2172" s="432">
        <v>24</v>
      </c>
      <c r="F2172" s="178" t="s">
        <v>9423</v>
      </c>
      <c r="G2172" s="724" t="s">
        <v>512</v>
      </c>
      <c r="H2172" s="505">
        <v>47.9</v>
      </c>
      <c r="I2172" s="1186"/>
      <c r="J2172" s="443">
        <v>1535653.8</v>
      </c>
      <c r="K2172" s="438">
        <v>688313.42</v>
      </c>
    </row>
    <row r="2173" spans="1:11" x14ac:dyDescent="0.2">
      <c r="A2173" s="411" t="s">
        <v>9376</v>
      </c>
      <c r="B2173" s="347" t="s">
        <v>295</v>
      </c>
      <c r="C2173" s="1172"/>
      <c r="D2173" s="1186"/>
      <c r="E2173" s="432">
        <v>26</v>
      </c>
      <c r="F2173" s="178" t="s">
        <v>9424</v>
      </c>
      <c r="G2173" s="724" t="s">
        <v>128</v>
      </c>
      <c r="H2173" s="505">
        <v>33.200000000000003</v>
      </c>
      <c r="I2173" s="1186"/>
      <c r="J2173" s="443">
        <v>1075279.6000000001</v>
      </c>
      <c r="K2173" s="438">
        <v>477077.36</v>
      </c>
    </row>
    <row r="2174" spans="1:11" x14ac:dyDescent="0.2">
      <c r="A2174" s="411" t="s">
        <v>9377</v>
      </c>
      <c r="B2174" s="347" t="s">
        <v>295</v>
      </c>
      <c r="C2174" s="1172"/>
      <c r="D2174" s="1186"/>
      <c r="E2174" s="432">
        <v>27</v>
      </c>
      <c r="F2174" s="178" t="s">
        <v>9426</v>
      </c>
      <c r="G2174" s="724" t="s">
        <v>128</v>
      </c>
      <c r="H2174" s="505">
        <v>47.7</v>
      </c>
      <c r="I2174" s="1186"/>
      <c r="J2174" s="443">
        <v>1535653.8</v>
      </c>
      <c r="K2174" s="438">
        <v>685439.46</v>
      </c>
    </row>
    <row r="2175" spans="1:11" x14ac:dyDescent="0.2">
      <c r="A2175" s="411" t="s">
        <v>9378</v>
      </c>
      <c r="B2175" s="347" t="s">
        <v>295</v>
      </c>
      <c r="C2175" s="1172"/>
      <c r="D2175" s="1186"/>
      <c r="E2175" s="432">
        <v>32</v>
      </c>
      <c r="F2175" s="178" t="s">
        <v>9427</v>
      </c>
      <c r="G2175" s="724" t="s">
        <v>127</v>
      </c>
      <c r="H2175" s="505">
        <v>33.799999999999997</v>
      </c>
      <c r="I2175" s="1186"/>
      <c r="J2175" s="443">
        <v>1075279.6000000001</v>
      </c>
      <c r="K2175" s="438">
        <v>485699.24</v>
      </c>
    </row>
    <row r="2176" spans="1:11" ht="12.75" customHeight="1" x14ac:dyDescent="0.2">
      <c r="A2176" s="411" t="s">
        <v>9379</v>
      </c>
      <c r="B2176" s="347" t="s">
        <v>295</v>
      </c>
      <c r="C2176" s="1172"/>
      <c r="D2176" s="1186"/>
      <c r="E2176" s="432">
        <v>33</v>
      </c>
      <c r="F2176" s="178" t="s">
        <v>9428</v>
      </c>
      <c r="G2176" s="724" t="s">
        <v>127</v>
      </c>
      <c r="H2176" s="505">
        <v>48.6</v>
      </c>
      <c r="I2176" s="1186"/>
      <c r="J2176" s="443">
        <v>1535653.8</v>
      </c>
      <c r="K2176" s="438">
        <v>698372.28</v>
      </c>
    </row>
    <row r="2177" spans="1:11" ht="12.75" customHeight="1" x14ac:dyDescent="0.2">
      <c r="A2177" s="411" t="s">
        <v>9380</v>
      </c>
      <c r="B2177" s="347" t="s">
        <v>295</v>
      </c>
      <c r="C2177" s="1172"/>
      <c r="D2177" s="1186"/>
      <c r="E2177" s="432">
        <v>34</v>
      </c>
      <c r="F2177" s="178" t="s">
        <v>9429</v>
      </c>
      <c r="G2177" s="724" t="s">
        <v>137</v>
      </c>
      <c r="H2177" s="505">
        <f>57.4-57.4</f>
        <v>0</v>
      </c>
      <c r="I2177" s="1186"/>
      <c r="J2177" s="443">
        <f>1796425.2-1796425.2</f>
        <v>0</v>
      </c>
      <c r="K2177" s="438"/>
    </row>
    <row r="2178" spans="1:11" ht="14.25" customHeight="1" x14ac:dyDescent="0.2">
      <c r="A2178" s="411" t="s">
        <v>9381</v>
      </c>
      <c r="B2178" s="347" t="s">
        <v>295</v>
      </c>
      <c r="C2178" s="1172"/>
      <c r="D2178" s="1186"/>
      <c r="E2178" s="432">
        <v>42</v>
      </c>
      <c r="F2178" s="178" t="s">
        <v>9430</v>
      </c>
      <c r="G2178" s="724" t="s">
        <v>128</v>
      </c>
      <c r="H2178" s="505">
        <v>54.6</v>
      </c>
      <c r="I2178" s="1186"/>
      <c r="J2178" s="443">
        <v>1725598.4</v>
      </c>
      <c r="K2178" s="438">
        <v>784591.08</v>
      </c>
    </row>
    <row r="2179" spans="1:11" ht="12.75" customHeight="1" x14ac:dyDescent="0.2">
      <c r="A2179" s="411" t="s">
        <v>9382</v>
      </c>
      <c r="B2179" s="347" t="s">
        <v>295</v>
      </c>
      <c r="C2179" s="1172"/>
      <c r="D2179" s="1186"/>
      <c r="E2179" s="432">
        <v>20</v>
      </c>
      <c r="F2179" s="178" t="s">
        <v>10088</v>
      </c>
      <c r="G2179" s="724" t="s">
        <v>137</v>
      </c>
      <c r="H2179" s="505">
        <f>33.9-33.9</f>
        <v>0</v>
      </c>
      <c r="I2179" s="1186"/>
      <c r="J2179" s="443">
        <f>1075279.6-1075279.6</f>
        <v>0</v>
      </c>
      <c r="K2179" s="438">
        <f>487136.22-487136.22</f>
        <v>0</v>
      </c>
    </row>
    <row r="2180" spans="1:11" ht="14.25" customHeight="1" x14ac:dyDescent="0.2">
      <c r="A2180" s="411" t="s">
        <v>10339</v>
      </c>
      <c r="B2180" s="347" t="s">
        <v>295</v>
      </c>
      <c r="C2180" s="1172"/>
      <c r="D2180" s="1186"/>
      <c r="E2180" s="512" t="s">
        <v>10340</v>
      </c>
      <c r="F2180" s="178" t="s">
        <v>10341</v>
      </c>
      <c r="G2180" s="724" t="s">
        <v>137</v>
      </c>
      <c r="H2180" s="505">
        <v>18.2</v>
      </c>
      <c r="I2180" s="1186"/>
      <c r="J2180" s="443">
        <v>595026</v>
      </c>
      <c r="K2180" s="443">
        <v>261530.36</v>
      </c>
    </row>
    <row r="2181" spans="1:11" x14ac:dyDescent="0.2">
      <c r="A2181" s="411" t="s">
        <v>10342</v>
      </c>
      <c r="B2181" s="347" t="s">
        <v>295</v>
      </c>
      <c r="C2181" s="1172"/>
      <c r="D2181" s="1186"/>
      <c r="E2181" s="512">
        <v>19</v>
      </c>
      <c r="F2181" s="178" t="s">
        <v>10343</v>
      </c>
      <c r="G2181" s="724" t="s">
        <v>137</v>
      </c>
      <c r="H2181" s="505">
        <v>32.5</v>
      </c>
      <c r="I2181" s="1186"/>
      <c r="J2181" s="443">
        <v>1074352.5</v>
      </c>
      <c r="K2181" s="443">
        <v>467018.5</v>
      </c>
    </row>
    <row r="2182" spans="1:11" x14ac:dyDescent="0.2">
      <c r="A2182" s="411" t="s">
        <v>10345</v>
      </c>
      <c r="B2182" s="347" t="s">
        <v>295</v>
      </c>
      <c r="C2182" s="1172"/>
      <c r="D2182" s="1186"/>
      <c r="E2182" s="512">
        <v>8</v>
      </c>
      <c r="F2182" s="178" t="s">
        <v>10346</v>
      </c>
      <c r="G2182" s="724" t="s">
        <v>512</v>
      </c>
      <c r="H2182" s="505">
        <v>31.9</v>
      </c>
      <c r="I2182" s="1186"/>
      <c r="J2182" s="443">
        <v>687252.05</v>
      </c>
      <c r="K2182" s="443">
        <v>458396.62</v>
      </c>
    </row>
    <row r="2183" spans="1:11" x14ac:dyDescent="0.2">
      <c r="A2183" s="411" t="s">
        <v>10948</v>
      </c>
      <c r="B2183" s="347" t="s">
        <v>295</v>
      </c>
      <c r="C2183" s="1172"/>
      <c r="D2183" s="1186"/>
      <c r="E2183" s="512">
        <v>1</v>
      </c>
      <c r="F2183" s="178" t="s">
        <v>10949</v>
      </c>
      <c r="G2183" s="724" t="s">
        <v>137</v>
      </c>
      <c r="H2183" s="501">
        <v>32.1</v>
      </c>
      <c r="I2183" s="1186"/>
      <c r="J2183" s="443">
        <v>919249.3</v>
      </c>
      <c r="K2183" s="437">
        <v>461270.58</v>
      </c>
    </row>
    <row r="2184" spans="1:11" x14ac:dyDescent="0.2">
      <c r="A2184" s="411" t="s">
        <v>10950</v>
      </c>
      <c r="B2184" s="347" t="s">
        <v>295</v>
      </c>
      <c r="C2184" s="1172"/>
      <c r="D2184" s="1186"/>
      <c r="E2184" s="512">
        <v>9</v>
      </c>
      <c r="F2184" s="178" t="s">
        <v>10951</v>
      </c>
      <c r="G2184" s="724" t="s">
        <v>128</v>
      </c>
      <c r="H2184" s="501">
        <v>31.6</v>
      </c>
      <c r="I2184" s="1186"/>
      <c r="J2184" s="443">
        <v>946249.3</v>
      </c>
      <c r="K2184" s="437">
        <v>454085.68</v>
      </c>
    </row>
    <row r="2185" spans="1:11" x14ac:dyDescent="0.2">
      <c r="A2185" s="510" t="s">
        <v>11735</v>
      </c>
      <c r="B2185" s="420" t="s">
        <v>295</v>
      </c>
      <c r="C2185" s="1172"/>
      <c r="D2185" s="1186"/>
      <c r="E2185" s="569">
        <v>43</v>
      </c>
      <c r="F2185" s="38" t="s">
        <v>11737</v>
      </c>
      <c r="G2185" s="621" t="s">
        <v>507</v>
      </c>
      <c r="H2185" s="570">
        <v>57</v>
      </c>
      <c r="I2185" s="1186"/>
      <c r="J2185" s="438">
        <v>924000</v>
      </c>
      <c r="K2185" s="458">
        <v>819078.6</v>
      </c>
    </row>
    <row r="2186" spans="1:11" x14ac:dyDescent="0.2">
      <c r="A2186" s="510" t="s">
        <v>11736</v>
      </c>
      <c r="B2186" s="420" t="s">
        <v>295</v>
      </c>
      <c r="C2186" s="1172"/>
      <c r="D2186" s="1186"/>
      <c r="E2186" s="569">
        <v>44</v>
      </c>
      <c r="F2186" s="38" t="s">
        <v>11738</v>
      </c>
      <c r="G2186" s="621" t="s">
        <v>507</v>
      </c>
      <c r="H2186" s="570">
        <v>53.4</v>
      </c>
      <c r="I2186" s="1186"/>
      <c r="J2186" s="438">
        <v>924000</v>
      </c>
      <c r="K2186" s="458">
        <v>767347.32</v>
      </c>
    </row>
    <row r="2187" spans="1:11" x14ac:dyDescent="0.2">
      <c r="A2187" s="684" t="s">
        <v>12646</v>
      </c>
      <c r="B2187" s="433" t="s">
        <v>295</v>
      </c>
      <c r="C2187" s="1172"/>
      <c r="D2187" s="1186"/>
      <c r="E2187" s="432">
        <v>30</v>
      </c>
      <c r="F2187" s="200" t="s">
        <v>12647</v>
      </c>
      <c r="G2187" s="724" t="s">
        <v>507</v>
      </c>
      <c r="H2187" s="505">
        <f>48.6</f>
        <v>48.6</v>
      </c>
      <c r="I2187" s="1186"/>
      <c r="J2187" s="438">
        <v>1710934.5</v>
      </c>
      <c r="K2187" s="438">
        <v>698372.28</v>
      </c>
    </row>
    <row r="2188" spans="1:11" x14ac:dyDescent="0.2">
      <c r="A2188" s="764" t="s">
        <v>13018</v>
      </c>
      <c r="B2188" s="432" t="s">
        <v>295</v>
      </c>
      <c r="C2188" s="1172"/>
      <c r="D2188" s="1186"/>
      <c r="E2188" s="432">
        <v>46</v>
      </c>
      <c r="F2188" s="200" t="s">
        <v>13019</v>
      </c>
      <c r="G2188" s="432" t="s">
        <v>127</v>
      </c>
      <c r="H2188" s="505">
        <v>48.6</v>
      </c>
      <c r="I2188" s="1186"/>
      <c r="J2188" s="443">
        <v>1710934.5</v>
      </c>
      <c r="K2188" s="443">
        <v>819078.6</v>
      </c>
    </row>
    <row r="2189" spans="1:11" x14ac:dyDescent="0.2">
      <c r="A2189" s="864" t="s">
        <v>14263</v>
      </c>
      <c r="B2189" s="432" t="s">
        <v>295</v>
      </c>
      <c r="C2189" s="1172"/>
      <c r="D2189" s="1186"/>
      <c r="E2189" s="432">
        <v>20</v>
      </c>
      <c r="F2189" s="200" t="s">
        <v>14264</v>
      </c>
      <c r="G2189" s="591" t="s">
        <v>137</v>
      </c>
      <c r="H2189" s="505">
        <v>33.9</v>
      </c>
      <c r="I2189" s="1186"/>
      <c r="J2189" s="443">
        <v>1397753.11</v>
      </c>
      <c r="K2189" s="443">
        <v>487136.22</v>
      </c>
    </row>
    <row r="2190" spans="1:11" x14ac:dyDescent="0.2">
      <c r="A2190" s="864" t="s">
        <v>14265</v>
      </c>
      <c r="B2190" s="432" t="s">
        <v>295</v>
      </c>
      <c r="C2190" s="1172"/>
      <c r="D2190" s="1186"/>
      <c r="E2190" s="432">
        <v>21</v>
      </c>
      <c r="F2190" s="200" t="s">
        <v>14266</v>
      </c>
      <c r="G2190" s="591" t="s">
        <v>137</v>
      </c>
      <c r="H2190" s="505">
        <v>49.3</v>
      </c>
      <c r="I2190" s="1186"/>
      <c r="J2190" s="443">
        <v>1854020</v>
      </c>
      <c r="K2190" s="443">
        <v>708431.14</v>
      </c>
    </row>
    <row r="2191" spans="1:11" x14ac:dyDescent="0.2">
      <c r="A2191" s="864" t="s">
        <v>14356</v>
      </c>
      <c r="B2191" s="432" t="s">
        <v>295</v>
      </c>
      <c r="C2191" s="1204"/>
      <c r="D2191" s="1187"/>
      <c r="E2191" s="432">
        <v>4</v>
      </c>
      <c r="F2191" s="869" t="s">
        <v>14357</v>
      </c>
      <c r="G2191" s="869" t="s">
        <v>137</v>
      </c>
      <c r="H2191" s="874">
        <v>32.5</v>
      </c>
      <c r="I2191" s="1187"/>
      <c r="J2191" s="443">
        <v>1383492</v>
      </c>
      <c r="K2191" s="872">
        <v>467018.5</v>
      </c>
    </row>
    <row r="2192" spans="1:11" x14ac:dyDescent="0.2">
      <c r="A2192" s="410" t="s">
        <v>9383</v>
      </c>
      <c r="B2192" s="347"/>
      <c r="C2192" s="1171" t="s">
        <v>11477</v>
      </c>
      <c r="D2192" s="1185" t="s">
        <v>3015</v>
      </c>
      <c r="E2192" s="432"/>
      <c r="F2192" s="178"/>
      <c r="G2192" s="724"/>
      <c r="H2192" s="443">
        <f>(198.7+159.2)-357.9</f>
        <v>0</v>
      </c>
      <c r="I2192" s="1185">
        <v>2017</v>
      </c>
      <c r="J2192" s="443">
        <f>6395338.1+1279067.62*4</f>
        <v>11511608.58</v>
      </c>
      <c r="K2192" s="438"/>
    </row>
    <row r="2193" spans="1:11" x14ac:dyDescent="0.2">
      <c r="A2193" s="411" t="s">
        <v>9384</v>
      </c>
      <c r="B2193" s="347" t="s">
        <v>295</v>
      </c>
      <c r="C2193" s="1172"/>
      <c r="D2193" s="1186"/>
      <c r="E2193" s="432">
        <v>30</v>
      </c>
      <c r="F2193" s="178" t="s">
        <v>9403</v>
      </c>
      <c r="G2193" s="724" t="s">
        <v>137</v>
      </c>
      <c r="H2193" s="432">
        <v>39.9</v>
      </c>
      <c r="I2193" s="1186"/>
      <c r="J2193" s="443">
        <f>6395338.1/198.7*H2193</f>
        <v>1284217.3638147961</v>
      </c>
      <c r="K2193" s="438">
        <v>652580.46</v>
      </c>
    </row>
    <row r="2194" spans="1:11" ht="15" customHeight="1" x14ac:dyDescent="0.2">
      <c r="A2194" s="411" t="s">
        <v>11478</v>
      </c>
      <c r="B2194" s="347" t="s">
        <v>295</v>
      </c>
      <c r="C2194" s="1172"/>
      <c r="D2194" s="1186"/>
      <c r="E2194" s="432">
        <v>89</v>
      </c>
      <c r="F2194" s="178" t="s">
        <v>11479</v>
      </c>
      <c r="G2194" s="724" t="s">
        <v>2597</v>
      </c>
      <c r="H2194" s="432">
        <v>39.799999999999997</v>
      </c>
      <c r="I2194" s="1186"/>
      <c r="J2194" s="443">
        <f t="shared" ref="J2194" si="30">6395338.1/198.7*H2194</f>
        <v>1280998.7739305485</v>
      </c>
      <c r="K2194" s="438">
        <v>650944.92000000004</v>
      </c>
    </row>
    <row r="2195" spans="1:11" ht="14.25" customHeight="1" x14ac:dyDescent="0.2">
      <c r="A2195" s="411" t="s">
        <v>9385</v>
      </c>
      <c r="B2195" s="347" t="s">
        <v>295</v>
      </c>
      <c r="C2195" s="1172"/>
      <c r="D2195" s="1186"/>
      <c r="E2195" s="432">
        <v>58</v>
      </c>
      <c r="F2195" s="178" t="s">
        <v>9404</v>
      </c>
      <c r="G2195" s="724" t="s">
        <v>2600</v>
      </c>
      <c r="H2195" s="432">
        <v>39.799999999999997</v>
      </c>
      <c r="I2195" s="1186"/>
      <c r="J2195" s="443">
        <v>1279067.6200000001</v>
      </c>
      <c r="K2195" s="438">
        <v>650944.92000000004</v>
      </c>
    </row>
    <row r="2196" spans="1:11" ht="16.5" customHeight="1" x14ac:dyDescent="0.2">
      <c r="A2196" s="411" t="s">
        <v>9386</v>
      </c>
      <c r="B2196" s="347" t="s">
        <v>295</v>
      </c>
      <c r="C2196" s="1172"/>
      <c r="D2196" s="1186"/>
      <c r="E2196" s="432">
        <v>61</v>
      </c>
      <c r="F2196" s="178" t="s">
        <v>9405</v>
      </c>
      <c r="G2196" s="724" t="s">
        <v>2601</v>
      </c>
      <c r="H2196" s="432">
        <v>39.799999999999997</v>
      </c>
      <c r="I2196" s="1186"/>
      <c r="J2196" s="443">
        <v>1279067.6200000001</v>
      </c>
      <c r="K2196" s="438">
        <v>650944.92000000004</v>
      </c>
    </row>
    <row r="2197" spans="1:11" ht="15" customHeight="1" x14ac:dyDescent="0.2">
      <c r="A2197" s="411" t="s">
        <v>9387</v>
      </c>
      <c r="B2197" s="347" t="s">
        <v>295</v>
      </c>
      <c r="C2197" s="1204"/>
      <c r="D2197" s="1187"/>
      <c r="E2197" s="432">
        <v>62</v>
      </c>
      <c r="F2197" s="178" t="s">
        <v>9406</v>
      </c>
      <c r="G2197" s="724" t="s">
        <v>2601</v>
      </c>
      <c r="H2197" s="432">
        <v>39.799999999999997</v>
      </c>
      <c r="I2197" s="1187"/>
      <c r="J2197" s="443">
        <v>1279067.6200000001</v>
      </c>
      <c r="K2197" s="438">
        <v>650944.92000000004</v>
      </c>
    </row>
    <row r="2198" spans="1:11" ht="16.5" customHeight="1" x14ac:dyDescent="0.2">
      <c r="A2198" s="410" t="s">
        <v>9388</v>
      </c>
      <c r="B2198" s="347"/>
      <c r="C2198" s="1221" t="s">
        <v>11480</v>
      </c>
      <c r="D2198" s="1220" t="s">
        <v>9393</v>
      </c>
      <c r="E2198" s="432"/>
      <c r="F2198" s="178"/>
      <c r="G2198" s="724"/>
      <c r="H2198" s="432"/>
      <c r="I2198" s="1220">
        <v>2017</v>
      </c>
      <c r="J2198" s="443">
        <f>39124080.44</f>
        <v>39124080.439999998</v>
      </c>
      <c r="K2198" s="438"/>
    </row>
    <row r="2199" spans="1:11" x14ac:dyDescent="0.2">
      <c r="A2199" s="411" t="s">
        <v>9389</v>
      </c>
      <c r="B2199" s="347" t="s">
        <v>295</v>
      </c>
      <c r="C2199" s="1221"/>
      <c r="D2199" s="1220"/>
      <c r="E2199" s="432">
        <v>3</v>
      </c>
      <c r="F2199" s="178" t="s">
        <v>10089</v>
      </c>
      <c r="G2199" s="724" t="s">
        <v>137</v>
      </c>
      <c r="H2199" s="432">
        <v>80.7</v>
      </c>
      <c r="I2199" s="1220"/>
      <c r="J2199" s="443">
        <v>2599343.56</v>
      </c>
      <c r="K2199" s="438">
        <v>1319880.78</v>
      </c>
    </row>
    <row r="2200" spans="1:11" x14ac:dyDescent="0.2">
      <c r="A2200" s="411" t="s">
        <v>9390</v>
      </c>
      <c r="B2200" s="347" t="s">
        <v>295</v>
      </c>
      <c r="C2200" s="1221"/>
      <c r="D2200" s="1220"/>
      <c r="E2200" s="432">
        <v>13</v>
      </c>
      <c r="F2200" s="178" t="s">
        <v>10090</v>
      </c>
      <c r="G2200" s="724" t="s">
        <v>127</v>
      </c>
      <c r="H2200" s="432">
        <v>56.2</v>
      </c>
      <c r="I2200" s="1220"/>
      <c r="J2200" s="443">
        <v>1793205.8</v>
      </c>
      <c r="K2200" s="438">
        <v>919173.48</v>
      </c>
    </row>
    <row r="2201" spans="1:11" x14ac:dyDescent="0.2">
      <c r="A2201" s="411" t="s">
        <v>9391</v>
      </c>
      <c r="B2201" s="347" t="s">
        <v>295</v>
      </c>
      <c r="C2201" s="1221"/>
      <c r="D2201" s="1220"/>
      <c r="E2201" s="432">
        <v>17</v>
      </c>
      <c r="F2201" s="178" t="s">
        <v>10091</v>
      </c>
      <c r="G2201" s="724" t="s">
        <v>2890</v>
      </c>
      <c r="H2201" s="432">
        <v>56.9</v>
      </c>
      <c r="I2201" s="1220"/>
      <c r="J2201" s="443">
        <v>1824112.04</v>
      </c>
      <c r="K2201" s="438">
        <v>930622.26</v>
      </c>
    </row>
    <row r="2202" spans="1:11" x14ac:dyDescent="0.2">
      <c r="A2202" s="411" t="s">
        <v>9392</v>
      </c>
      <c r="B2202" s="347" t="s">
        <v>295</v>
      </c>
      <c r="C2202" s="1221"/>
      <c r="D2202" s="1220"/>
      <c r="E2202" s="432">
        <v>23</v>
      </c>
      <c r="F2202" s="178" t="s">
        <v>10092</v>
      </c>
      <c r="G2202" s="724" t="s">
        <v>2600</v>
      </c>
      <c r="H2202" s="432">
        <v>56.9</v>
      </c>
      <c r="I2202" s="1220"/>
      <c r="J2202" s="443">
        <v>1824112.04</v>
      </c>
      <c r="K2202" s="438">
        <v>930622.26</v>
      </c>
    </row>
    <row r="2203" spans="1:11" ht="39" customHeight="1" x14ac:dyDescent="0.2">
      <c r="A2203" s="410" t="s">
        <v>10347</v>
      </c>
      <c r="B2203" s="347" t="s">
        <v>307</v>
      </c>
      <c r="C2203" s="405" t="s">
        <v>11481</v>
      </c>
      <c r="D2203" s="436" t="s">
        <v>5174</v>
      </c>
      <c r="E2203" s="436"/>
      <c r="F2203" s="178" t="s">
        <v>10348</v>
      </c>
      <c r="G2203" s="605" t="s">
        <v>2321</v>
      </c>
      <c r="H2203" s="441">
        <v>42</v>
      </c>
      <c r="I2203" s="536">
        <v>2010</v>
      </c>
      <c r="J2203" s="415">
        <v>759000</v>
      </c>
      <c r="K2203" s="437">
        <v>281827.26</v>
      </c>
    </row>
    <row r="2204" spans="1:11" ht="38.25" customHeight="1" x14ac:dyDescent="0.2">
      <c r="A2204" s="571" t="s">
        <v>11553</v>
      </c>
      <c r="B2204" s="420" t="s">
        <v>295</v>
      </c>
      <c r="C2204" s="572" t="s">
        <v>12506</v>
      </c>
      <c r="D2204" s="543">
        <v>5</v>
      </c>
      <c r="E2204" s="433">
        <v>3</v>
      </c>
      <c r="F2204" s="2" t="s">
        <v>11554</v>
      </c>
      <c r="G2204" s="621" t="s">
        <v>137</v>
      </c>
      <c r="H2204" s="433">
        <v>36.9</v>
      </c>
      <c r="I2204" s="543"/>
      <c r="J2204" s="458"/>
      <c r="K2204" s="438">
        <v>416036.8</v>
      </c>
    </row>
    <row r="2205" spans="1:11" ht="16.5" customHeight="1" x14ac:dyDescent="0.2">
      <c r="A2205" s="571" t="s">
        <v>11786</v>
      </c>
      <c r="B2205" s="420"/>
      <c r="C2205" s="1171" t="s">
        <v>12507</v>
      </c>
      <c r="D2205" s="1185" t="s">
        <v>385</v>
      </c>
      <c r="E2205" s="432"/>
      <c r="F2205" s="200"/>
      <c r="G2205" s="603"/>
      <c r="H2205" s="432"/>
      <c r="I2205" s="1185">
        <v>2020</v>
      </c>
      <c r="J2205" s="443"/>
      <c r="K2205" s="504"/>
    </row>
    <row r="2206" spans="1:11" ht="61.5" customHeight="1" x14ac:dyDescent="0.2">
      <c r="A2206" s="411" t="s">
        <v>14112</v>
      </c>
      <c r="B2206" s="420" t="s">
        <v>295</v>
      </c>
      <c r="C2206" s="1204"/>
      <c r="D2206" s="1187"/>
      <c r="E2206" s="432">
        <v>1</v>
      </c>
      <c r="F2206" s="2" t="s">
        <v>11787</v>
      </c>
      <c r="G2206" s="621" t="s">
        <v>137</v>
      </c>
      <c r="H2206" s="432">
        <v>94.5</v>
      </c>
      <c r="I2206" s="1187"/>
      <c r="J2206" s="443">
        <v>8041950</v>
      </c>
      <c r="K2206" s="443">
        <v>1178237.3400000001</v>
      </c>
    </row>
    <row r="2207" spans="1:11" ht="25.5" customHeight="1" x14ac:dyDescent="0.2">
      <c r="A2207" s="571" t="s">
        <v>11790</v>
      </c>
      <c r="B2207" s="420"/>
      <c r="C2207" s="1171" t="s">
        <v>12508</v>
      </c>
      <c r="D2207" s="1210" t="s">
        <v>11791</v>
      </c>
      <c r="E2207" s="432"/>
      <c r="F2207" s="2" t="s">
        <v>11792</v>
      </c>
      <c r="G2207" s="621" t="s">
        <v>11793</v>
      </c>
      <c r="H2207" s="505">
        <f>(198.6+33.1+33.1)-(198.6+33.1+33.1)</f>
        <v>0</v>
      </c>
      <c r="I2207" s="1185">
        <v>2020</v>
      </c>
      <c r="J2207" s="443">
        <f>(9265707+1544284.5+1544284.5)-(9265707+1544284.5+1544284.5)</f>
        <v>0</v>
      </c>
      <c r="K2207" s="443"/>
    </row>
    <row r="2208" spans="1:11" x14ac:dyDescent="0.2">
      <c r="A2208" s="411" t="s">
        <v>11794</v>
      </c>
      <c r="B2208" s="420" t="s">
        <v>295</v>
      </c>
      <c r="C2208" s="1172"/>
      <c r="D2208" s="1211"/>
      <c r="E2208" s="432">
        <v>1</v>
      </c>
      <c r="F2208" s="2" t="s">
        <v>11795</v>
      </c>
      <c r="G2208" s="621" t="s">
        <v>137</v>
      </c>
      <c r="H2208" s="432">
        <v>33.1</v>
      </c>
      <c r="I2208" s="1186"/>
      <c r="J2208" s="443">
        <v>1544284.5</v>
      </c>
      <c r="K2208" s="443">
        <v>198790.33</v>
      </c>
    </row>
    <row r="2209" spans="1:11" x14ac:dyDescent="0.2">
      <c r="A2209" s="411" t="s">
        <v>11796</v>
      </c>
      <c r="B2209" s="420" t="s">
        <v>295</v>
      </c>
      <c r="C2209" s="1172"/>
      <c r="D2209" s="1211"/>
      <c r="E2209" s="432">
        <v>2</v>
      </c>
      <c r="F2209" s="2" t="s">
        <v>11797</v>
      </c>
      <c r="G2209" s="621" t="s">
        <v>137</v>
      </c>
      <c r="H2209" s="432">
        <v>33.1</v>
      </c>
      <c r="I2209" s="1186"/>
      <c r="J2209" s="443">
        <v>1544284.5</v>
      </c>
      <c r="K2209" s="443">
        <v>198790.33</v>
      </c>
    </row>
    <row r="2210" spans="1:11" x14ac:dyDescent="0.2">
      <c r="A2210" s="411" t="s">
        <v>11798</v>
      </c>
      <c r="B2210" s="420" t="s">
        <v>295</v>
      </c>
      <c r="C2210" s="1172"/>
      <c r="D2210" s="1211"/>
      <c r="E2210" s="432">
        <v>3</v>
      </c>
      <c r="F2210" s="2" t="s">
        <v>11799</v>
      </c>
      <c r="G2210" s="621" t="s">
        <v>137</v>
      </c>
      <c r="H2210" s="432">
        <v>33.1</v>
      </c>
      <c r="I2210" s="1186"/>
      <c r="J2210" s="443">
        <v>1544284.5</v>
      </c>
      <c r="K2210" s="443">
        <v>198790.33</v>
      </c>
    </row>
    <row r="2211" spans="1:11" x14ac:dyDescent="0.2">
      <c r="A2211" s="411" t="s">
        <v>11800</v>
      </c>
      <c r="B2211" s="420" t="s">
        <v>295</v>
      </c>
      <c r="C2211" s="1172"/>
      <c r="D2211" s="1211"/>
      <c r="E2211" s="432">
        <v>4</v>
      </c>
      <c r="F2211" s="2" t="s">
        <v>11801</v>
      </c>
      <c r="G2211" s="621" t="s">
        <v>137</v>
      </c>
      <c r="H2211" s="432">
        <v>33.1</v>
      </c>
      <c r="I2211" s="1186"/>
      <c r="J2211" s="443">
        <v>1544284.5</v>
      </c>
      <c r="K2211" s="443">
        <v>198790.33</v>
      </c>
    </row>
    <row r="2212" spans="1:11" x14ac:dyDescent="0.2">
      <c r="A2212" s="411" t="s">
        <v>11802</v>
      </c>
      <c r="B2212" s="420" t="s">
        <v>295</v>
      </c>
      <c r="C2212" s="1172"/>
      <c r="D2212" s="1211"/>
      <c r="E2212" s="432">
        <v>6</v>
      </c>
      <c r="F2212" s="2" t="s">
        <v>11803</v>
      </c>
      <c r="G2212" s="621" t="s">
        <v>512</v>
      </c>
      <c r="H2212" s="432">
        <v>33.1</v>
      </c>
      <c r="I2212" s="1186"/>
      <c r="J2212" s="443">
        <v>1544284.5</v>
      </c>
      <c r="K2212" s="443">
        <v>198790.33</v>
      </c>
    </row>
    <row r="2213" spans="1:11" x14ac:dyDescent="0.2">
      <c r="A2213" s="411" t="s">
        <v>11804</v>
      </c>
      <c r="B2213" s="420" t="s">
        <v>295</v>
      </c>
      <c r="C2213" s="1172"/>
      <c r="D2213" s="1211"/>
      <c r="E2213" s="432">
        <v>7</v>
      </c>
      <c r="F2213" s="2" t="s">
        <v>11805</v>
      </c>
      <c r="G2213" s="621" t="s">
        <v>512</v>
      </c>
      <c r="H2213" s="432">
        <v>33.1</v>
      </c>
      <c r="I2213" s="1186"/>
      <c r="J2213" s="443">
        <v>1544284.5</v>
      </c>
      <c r="K2213" s="443">
        <v>198790.33</v>
      </c>
    </row>
    <row r="2214" spans="1:11" x14ac:dyDescent="0.2">
      <c r="A2214" s="411" t="s">
        <v>11877</v>
      </c>
      <c r="B2214" s="420" t="s">
        <v>295</v>
      </c>
      <c r="C2214" s="1172"/>
      <c r="D2214" s="1211"/>
      <c r="E2214" s="432">
        <v>5</v>
      </c>
      <c r="F2214" s="2" t="s">
        <v>11878</v>
      </c>
      <c r="G2214" s="621" t="s">
        <v>512</v>
      </c>
      <c r="H2214" s="432">
        <v>33.1</v>
      </c>
      <c r="I2214" s="1186"/>
      <c r="J2214" s="443">
        <v>1544284.5</v>
      </c>
      <c r="K2214" s="443">
        <v>198790.33</v>
      </c>
    </row>
    <row r="2215" spans="1:11" x14ac:dyDescent="0.2">
      <c r="A2215" s="411" t="s">
        <v>11879</v>
      </c>
      <c r="B2215" s="420" t="s">
        <v>295</v>
      </c>
      <c r="C2215" s="1204"/>
      <c r="D2215" s="1212"/>
      <c r="E2215" s="432">
        <v>8</v>
      </c>
      <c r="F2215" s="2" t="s">
        <v>11880</v>
      </c>
      <c r="G2215" s="621" t="s">
        <v>512</v>
      </c>
      <c r="H2215" s="432">
        <v>33.1</v>
      </c>
      <c r="I2215" s="1187"/>
      <c r="J2215" s="443">
        <v>1544284.5</v>
      </c>
      <c r="K2215" s="443">
        <v>198790.33</v>
      </c>
    </row>
    <row r="2216" spans="1:11" ht="25.5" x14ac:dyDescent="0.2">
      <c r="A2216" s="571" t="s">
        <v>11817</v>
      </c>
      <c r="B2216" s="420"/>
      <c r="C2216" s="1201" t="s">
        <v>12509</v>
      </c>
      <c r="D2216" s="1173" t="s">
        <v>11818</v>
      </c>
      <c r="E2216" s="347"/>
      <c r="F2216" s="38" t="s">
        <v>11819</v>
      </c>
      <c r="G2216" s="621" t="s">
        <v>11793</v>
      </c>
      <c r="H2216" s="505">
        <f>(198.6+33.1*2+43.3)-(198.6+33.1*2+43.3)</f>
        <v>0</v>
      </c>
      <c r="I2216" s="1185">
        <v>2020</v>
      </c>
      <c r="J2216" s="443">
        <f>(9265707+1544284.5*2+1512945)-(9265707+1544284.5*2+1512945)</f>
        <v>0</v>
      </c>
      <c r="K2216" s="437"/>
    </row>
    <row r="2217" spans="1:11" x14ac:dyDescent="0.2">
      <c r="A2217" s="411" t="s">
        <v>11820</v>
      </c>
      <c r="B2217" s="420" t="s">
        <v>295</v>
      </c>
      <c r="C2217" s="1202"/>
      <c r="D2217" s="1174"/>
      <c r="E2217" s="347">
        <v>1</v>
      </c>
      <c r="F2217" s="38" t="s">
        <v>11821</v>
      </c>
      <c r="G2217" s="611" t="s">
        <v>137</v>
      </c>
      <c r="H2217" s="432">
        <v>33.1</v>
      </c>
      <c r="I2217" s="1186"/>
      <c r="J2217" s="443">
        <v>1544284.5</v>
      </c>
      <c r="K2217" s="437">
        <v>385713.97</v>
      </c>
    </row>
    <row r="2218" spans="1:11" x14ac:dyDescent="0.2">
      <c r="A2218" s="411" t="s">
        <v>11822</v>
      </c>
      <c r="B2218" s="420" t="s">
        <v>295</v>
      </c>
      <c r="C2218" s="1202"/>
      <c r="D2218" s="1174"/>
      <c r="E2218" s="347">
        <v>2</v>
      </c>
      <c r="F2218" s="38" t="s">
        <v>11823</v>
      </c>
      <c r="G2218" s="611" t="s">
        <v>137</v>
      </c>
      <c r="H2218" s="432">
        <v>33.1</v>
      </c>
      <c r="I2218" s="1186"/>
      <c r="J2218" s="443">
        <v>1544284.5</v>
      </c>
      <c r="K2218" s="437">
        <v>385713.97</v>
      </c>
    </row>
    <row r="2219" spans="1:11" x14ac:dyDescent="0.2">
      <c r="A2219" s="411" t="s">
        <v>11824</v>
      </c>
      <c r="B2219" s="420" t="s">
        <v>295</v>
      </c>
      <c r="C2219" s="1202"/>
      <c r="D2219" s="1174"/>
      <c r="E2219" s="347">
        <v>3</v>
      </c>
      <c r="F2219" s="38" t="s">
        <v>11825</v>
      </c>
      <c r="G2219" s="611" t="s">
        <v>137</v>
      </c>
      <c r="H2219" s="432">
        <v>33.1</v>
      </c>
      <c r="I2219" s="1186"/>
      <c r="J2219" s="443">
        <v>1544284.5</v>
      </c>
      <c r="K2219" s="437">
        <v>385713.97</v>
      </c>
    </row>
    <row r="2220" spans="1:11" x14ac:dyDescent="0.2">
      <c r="A2220" s="411" t="s">
        <v>11826</v>
      </c>
      <c r="B2220" s="420" t="s">
        <v>295</v>
      </c>
      <c r="C2220" s="1202"/>
      <c r="D2220" s="1174"/>
      <c r="E2220" s="347">
        <v>4</v>
      </c>
      <c r="F2220" s="38" t="s">
        <v>11827</v>
      </c>
      <c r="G2220" s="611" t="s">
        <v>137</v>
      </c>
      <c r="H2220" s="432">
        <v>33.1</v>
      </c>
      <c r="I2220" s="1186"/>
      <c r="J2220" s="443">
        <v>1544284.5</v>
      </c>
      <c r="K2220" s="437">
        <v>385713.97</v>
      </c>
    </row>
    <row r="2221" spans="1:11" x14ac:dyDescent="0.2">
      <c r="A2221" s="411" t="s">
        <v>11828</v>
      </c>
      <c r="B2221" s="420" t="s">
        <v>295</v>
      </c>
      <c r="C2221" s="1202"/>
      <c r="D2221" s="1174"/>
      <c r="E2221" s="347">
        <v>5</v>
      </c>
      <c r="F2221" s="38" t="s">
        <v>11829</v>
      </c>
      <c r="G2221" s="611" t="s">
        <v>512</v>
      </c>
      <c r="H2221" s="432">
        <v>33.1</v>
      </c>
      <c r="I2221" s="1186"/>
      <c r="J2221" s="443">
        <v>1544284.5</v>
      </c>
      <c r="K2221" s="437">
        <v>385713.97</v>
      </c>
    </row>
    <row r="2222" spans="1:11" x14ac:dyDescent="0.2">
      <c r="A2222" s="411" t="s">
        <v>11830</v>
      </c>
      <c r="B2222" s="420" t="s">
        <v>295</v>
      </c>
      <c r="C2222" s="1202"/>
      <c r="D2222" s="1174"/>
      <c r="E2222" s="347">
        <v>6</v>
      </c>
      <c r="F2222" s="38" t="s">
        <v>11831</v>
      </c>
      <c r="G2222" s="611" t="s">
        <v>512</v>
      </c>
      <c r="H2222" s="432">
        <v>33.1</v>
      </c>
      <c r="I2222" s="1186"/>
      <c r="J2222" s="443">
        <v>1544284.5</v>
      </c>
      <c r="K2222" s="437">
        <v>385713.97</v>
      </c>
    </row>
    <row r="2223" spans="1:11" x14ac:dyDescent="0.2">
      <c r="A2223" s="411" t="s">
        <v>11832</v>
      </c>
      <c r="B2223" s="420" t="s">
        <v>295</v>
      </c>
      <c r="C2223" s="1202"/>
      <c r="D2223" s="1174"/>
      <c r="E2223" s="347">
        <v>7</v>
      </c>
      <c r="F2223" s="38" t="s">
        <v>11833</v>
      </c>
      <c r="G2223" s="611" t="s">
        <v>512</v>
      </c>
      <c r="H2223" s="432">
        <v>33.1</v>
      </c>
      <c r="I2223" s="1186"/>
      <c r="J2223" s="443">
        <v>1544284.5</v>
      </c>
      <c r="K2223" s="437">
        <v>385713.97</v>
      </c>
    </row>
    <row r="2224" spans="1:11" x14ac:dyDescent="0.2">
      <c r="A2224" s="411" t="s">
        <v>11834</v>
      </c>
      <c r="B2224" s="420" t="s">
        <v>295</v>
      </c>
      <c r="C2224" s="1202"/>
      <c r="D2224" s="1174"/>
      <c r="E2224" s="347">
        <v>8</v>
      </c>
      <c r="F2224" s="38" t="s">
        <v>11835</v>
      </c>
      <c r="G2224" s="611" t="s">
        <v>512</v>
      </c>
      <c r="H2224" s="432">
        <v>33.1</v>
      </c>
      <c r="I2224" s="1186"/>
      <c r="J2224" s="443">
        <v>1544284.5</v>
      </c>
      <c r="K2224" s="437">
        <v>385713.97</v>
      </c>
    </row>
    <row r="2225" spans="1:11" x14ac:dyDescent="0.2">
      <c r="A2225" s="411" t="s">
        <v>11836</v>
      </c>
      <c r="B2225" s="420" t="s">
        <v>295</v>
      </c>
      <c r="C2225" s="1203"/>
      <c r="D2225" s="1213"/>
      <c r="E2225" s="347">
        <v>10</v>
      </c>
      <c r="F2225" s="38" t="s">
        <v>11837</v>
      </c>
      <c r="G2225" s="611" t="s">
        <v>128</v>
      </c>
      <c r="H2225" s="432">
        <v>43.3</v>
      </c>
      <c r="I2225" s="1187"/>
      <c r="J2225" s="443">
        <v>1512945</v>
      </c>
      <c r="K2225" s="437">
        <v>504574.47</v>
      </c>
    </row>
    <row r="2226" spans="1:11" ht="25.5" customHeight="1" x14ac:dyDescent="0.2">
      <c r="A2226" s="571" t="s">
        <v>11838</v>
      </c>
      <c r="B2226" s="420"/>
      <c r="C2226" s="1171" t="s">
        <v>12510</v>
      </c>
      <c r="D2226" s="1210" t="s">
        <v>11839</v>
      </c>
      <c r="E2226" s="432"/>
      <c r="F2226" s="2" t="s">
        <v>11840</v>
      </c>
      <c r="G2226" s="621" t="s">
        <v>11793</v>
      </c>
      <c r="H2226" s="505">
        <f>(33.1*3+33.1*4+51.85)-(33.1*3+33.1*4+51.85)</f>
        <v>0</v>
      </c>
      <c r="I2226" s="1185">
        <v>2020</v>
      </c>
      <c r="J2226" s="443">
        <f>(1544284.5*3+1544284.5*4+2426398.53)-(1544284.5*3+1544284.5*4+2426398.53)</f>
        <v>0</v>
      </c>
      <c r="K2226" s="443"/>
    </row>
    <row r="2227" spans="1:11" x14ac:dyDescent="0.2">
      <c r="A2227" s="411" t="s">
        <v>11841</v>
      </c>
      <c r="B2227" s="420" t="s">
        <v>295</v>
      </c>
      <c r="C2227" s="1172"/>
      <c r="D2227" s="1211"/>
      <c r="E2227" s="347">
        <v>1</v>
      </c>
      <c r="F2227" s="2" t="s">
        <v>11842</v>
      </c>
      <c r="G2227" s="621" t="s">
        <v>137</v>
      </c>
      <c r="H2227" s="432">
        <v>33.1</v>
      </c>
      <c r="I2227" s="1186"/>
      <c r="J2227" s="443">
        <v>1544284.5</v>
      </c>
      <c r="K2227" s="443">
        <v>385713.97</v>
      </c>
    </row>
    <row r="2228" spans="1:11" x14ac:dyDescent="0.2">
      <c r="A2228" s="411" t="s">
        <v>11843</v>
      </c>
      <c r="B2228" s="420" t="s">
        <v>295</v>
      </c>
      <c r="C2228" s="1172"/>
      <c r="D2228" s="1211"/>
      <c r="E2228" s="347">
        <v>2</v>
      </c>
      <c r="F2228" s="2" t="s">
        <v>11844</v>
      </c>
      <c r="G2228" s="621" t="s">
        <v>137</v>
      </c>
      <c r="H2228" s="432">
        <v>33.1</v>
      </c>
      <c r="I2228" s="1186"/>
      <c r="J2228" s="443">
        <v>1544284.5</v>
      </c>
      <c r="K2228" s="443">
        <v>385713.97</v>
      </c>
    </row>
    <row r="2229" spans="1:11" x14ac:dyDescent="0.2">
      <c r="A2229" s="411" t="s">
        <v>11845</v>
      </c>
      <c r="B2229" s="420" t="s">
        <v>295</v>
      </c>
      <c r="C2229" s="1172"/>
      <c r="D2229" s="1211"/>
      <c r="E2229" s="347">
        <v>3</v>
      </c>
      <c r="F2229" s="2" t="s">
        <v>11846</v>
      </c>
      <c r="G2229" s="621" t="s">
        <v>137</v>
      </c>
      <c r="H2229" s="432">
        <v>33.1</v>
      </c>
      <c r="I2229" s="1186"/>
      <c r="J2229" s="443">
        <v>1544284.5</v>
      </c>
      <c r="K2229" s="443">
        <v>385713.97</v>
      </c>
    </row>
    <row r="2230" spans="1:11" x14ac:dyDescent="0.2">
      <c r="A2230" s="411" t="s">
        <v>11847</v>
      </c>
      <c r="B2230" s="420" t="s">
        <v>295</v>
      </c>
      <c r="C2230" s="1172"/>
      <c r="D2230" s="1211"/>
      <c r="E2230" s="347">
        <v>4</v>
      </c>
      <c r="F2230" s="2" t="s">
        <v>11848</v>
      </c>
      <c r="G2230" s="621" t="s">
        <v>137</v>
      </c>
      <c r="H2230" s="432">
        <v>33.1</v>
      </c>
      <c r="I2230" s="1186"/>
      <c r="J2230" s="443">
        <v>1544284.5</v>
      </c>
      <c r="K2230" s="443">
        <v>385713.97</v>
      </c>
    </row>
    <row r="2231" spans="1:11" x14ac:dyDescent="0.2">
      <c r="A2231" s="411" t="s">
        <v>11849</v>
      </c>
      <c r="B2231" s="420" t="s">
        <v>295</v>
      </c>
      <c r="C2231" s="1172"/>
      <c r="D2231" s="1211"/>
      <c r="E2231" s="347">
        <v>5</v>
      </c>
      <c r="F2231" s="2" t="s">
        <v>11850</v>
      </c>
      <c r="G2231" s="621" t="s">
        <v>512</v>
      </c>
      <c r="H2231" s="432">
        <v>33.1</v>
      </c>
      <c r="I2231" s="1186"/>
      <c r="J2231" s="443">
        <v>1544284.5</v>
      </c>
      <c r="K2231" s="443">
        <v>385713.97</v>
      </c>
    </row>
    <row r="2232" spans="1:11" x14ac:dyDescent="0.2">
      <c r="A2232" s="411" t="s">
        <v>11851</v>
      </c>
      <c r="B2232" s="420" t="s">
        <v>295</v>
      </c>
      <c r="C2232" s="1172"/>
      <c r="D2232" s="1211"/>
      <c r="E2232" s="347">
        <v>6</v>
      </c>
      <c r="F2232" s="2" t="s">
        <v>11852</v>
      </c>
      <c r="G2232" s="621" t="s">
        <v>512</v>
      </c>
      <c r="H2232" s="432">
        <v>33.1</v>
      </c>
      <c r="I2232" s="1186"/>
      <c r="J2232" s="443">
        <v>1544284.5</v>
      </c>
      <c r="K2232" s="443">
        <v>385713.97</v>
      </c>
    </row>
    <row r="2233" spans="1:11" x14ac:dyDescent="0.2">
      <c r="A2233" s="411" t="s">
        <v>11853</v>
      </c>
      <c r="B2233" s="420" t="s">
        <v>295</v>
      </c>
      <c r="C2233" s="1172"/>
      <c r="D2233" s="1211"/>
      <c r="E2233" s="347">
        <v>7</v>
      </c>
      <c r="F2233" s="2" t="s">
        <v>11854</v>
      </c>
      <c r="G2233" s="621" t="s">
        <v>512</v>
      </c>
      <c r="H2233" s="432">
        <v>33.1</v>
      </c>
      <c r="I2233" s="1186"/>
      <c r="J2233" s="443">
        <v>1544284.5</v>
      </c>
      <c r="K2233" s="443">
        <v>385713.97</v>
      </c>
    </row>
    <row r="2234" spans="1:11" x14ac:dyDescent="0.2">
      <c r="A2234" s="411" t="s">
        <v>11881</v>
      </c>
      <c r="B2234" s="420" t="s">
        <v>295</v>
      </c>
      <c r="C2234" s="1204"/>
      <c r="D2234" s="1212"/>
      <c r="E2234" s="347">
        <v>10</v>
      </c>
      <c r="F2234" s="2" t="s">
        <v>11876</v>
      </c>
      <c r="G2234" s="621" t="s">
        <v>128</v>
      </c>
      <c r="H2234" s="432">
        <v>51.85</v>
      </c>
      <c r="I2234" s="1187"/>
      <c r="J2234" s="443">
        <v>2426398.5299999998</v>
      </c>
      <c r="K2234" s="443">
        <v>603624.88</v>
      </c>
    </row>
    <row r="2235" spans="1:11" ht="26.25" customHeight="1" x14ac:dyDescent="0.2">
      <c r="A2235" s="410" t="s">
        <v>11855</v>
      </c>
      <c r="B2235" s="347"/>
      <c r="C2235" s="1183" t="s">
        <v>11856</v>
      </c>
      <c r="D2235" s="1184" t="s">
        <v>11857</v>
      </c>
      <c r="E2235" s="347"/>
      <c r="F2235" s="2" t="s">
        <v>11858</v>
      </c>
      <c r="G2235" s="621" t="s">
        <v>11793</v>
      </c>
      <c r="H2235" s="432">
        <f>(198.6+33.1*3)-(198.6+33.1*3)</f>
        <v>0</v>
      </c>
      <c r="I2235" s="1220">
        <v>2020</v>
      </c>
      <c r="J2235" s="443">
        <f>(9265707-1544284.5*3)-(9265707-1544284.5*3)</f>
        <v>0</v>
      </c>
      <c r="K2235" s="443"/>
    </row>
    <row r="2236" spans="1:11" x14ac:dyDescent="0.2">
      <c r="A2236" s="411" t="s">
        <v>11859</v>
      </c>
      <c r="B2236" s="420" t="s">
        <v>295</v>
      </c>
      <c r="C2236" s="1183"/>
      <c r="D2236" s="1184"/>
      <c r="E2236" s="347">
        <v>1</v>
      </c>
      <c r="F2236" s="2" t="s">
        <v>11860</v>
      </c>
      <c r="G2236" s="621" t="s">
        <v>137</v>
      </c>
      <c r="H2236" s="432">
        <v>33.1</v>
      </c>
      <c r="I2236" s="1220"/>
      <c r="J2236" s="443">
        <v>1544284.5</v>
      </c>
      <c r="K2236" s="443">
        <v>385713.97</v>
      </c>
    </row>
    <row r="2237" spans="1:11" x14ac:dyDescent="0.2">
      <c r="A2237" s="411" t="s">
        <v>11861</v>
      </c>
      <c r="B2237" s="420" t="s">
        <v>295</v>
      </c>
      <c r="C2237" s="1183"/>
      <c r="D2237" s="1184"/>
      <c r="E2237" s="347">
        <v>2</v>
      </c>
      <c r="F2237" s="2" t="s">
        <v>11862</v>
      </c>
      <c r="G2237" s="621" t="s">
        <v>137</v>
      </c>
      <c r="H2237" s="432">
        <v>33.1</v>
      </c>
      <c r="I2237" s="1220"/>
      <c r="J2237" s="443">
        <v>1544284.5</v>
      </c>
      <c r="K2237" s="443">
        <v>385713.97</v>
      </c>
    </row>
    <row r="2238" spans="1:11" x14ac:dyDescent="0.2">
      <c r="A2238" s="411" t="s">
        <v>11863</v>
      </c>
      <c r="B2238" s="420" t="s">
        <v>295</v>
      </c>
      <c r="C2238" s="1183"/>
      <c r="D2238" s="1184"/>
      <c r="E2238" s="347">
        <v>3</v>
      </c>
      <c r="F2238" s="2" t="s">
        <v>11864</v>
      </c>
      <c r="G2238" s="621" t="s">
        <v>137</v>
      </c>
      <c r="H2238" s="432">
        <v>33.1</v>
      </c>
      <c r="I2238" s="1220"/>
      <c r="J2238" s="443">
        <v>1544284.5</v>
      </c>
      <c r="K2238" s="443">
        <v>385713.97</v>
      </c>
    </row>
    <row r="2239" spans="1:11" x14ac:dyDescent="0.2">
      <c r="A2239" s="411" t="s">
        <v>11865</v>
      </c>
      <c r="B2239" s="420" t="s">
        <v>295</v>
      </c>
      <c r="C2239" s="1183"/>
      <c r="D2239" s="1184"/>
      <c r="E2239" s="347">
        <v>4</v>
      </c>
      <c r="F2239" s="2" t="s">
        <v>11866</v>
      </c>
      <c r="G2239" s="621" t="s">
        <v>137</v>
      </c>
      <c r="H2239" s="432">
        <v>33.1</v>
      </c>
      <c r="I2239" s="1220"/>
      <c r="J2239" s="443">
        <v>1544284.5</v>
      </c>
      <c r="K2239" s="443">
        <v>385713.97</v>
      </c>
    </row>
    <row r="2240" spans="1:11" x14ac:dyDescent="0.2">
      <c r="A2240" s="411" t="s">
        <v>11867</v>
      </c>
      <c r="B2240" s="420" t="s">
        <v>295</v>
      </c>
      <c r="C2240" s="1183"/>
      <c r="D2240" s="1184"/>
      <c r="E2240" s="347">
        <v>5</v>
      </c>
      <c r="F2240" s="2" t="s">
        <v>11868</v>
      </c>
      <c r="G2240" s="621" t="s">
        <v>512</v>
      </c>
      <c r="H2240" s="432">
        <v>33.1</v>
      </c>
      <c r="I2240" s="1220"/>
      <c r="J2240" s="443">
        <v>1544284.5</v>
      </c>
      <c r="K2240" s="443">
        <v>385713.97</v>
      </c>
    </row>
    <row r="2241" spans="1:11" x14ac:dyDescent="0.2">
      <c r="A2241" s="411" t="s">
        <v>11869</v>
      </c>
      <c r="B2241" s="420" t="s">
        <v>295</v>
      </c>
      <c r="C2241" s="1183"/>
      <c r="D2241" s="1184"/>
      <c r="E2241" s="347">
        <v>6</v>
      </c>
      <c r="F2241" s="2" t="s">
        <v>11870</v>
      </c>
      <c r="G2241" s="621" t="s">
        <v>512</v>
      </c>
      <c r="H2241" s="432">
        <v>33.1</v>
      </c>
      <c r="I2241" s="1220"/>
      <c r="J2241" s="443">
        <v>1544284.5</v>
      </c>
      <c r="K2241" s="443">
        <v>385713.97</v>
      </c>
    </row>
    <row r="2242" spans="1:11" x14ac:dyDescent="0.2">
      <c r="A2242" s="411" t="s">
        <v>11871</v>
      </c>
      <c r="B2242" s="420" t="s">
        <v>295</v>
      </c>
      <c r="C2242" s="1183"/>
      <c r="D2242" s="1184"/>
      <c r="E2242" s="347">
        <v>7</v>
      </c>
      <c r="F2242" s="2" t="s">
        <v>11872</v>
      </c>
      <c r="G2242" s="621" t="s">
        <v>512</v>
      </c>
      <c r="H2242" s="432">
        <v>33.1</v>
      </c>
      <c r="I2242" s="1220"/>
      <c r="J2242" s="443">
        <v>1544284.5</v>
      </c>
      <c r="K2242" s="443">
        <v>385713.97</v>
      </c>
    </row>
    <row r="2243" spans="1:11" x14ac:dyDescent="0.2">
      <c r="A2243" s="411" t="s">
        <v>11873</v>
      </c>
      <c r="B2243" s="420" t="s">
        <v>295</v>
      </c>
      <c r="C2243" s="1183"/>
      <c r="D2243" s="1184"/>
      <c r="E2243" s="347">
        <v>8</v>
      </c>
      <c r="F2243" s="2" t="s">
        <v>11874</v>
      </c>
      <c r="G2243" s="621" t="s">
        <v>512</v>
      </c>
      <c r="H2243" s="432">
        <v>33.1</v>
      </c>
      <c r="I2243" s="1220"/>
      <c r="J2243" s="443">
        <v>1544284.5</v>
      </c>
      <c r="K2243" s="443">
        <v>385713.97</v>
      </c>
    </row>
    <row r="2244" spans="1:11" x14ac:dyDescent="0.2">
      <c r="A2244" s="411" t="s">
        <v>11875</v>
      </c>
      <c r="B2244" s="420" t="s">
        <v>295</v>
      </c>
      <c r="C2244" s="1183"/>
      <c r="D2244" s="1184"/>
      <c r="E2244" s="347">
        <v>9</v>
      </c>
      <c r="F2244" s="2" t="s">
        <v>11882</v>
      </c>
      <c r="G2244" s="621" t="s">
        <v>128</v>
      </c>
      <c r="H2244" s="432">
        <v>73.349999999999994</v>
      </c>
      <c r="I2244" s="1220"/>
      <c r="J2244" s="443">
        <v>3432523.28</v>
      </c>
      <c r="K2244" s="443">
        <v>854164.17</v>
      </c>
    </row>
    <row r="2245" spans="1:11" ht="51" x14ac:dyDescent="0.2">
      <c r="A2245" s="685" t="s">
        <v>12531</v>
      </c>
      <c r="B2245" s="432" t="s">
        <v>295</v>
      </c>
      <c r="C2245" s="755" t="s">
        <v>12675</v>
      </c>
      <c r="D2245" s="635">
        <v>2</v>
      </c>
      <c r="E2245" s="432">
        <v>2</v>
      </c>
      <c r="F2245" s="200" t="s">
        <v>12532</v>
      </c>
      <c r="G2245" s="636" t="s">
        <v>137</v>
      </c>
      <c r="H2245" s="432">
        <v>41.9</v>
      </c>
      <c r="I2245" s="635">
        <v>1962</v>
      </c>
      <c r="J2245" s="443">
        <v>1373000</v>
      </c>
      <c r="K2245" s="443">
        <v>434217.66</v>
      </c>
    </row>
    <row r="2246" spans="1:11" ht="51" x14ac:dyDescent="0.2">
      <c r="A2246" s="685" t="s">
        <v>12660</v>
      </c>
      <c r="B2246" s="432" t="s">
        <v>295</v>
      </c>
      <c r="C2246" s="755" t="s">
        <v>12661</v>
      </c>
      <c r="D2246" s="635" t="s">
        <v>12662</v>
      </c>
      <c r="E2246" s="432">
        <v>36</v>
      </c>
      <c r="F2246" s="200" t="s">
        <v>12663</v>
      </c>
      <c r="G2246" s="636" t="s">
        <v>128</v>
      </c>
      <c r="H2246" s="432">
        <v>56.7</v>
      </c>
      <c r="I2246" s="635">
        <v>1998</v>
      </c>
      <c r="J2246" s="443">
        <v>1975512</v>
      </c>
      <c r="K2246" s="443">
        <v>1192892.5900000001</v>
      </c>
    </row>
    <row r="2247" spans="1:11" ht="51" x14ac:dyDescent="0.2">
      <c r="A2247" s="685" t="s">
        <v>12932</v>
      </c>
      <c r="B2247" s="432" t="s">
        <v>12933</v>
      </c>
      <c r="C2247" s="672" t="s">
        <v>12934</v>
      </c>
      <c r="D2247" s="719" t="s">
        <v>12935</v>
      </c>
      <c r="E2247" s="432"/>
      <c r="F2247" s="200" t="s">
        <v>12936</v>
      </c>
      <c r="G2247" s="432" t="s">
        <v>12937</v>
      </c>
      <c r="H2247" s="432">
        <v>191.3</v>
      </c>
      <c r="I2247" s="719">
        <v>1994</v>
      </c>
      <c r="J2247" s="443">
        <v>513423</v>
      </c>
      <c r="K2247" s="443">
        <v>2160794.7200000002</v>
      </c>
    </row>
    <row r="2248" spans="1:11" ht="48" x14ac:dyDescent="0.2">
      <c r="A2248" s="685" t="s">
        <v>12938</v>
      </c>
      <c r="B2248" s="432"/>
      <c r="C2248" s="1264" t="s">
        <v>12939</v>
      </c>
      <c r="D2248" s="1220">
        <v>34</v>
      </c>
      <c r="E2248" s="432"/>
      <c r="F2248" s="200" t="s">
        <v>12940</v>
      </c>
      <c r="G2248" s="200" t="s">
        <v>12941</v>
      </c>
      <c r="H2248" s="432">
        <v>527.9</v>
      </c>
      <c r="I2248" s="1220">
        <v>2021</v>
      </c>
      <c r="J2248" s="443"/>
      <c r="K2248" s="443">
        <v>7585817.4199999999</v>
      </c>
    </row>
    <row r="2249" spans="1:11" x14ac:dyDescent="0.2">
      <c r="A2249" s="764" t="s">
        <v>12942</v>
      </c>
      <c r="B2249" s="432" t="s">
        <v>295</v>
      </c>
      <c r="C2249" s="1264"/>
      <c r="D2249" s="1220"/>
      <c r="E2249" s="432">
        <v>1</v>
      </c>
      <c r="F2249" s="200" t="s">
        <v>12943</v>
      </c>
      <c r="G2249" s="432" t="s">
        <v>137</v>
      </c>
      <c r="H2249" s="432">
        <v>68.2</v>
      </c>
      <c r="I2249" s="1220"/>
      <c r="J2249" s="443">
        <v>3048540</v>
      </c>
      <c r="K2249" s="443">
        <v>1114464.3799999999</v>
      </c>
    </row>
    <row r="2250" spans="1:11" x14ac:dyDescent="0.2">
      <c r="A2250" s="764" t="s">
        <v>12944</v>
      </c>
      <c r="B2250" s="432" t="s">
        <v>295</v>
      </c>
      <c r="C2250" s="1264"/>
      <c r="D2250" s="1220"/>
      <c r="E2250" s="432">
        <v>3</v>
      </c>
      <c r="F2250" s="200" t="s">
        <v>12945</v>
      </c>
      <c r="G2250" s="432" t="s">
        <v>137</v>
      </c>
      <c r="H2250" s="432">
        <v>57.4</v>
      </c>
      <c r="I2250" s="1220"/>
      <c r="J2250" s="443">
        <v>2196200</v>
      </c>
      <c r="K2250" s="443">
        <v>937980.29</v>
      </c>
    </row>
    <row r="2251" spans="1:11" x14ac:dyDescent="0.2">
      <c r="A2251" s="764" t="s">
        <v>12946</v>
      </c>
      <c r="B2251" s="432" t="s">
        <v>295</v>
      </c>
      <c r="C2251" s="1264"/>
      <c r="D2251" s="1220"/>
      <c r="E2251" s="432">
        <v>4</v>
      </c>
      <c r="F2251" s="200" t="s">
        <v>12947</v>
      </c>
      <c r="G2251" s="432" t="s">
        <v>137</v>
      </c>
      <c r="H2251" s="432">
        <v>29.5</v>
      </c>
      <c r="I2251" s="1220"/>
      <c r="J2251" s="443">
        <v>1291830</v>
      </c>
      <c r="K2251" s="443">
        <v>482063.04</v>
      </c>
    </row>
    <row r="2252" spans="1:11" x14ac:dyDescent="0.2">
      <c r="A2252" s="764" t="s">
        <v>12948</v>
      </c>
      <c r="B2252" s="432" t="s">
        <v>295</v>
      </c>
      <c r="C2252" s="1264"/>
      <c r="D2252" s="1220"/>
      <c r="E2252" s="432">
        <v>5</v>
      </c>
      <c r="F2252" s="200" t="s">
        <v>12949</v>
      </c>
      <c r="G2252" s="432" t="s">
        <v>137</v>
      </c>
      <c r="H2252" s="432">
        <v>68.400000000000006</v>
      </c>
      <c r="I2252" s="1220"/>
      <c r="J2252" s="443">
        <v>2963610</v>
      </c>
      <c r="K2252" s="443">
        <v>1117732.6100000001</v>
      </c>
    </row>
    <row r="2253" spans="1:11" x14ac:dyDescent="0.2">
      <c r="A2253" s="764" t="s">
        <v>12950</v>
      </c>
      <c r="B2253" s="432" t="s">
        <v>295</v>
      </c>
      <c r="C2253" s="1264"/>
      <c r="D2253" s="1220"/>
      <c r="E2253" s="432">
        <v>6</v>
      </c>
      <c r="F2253" s="200" t="s">
        <v>12951</v>
      </c>
      <c r="G2253" s="432" t="s">
        <v>137</v>
      </c>
      <c r="H2253" s="432">
        <v>67.400000000000006</v>
      </c>
      <c r="I2253" s="1220"/>
      <c r="J2253" s="443">
        <v>2981490</v>
      </c>
      <c r="K2253" s="443">
        <v>1101391.49</v>
      </c>
    </row>
    <row r="2254" spans="1:11" x14ac:dyDescent="0.2">
      <c r="A2254" s="764" t="s">
        <v>12952</v>
      </c>
      <c r="B2254" s="432" t="s">
        <v>295</v>
      </c>
      <c r="C2254" s="1264"/>
      <c r="D2254" s="1220"/>
      <c r="E2254" s="432">
        <v>7</v>
      </c>
      <c r="F2254" s="200" t="s">
        <v>12953</v>
      </c>
      <c r="G2254" s="432" t="s">
        <v>137</v>
      </c>
      <c r="H2254" s="432">
        <v>60.2</v>
      </c>
      <c r="I2254" s="1220"/>
      <c r="J2254" s="443">
        <v>2377900</v>
      </c>
      <c r="K2254" s="443">
        <v>983735.42</v>
      </c>
    </row>
    <row r="2255" spans="1:11" x14ac:dyDescent="0.2">
      <c r="A2255" s="764" t="s">
        <v>12954</v>
      </c>
      <c r="B2255" s="432" t="s">
        <v>295</v>
      </c>
      <c r="C2255" s="1264"/>
      <c r="D2255" s="1220"/>
      <c r="E2255" s="432">
        <v>8</v>
      </c>
      <c r="F2255" s="200" t="s">
        <v>361</v>
      </c>
      <c r="G2255" s="432" t="s">
        <v>137</v>
      </c>
      <c r="H2255" s="432">
        <v>42.2</v>
      </c>
      <c r="I2255" s="1220"/>
      <c r="J2255" s="443">
        <v>1888575</v>
      </c>
      <c r="K2255" s="443">
        <v>689595.26</v>
      </c>
    </row>
    <row r="2256" spans="1:11" ht="40.5" customHeight="1" x14ac:dyDescent="0.2">
      <c r="A2256" s="410" t="s">
        <v>13266</v>
      </c>
      <c r="B2256" s="347" t="s">
        <v>295</v>
      </c>
      <c r="C2256" s="405" t="s">
        <v>13268</v>
      </c>
      <c r="D2256" s="719">
        <v>10</v>
      </c>
      <c r="E2256" s="432">
        <v>3</v>
      </c>
      <c r="F2256" s="200" t="s">
        <v>13267</v>
      </c>
      <c r="G2256" s="432" t="s">
        <v>137</v>
      </c>
      <c r="H2256" s="432">
        <v>32.5</v>
      </c>
      <c r="I2256" s="723">
        <v>1958</v>
      </c>
      <c r="J2256" s="443">
        <v>668481</v>
      </c>
      <c r="K2256" s="443">
        <v>421236.73</v>
      </c>
    </row>
    <row r="2257" spans="1:11" ht="13.5" customHeight="1" x14ac:dyDescent="0.2">
      <c r="A2257" s="410" t="s">
        <v>14054</v>
      </c>
      <c r="B2257" s="833"/>
      <c r="C2257" s="1147" t="s">
        <v>14056</v>
      </c>
      <c r="D2257" s="1185">
        <v>5</v>
      </c>
      <c r="E2257" s="432"/>
      <c r="F2257" s="200" t="s">
        <v>14059</v>
      </c>
      <c r="G2257" s="432" t="s">
        <v>14069</v>
      </c>
      <c r="H2257" s="432">
        <v>194.1</v>
      </c>
      <c r="I2257" s="1175">
        <v>1995</v>
      </c>
      <c r="J2257" s="443"/>
      <c r="K2257" s="443"/>
    </row>
    <row r="2258" spans="1:11" ht="15" customHeight="1" x14ac:dyDescent="0.2">
      <c r="A2258" s="411" t="s">
        <v>14057</v>
      </c>
      <c r="B2258" s="833" t="s">
        <v>295</v>
      </c>
      <c r="C2258" s="1148"/>
      <c r="D2258" s="1186"/>
      <c r="E2258" s="432">
        <v>3</v>
      </c>
      <c r="F2258" s="200" t="s">
        <v>14060</v>
      </c>
      <c r="G2258" s="432" t="s">
        <v>137</v>
      </c>
      <c r="H2258" s="432">
        <v>54</v>
      </c>
      <c r="I2258" s="1176"/>
      <c r="J2258" s="443">
        <v>2328000</v>
      </c>
      <c r="K2258" s="443">
        <v>567930.96</v>
      </c>
    </row>
    <row r="2259" spans="1:11" ht="15" customHeight="1" x14ac:dyDescent="0.2">
      <c r="A2259" s="411" t="s">
        <v>14058</v>
      </c>
      <c r="B2259" s="833" t="s">
        <v>295</v>
      </c>
      <c r="C2259" s="1148"/>
      <c r="D2259" s="1186"/>
      <c r="E2259" s="432">
        <v>4</v>
      </c>
      <c r="F2259" s="200" t="s">
        <v>14061</v>
      </c>
      <c r="G2259" s="432" t="s">
        <v>137</v>
      </c>
      <c r="H2259" s="432">
        <v>55.1</v>
      </c>
      <c r="I2259" s="1176"/>
      <c r="J2259" s="443">
        <v>2982000</v>
      </c>
      <c r="K2259" s="443">
        <v>579499.92000000004</v>
      </c>
    </row>
    <row r="2260" spans="1:11" ht="15" customHeight="1" x14ac:dyDescent="0.2">
      <c r="A2260" s="867" t="s">
        <v>14374</v>
      </c>
      <c r="B2260" s="833" t="s">
        <v>295</v>
      </c>
      <c r="C2260" s="1149"/>
      <c r="D2260" s="1187"/>
      <c r="E2260" s="869">
        <v>1</v>
      </c>
      <c r="F2260" s="869" t="s">
        <v>14375</v>
      </c>
      <c r="G2260" s="869" t="s">
        <v>137</v>
      </c>
      <c r="H2260" s="878">
        <v>42.7</v>
      </c>
      <c r="I2260" s="1188"/>
      <c r="J2260" s="872">
        <v>2454000</v>
      </c>
      <c r="K2260" s="872">
        <v>459107.41</v>
      </c>
    </row>
    <row r="2261" spans="1:11" ht="12.75" customHeight="1" x14ac:dyDescent="0.2">
      <c r="A2261" s="410" t="s">
        <v>14055</v>
      </c>
      <c r="B2261" s="1043"/>
      <c r="C2261" s="1147" t="s">
        <v>14064</v>
      </c>
      <c r="D2261" s="1185">
        <v>1</v>
      </c>
      <c r="E2261" s="1044"/>
      <c r="F2261" s="200" t="s">
        <v>14067</v>
      </c>
      <c r="G2261" s="1044" t="s">
        <v>14068</v>
      </c>
      <c r="H2261" s="1044">
        <v>168.2</v>
      </c>
      <c r="I2261" s="1175">
        <v>1953</v>
      </c>
      <c r="J2261" s="443"/>
      <c r="K2261" s="443"/>
    </row>
    <row r="2262" spans="1:11" x14ac:dyDescent="0.2">
      <c r="A2262" s="411" t="s">
        <v>14062</v>
      </c>
      <c r="B2262" s="1043" t="s">
        <v>295</v>
      </c>
      <c r="C2262" s="1148"/>
      <c r="D2262" s="1186"/>
      <c r="E2262" s="1044">
        <v>1</v>
      </c>
      <c r="F2262" s="200" t="s">
        <v>14065</v>
      </c>
      <c r="G2262" s="1044" t="s">
        <v>137</v>
      </c>
      <c r="H2262" s="1044">
        <v>41.7</v>
      </c>
      <c r="I2262" s="1176"/>
      <c r="J2262" s="443">
        <v>1796000</v>
      </c>
      <c r="K2262" s="443">
        <v>448355.48</v>
      </c>
    </row>
    <row r="2263" spans="1:11" x14ac:dyDescent="0.2">
      <c r="A2263" s="411" t="s">
        <v>14063</v>
      </c>
      <c r="B2263" s="1043" t="s">
        <v>295</v>
      </c>
      <c r="C2263" s="1148"/>
      <c r="D2263" s="1186"/>
      <c r="E2263" s="1044">
        <v>4</v>
      </c>
      <c r="F2263" s="200" t="s">
        <v>14066</v>
      </c>
      <c r="G2263" s="1044" t="s">
        <v>137</v>
      </c>
      <c r="H2263" s="1044">
        <v>45.2</v>
      </c>
      <c r="I2263" s="1176"/>
      <c r="J2263" s="443">
        <v>1945000</v>
      </c>
      <c r="K2263" s="443">
        <v>485987.24</v>
      </c>
    </row>
    <row r="2264" spans="1:11" x14ac:dyDescent="0.2">
      <c r="A2264" s="411" t="s">
        <v>14366</v>
      </c>
      <c r="B2264" s="1043" t="s">
        <v>295</v>
      </c>
      <c r="C2264" s="1148"/>
      <c r="D2264" s="1186"/>
      <c r="E2264" s="350">
        <v>2</v>
      </c>
      <c r="F2264" s="350" t="s">
        <v>14368</v>
      </c>
      <c r="G2264" s="350" t="s">
        <v>137</v>
      </c>
      <c r="H2264" s="1047">
        <v>42.4</v>
      </c>
      <c r="I2264" s="1176"/>
      <c r="J2264" s="231">
        <v>2272000</v>
      </c>
      <c r="K2264" s="231">
        <v>455881.83</v>
      </c>
    </row>
    <row r="2265" spans="1:11" x14ac:dyDescent="0.2">
      <c r="A2265" s="411" t="s">
        <v>14367</v>
      </c>
      <c r="B2265" s="1043" t="s">
        <v>295</v>
      </c>
      <c r="C2265" s="1149"/>
      <c r="D2265" s="1187"/>
      <c r="E2265" s="350">
        <v>3</v>
      </c>
      <c r="F2265" s="350" t="s">
        <v>14369</v>
      </c>
      <c r="G2265" s="350" t="s">
        <v>137</v>
      </c>
      <c r="H2265" s="1047">
        <v>40.4</v>
      </c>
      <c r="I2265" s="1188"/>
      <c r="J2265" s="231">
        <v>2147000</v>
      </c>
      <c r="K2265" s="231">
        <v>434377.97</v>
      </c>
    </row>
    <row r="2266" spans="1:11" ht="38.25" x14ac:dyDescent="0.2">
      <c r="A2266" s="410" t="s">
        <v>14251</v>
      </c>
      <c r="B2266" s="1043" t="s">
        <v>307</v>
      </c>
      <c r="C2266" s="1035" t="s">
        <v>14252</v>
      </c>
      <c r="D2266" s="1037" t="s">
        <v>14253</v>
      </c>
      <c r="E2266" s="1044"/>
      <c r="F2266" s="200" t="s">
        <v>8062</v>
      </c>
      <c r="G2266" s="1044" t="s">
        <v>137</v>
      </c>
      <c r="H2266" s="1044">
        <v>130.6</v>
      </c>
      <c r="I2266" s="1038">
        <v>1940</v>
      </c>
      <c r="J2266" s="437">
        <f>260394+608709</f>
        <v>869103</v>
      </c>
      <c r="K2266" s="443">
        <v>503709.12</v>
      </c>
    </row>
    <row r="2267" spans="1:11" ht="21.75" customHeight="1" x14ac:dyDescent="0.2">
      <c r="A2267" s="348" t="s">
        <v>14269</v>
      </c>
      <c r="B2267" s="1043"/>
      <c r="C2267" s="1147" t="s">
        <v>14943</v>
      </c>
      <c r="D2267" s="1150">
        <v>32</v>
      </c>
      <c r="E2267" s="425"/>
      <c r="F2267" s="178"/>
      <c r="G2267" s="1040"/>
      <c r="H2267" s="837">
        <f>2989-2989</f>
        <v>0</v>
      </c>
      <c r="I2267" s="1145">
        <v>2023</v>
      </c>
      <c r="J2267" s="837">
        <f>1972800-1972800</f>
        <v>0</v>
      </c>
      <c r="K2267" s="437"/>
    </row>
    <row r="2268" spans="1:11" ht="16.5" customHeight="1" x14ac:dyDescent="0.2">
      <c r="A2268" s="834" t="s">
        <v>14282</v>
      </c>
      <c r="B2268" s="1043" t="s">
        <v>295</v>
      </c>
      <c r="C2268" s="1148"/>
      <c r="D2268" s="1151"/>
      <c r="E2268" s="421">
        <v>10</v>
      </c>
      <c r="F2268" s="465" t="s">
        <v>14298</v>
      </c>
      <c r="G2268" s="465" t="s">
        <v>137</v>
      </c>
      <c r="H2268" s="473">
        <f>53.6-53.6</f>
        <v>0</v>
      </c>
      <c r="I2268" s="1153"/>
      <c r="J2268" s="837">
        <f>5443723.2-5443723.2</f>
        <v>0</v>
      </c>
      <c r="K2268" s="437">
        <f>713912.87-713912.87</f>
        <v>0</v>
      </c>
    </row>
    <row r="2269" spans="1:11" x14ac:dyDescent="0.2">
      <c r="A2269" s="834" t="s">
        <v>14299</v>
      </c>
      <c r="B2269" s="1043" t="s">
        <v>295</v>
      </c>
      <c r="C2269" s="1149"/>
      <c r="D2269" s="1152"/>
      <c r="E2269" s="764" t="s">
        <v>14300</v>
      </c>
      <c r="F2269" s="764" t="s">
        <v>14301</v>
      </c>
      <c r="G2269" s="764" t="s">
        <v>128</v>
      </c>
      <c r="H2269" s="1048" t="s">
        <v>14303</v>
      </c>
      <c r="I2269" s="1146"/>
      <c r="J2269" s="1048" t="s">
        <v>14302</v>
      </c>
      <c r="K2269" s="1048" t="s">
        <v>14304</v>
      </c>
    </row>
    <row r="2270" spans="1:11" ht="51" customHeight="1" x14ac:dyDescent="0.2">
      <c r="A2270" s="685" t="s">
        <v>14281</v>
      </c>
      <c r="B2270" s="1044" t="s">
        <v>307</v>
      </c>
      <c r="C2270" s="1044" t="s">
        <v>14632</v>
      </c>
      <c r="D2270" s="1039">
        <v>13</v>
      </c>
      <c r="E2270" s="1015"/>
      <c r="F2270" s="1043" t="s">
        <v>14633</v>
      </c>
      <c r="G2270" s="1040"/>
      <c r="H2270" s="1043">
        <v>37.1</v>
      </c>
      <c r="I2270" s="1039"/>
      <c r="J2270" s="440">
        <v>2361.6</v>
      </c>
      <c r="K2270" s="1043"/>
    </row>
    <row r="2271" spans="1:11" ht="40.5" customHeight="1" x14ac:dyDescent="0.2">
      <c r="A2271" s="685" t="s">
        <v>14647</v>
      </c>
      <c r="B2271" s="1043" t="s">
        <v>295</v>
      </c>
      <c r="C2271" s="1044" t="s">
        <v>14645</v>
      </c>
      <c r="D2271" s="1042">
        <v>32</v>
      </c>
      <c r="E2271" s="333">
        <v>1</v>
      </c>
      <c r="F2271" s="1043" t="s">
        <v>14648</v>
      </c>
      <c r="G2271" s="1040" t="s">
        <v>137</v>
      </c>
      <c r="H2271" s="1043">
        <v>36.299999999999997</v>
      </c>
      <c r="I2271" s="1039">
        <v>1960</v>
      </c>
      <c r="J2271" s="440">
        <v>91133</v>
      </c>
      <c r="K2271" s="1043">
        <v>599617.72</v>
      </c>
    </row>
    <row r="2272" spans="1:11" ht="63.75" x14ac:dyDescent="0.2">
      <c r="A2272" s="685" t="s">
        <v>14647</v>
      </c>
      <c r="B2272" s="1043" t="s">
        <v>14650</v>
      </c>
      <c r="C2272" s="1044" t="s">
        <v>14651</v>
      </c>
      <c r="D2272" s="1042">
        <v>1</v>
      </c>
      <c r="E2272" s="333">
        <v>5</v>
      </c>
      <c r="F2272" s="1043" t="s">
        <v>14652</v>
      </c>
      <c r="G2272" s="1040"/>
      <c r="H2272" s="1043">
        <v>59.9</v>
      </c>
      <c r="I2272" s="1039"/>
      <c r="J2272" s="440">
        <v>3812.83</v>
      </c>
      <c r="K2272" s="1043">
        <v>897182.2</v>
      </c>
    </row>
    <row r="2273" spans="1:12" ht="38.25" x14ac:dyDescent="0.2">
      <c r="A2273" s="834" t="s">
        <v>14758</v>
      </c>
      <c r="B2273" s="1043" t="s">
        <v>308</v>
      </c>
      <c r="C2273" s="1035" t="s">
        <v>14851</v>
      </c>
      <c r="D2273" s="1039"/>
      <c r="E2273" s="1015"/>
      <c r="F2273" s="1043" t="s">
        <v>14852</v>
      </c>
      <c r="G2273" s="1040" t="s">
        <v>137</v>
      </c>
      <c r="H2273" s="1043">
        <v>39.799999999999997</v>
      </c>
      <c r="I2273" s="1039">
        <v>1975</v>
      </c>
      <c r="J2273" s="437">
        <v>5632636</v>
      </c>
      <c r="K2273" s="437">
        <v>857399.46</v>
      </c>
    </row>
    <row r="2274" spans="1:12" ht="25.5" x14ac:dyDescent="0.2">
      <c r="A2274" s="834" t="s">
        <v>14759</v>
      </c>
      <c r="B2274" s="444" t="s">
        <v>308</v>
      </c>
      <c r="C2274" s="1035" t="s">
        <v>14853</v>
      </c>
      <c r="D2274" s="1039"/>
      <c r="E2274" s="1015"/>
      <c r="F2274" s="1043" t="s">
        <v>14854</v>
      </c>
      <c r="G2274" s="1040" t="s">
        <v>128</v>
      </c>
      <c r="H2274" s="1043">
        <v>25.7</v>
      </c>
      <c r="I2274" s="1039">
        <v>1985</v>
      </c>
      <c r="J2274" s="437">
        <v>3637526</v>
      </c>
      <c r="K2274" s="437">
        <v>405500.51</v>
      </c>
    </row>
    <row r="2275" spans="1:12" ht="25.5" x14ac:dyDescent="0.2">
      <c r="A2275" s="834" t="s">
        <v>14760</v>
      </c>
      <c r="B2275" s="444" t="s">
        <v>308</v>
      </c>
      <c r="C2275" s="1035" t="s">
        <v>14825</v>
      </c>
      <c r="D2275" s="1039"/>
      <c r="E2275" s="1015"/>
      <c r="F2275" s="1043" t="s">
        <v>14840</v>
      </c>
      <c r="G2275" s="1040" t="s">
        <v>127</v>
      </c>
      <c r="H2275" s="1043">
        <v>37.4</v>
      </c>
      <c r="I2275" s="1039">
        <v>1985</v>
      </c>
      <c r="J2275" s="437">
        <v>5306312</v>
      </c>
      <c r="K2275" s="437">
        <v>590105.80000000005</v>
      </c>
    </row>
    <row r="2276" spans="1:12" ht="38.25" x14ac:dyDescent="0.2">
      <c r="A2276" s="834" t="s">
        <v>14876</v>
      </c>
      <c r="B2276" s="444" t="s">
        <v>308</v>
      </c>
      <c r="C2276" s="1035" t="s">
        <v>15356</v>
      </c>
      <c r="D2276" s="1039"/>
      <c r="E2276" s="1015"/>
      <c r="F2276" s="1043" t="s">
        <v>14877</v>
      </c>
      <c r="G2276" s="1040" t="s">
        <v>507</v>
      </c>
      <c r="H2276" s="1043">
        <v>40.299999999999997</v>
      </c>
      <c r="I2276" s="1039">
        <v>1978</v>
      </c>
      <c r="J2276" s="437">
        <v>6092786.9800000004</v>
      </c>
      <c r="K2276" s="437">
        <v>868170.81</v>
      </c>
    </row>
    <row r="2277" spans="1:12" ht="51" x14ac:dyDescent="0.2">
      <c r="A2277" s="834" t="s">
        <v>14872</v>
      </c>
      <c r="B2277" s="444" t="s">
        <v>308</v>
      </c>
      <c r="C2277" s="1035" t="s">
        <v>15355</v>
      </c>
      <c r="D2277" s="1039"/>
      <c r="E2277" s="1015"/>
      <c r="F2277" s="1043" t="s">
        <v>14873</v>
      </c>
      <c r="G2277" s="1040" t="s">
        <v>127</v>
      </c>
      <c r="H2277" s="1043">
        <f>38.4-38.4</f>
        <v>0</v>
      </c>
      <c r="I2277" s="1039">
        <v>1992</v>
      </c>
      <c r="J2277" s="437">
        <f>6092786.98-6092786.98</f>
        <v>0</v>
      </c>
      <c r="K2277" s="437"/>
    </row>
    <row r="2278" spans="1:12" ht="25.5" x14ac:dyDescent="0.2">
      <c r="A2278" s="834" t="s">
        <v>14874</v>
      </c>
      <c r="B2278" s="444" t="s">
        <v>308</v>
      </c>
      <c r="C2278" s="1035" t="s">
        <v>15357</v>
      </c>
      <c r="D2278" s="1039"/>
      <c r="E2278" s="1015"/>
      <c r="F2278" s="1043" t="s">
        <v>14875</v>
      </c>
      <c r="G2278" s="1040" t="s">
        <v>128</v>
      </c>
      <c r="H2278" s="1043">
        <v>39.299999999999997</v>
      </c>
      <c r="I2278" s="1039">
        <v>1992</v>
      </c>
      <c r="J2278" s="437">
        <v>6123404</v>
      </c>
      <c r="K2278" s="437">
        <v>863660.73</v>
      </c>
      <c r="L2278" s="1029"/>
    </row>
    <row r="2279" spans="1:12" ht="51" x14ac:dyDescent="0.2">
      <c r="A2279" s="834" t="s">
        <v>14867</v>
      </c>
      <c r="B2279" s="1043" t="s">
        <v>308</v>
      </c>
      <c r="C2279" s="1035" t="s">
        <v>15358</v>
      </c>
      <c r="D2279" s="1042"/>
      <c r="E2279" s="333"/>
      <c r="F2279" s="1043" t="s">
        <v>14868</v>
      </c>
      <c r="G2279" s="1040" t="s">
        <v>127</v>
      </c>
      <c r="H2279" s="1043">
        <v>49.5</v>
      </c>
      <c r="I2279" s="1039">
        <v>1982</v>
      </c>
      <c r="J2279" s="437">
        <v>7802144</v>
      </c>
      <c r="K2279" s="437">
        <v>1144580.0900000001</v>
      </c>
    </row>
    <row r="2280" spans="1:12" ht="25.5" x14ac:dyDescent="0.2">
      <c r="A2280" s="834" t="s">
        <v>14761</v>
      </c>
      <c r="B2280" s="1043" t="s">
        <v>308</v>
      </c>
      <c r="C2280" s="1035" t="s">
        <v>14944</v>
      </c>
      <c r="D2280" s="1042"/>
      <c r="E2280" s="333"/>
      <c r="F2280" s="1043" t="s">
        <v>14826</v>
      </c>
      <c r="G2280" s="1040" t="s">
        <v>127</v>
      </c>
      <c r="H2280" s="1043">
        <v>54.9</v>
      </c>
      <c r="I2280" s="1039">
        <v>1978</v>
      </c>
      <c r="J2280" s="437">
        <v>7789212</v>
      </c>
      <c r="K2280" s="437">
        <v>1059354.79</v>
      </c>
    </row>
    <row r="2281" spans="1:12" ht="25.5" x14ac:dyDescent="0.2">
      <c r="A2281" s="834" t="s">
        <v>14762</v>
      </c>
      <c r="B2281" s="1043" t="s">
        <v>295</v>
      </c>
      <c r="C2281" s="1035" t="s">
        <v>14945</v>
      </c>
      <c r="D2281" s="1039"/>
      <c r="E2281" s="1015"/>
      <c r="F2281" s="1043" t="s">
        <v>14839</v>
      </c>
      <c r="G2281" s="1040" t="s">
        <v>137</v>
      </c>
      <c r="H2281" s="1043">
        <v>29.3</v>
      </c>
      <c r="I2281" s="1039"/>
      <c r="J2281" s="437">
        <v>4522630.8</v>
      </c>
      <c r="K2281" s="437">
        <v>561067.46</v>
      </c>
    </row>
    <row r="2282" spans="1:12" ht="25.5" x14ac:dyDescent="0.2">
      <c r="A2282" s="834" t="s">
        <v>14763</v>
      </c>
      <c r="B2282" s="1043" t="s">
        <v>295</v>
      </c>
      <c r="C2282" s="1035" t="s">
        <v>14946</v>
      </c>
      <c r="D2282" s="1039"/>
      <c r="E2282" s="1015"/>
      <c r="F2282" s="1043" t="s">
        <v>14827</v>
      </c>
      <c r="G2282" s="1040" t="s">
        <v>512</v>
      </c>
      <c r="H2282" s="1043">
        <v>51.2</v>
      </c>
      <c r="I2282" s="1039">
        <v>1940</v>
      </c>
      <c r="J2282" s="437">
        <v>7264256</v>
      </c>
      <c r="K2282" s="437">
        <v>681946.62</v>
      </c>
    </row>
    <row r="2283" spans="1:12" ht="25.5" x14ac:dyDescent="0.2">
      <c r="A2283" s="834" t="s">
        <v>14764</v>
      </c>
      <c r="B2283" s="1043" t="s">
        <v>295</v>
      </c>
      <c r="C2283" s="1041" t="s">
        <v>14947</v>
      </c>
      <c r="D2283" s="1039"/>
      <c r="E2283" s="1015"/>
      <c r="F2283" s="1043" t="s">
        <v>14884</v>
      </c>
      <c r="G2283" s="1040" t="s">
        <v>137</v>
      </c>
      <c r="H2283" s="1043">
        <v>33.200000000000003</v>
      </c>
      <c r="I2283" s="1039">
        <v>1940</v>
      </c>
      <c r="J2283" s="437">
        <v>5308016</v>
      </c>
      <c r="K2283" s="437">
        <v>1085277.1200000001</v>
      </c>
    </row>
    <row r="2284" spans="1:12" ht="25.5" x14ac:dyDescent="0.2">
      <c r="A2284" s="834" t="s">
        <v>14765</v>
      </c>
      <c r="B2284" s="1043" t="s">
        <v>295</v>
      </c>
      <c r="C2284" s="1041" t="s">
        <v>14948</v>
      </c>
      <c r="D2284" s="1039"/>
      <c r="E2284" s="1015"/>
      <c r="F2284" s="1043" t="s">
        <v>14838</v>
      </c>
      <c r="G2284" s="1040" t="s">
        <v>137</v>
      </c>
      <c r="H2284" s="1043">
        <v>33.200000000000003</v>
      </c>
      <c r="I2284" s="1039">
        <v>1940</v>
      </c>
      <c r="J2284" s="437">
        <v>5093748</v>
      </c>
      <c r="K2284" s="437">
        <v>1085277.1200000001</v>
      </c>
    </row>
    <row r="2285" spans="1:12" ht="25.5" x14ac:dyDescent="0.2">
      <c r="A2285" s="834" t="s">
        <v>14766</v>
      </c>
      <c r="B2285" s="1043" t="s">
        <v>308</v>
      </c>
      <c r="C2285" s="1041" t="s">
        <v>14949</v>
      </c>
      <c r="D2285" s="1039"/>
      <c r="E2285" s="1015"/>
      <c r="F2285" s="1043" t="s">
        <v>14837</v>
      </c>
      <c r="G2285" s="1040" t="s">
        <v>137</v>
      </c>
      <c r="H2285" s="1043">
        <v>42</v>
      </c>
      <c r="I2285" s="1039">
        <v>1966</v>
      </c>
      <c r="J2285" s="437">
        <v>5093748</v>
      </c>
      <c r="K2285" s="437">
        <v>506671.2</v>
      </c>
    </row>
    <row r="2286" spans="1:12" ht="38.25" x14ac:dyDescent="0.2">
      <c r="A2286" s="404" t="s">
        <v>14767</v>
      </c>
      <c r="B2286" s="1043" t="s">
        <v>308</v>
      </c>
      <c r="C2286" s="1035" t="s">
        <v>14784</v>
      </c>
      <c r="D2286" s="1039"/>
      <c r="E2286" s="1015"/>
      <c r="F2286" s="1043" t="s">
        <v>14885</v>
      </c>
      <c r="G2286" s="1040" t="s">
        <v>128</v>
      </c>
      <c r="H2286" s="498">
        <v>51.1</v>
      </c>
      <c r="I2286" s="1039">
        <v>1982</v>
      </c>
      <c r="J2286" s="437">
        <v>6659096.5</v>
      </c>
      <c r="K2286" s="437">
        <v>1267624.4099999999</v>
      </c>
    </row>
    <row r="2287" spans="1:12" ht="38.25" x14ac:dyDescent="0.2">
      <c r="A2287" s="404" t="s">
        <v>14878</v>
      </c>
      <c r="B2287" s="1043" t="s">
        <v>308</v>
      </c>
      <c r="C2287" s="1035" t="s">
        <v>14879</v>
      </c>
      <c r="D2287" s="1039"/>
      <c r="E2287" s="1015"/>
      <c r="F2287" s="1043" t="s">
        <v>14880</v>
      </c>
      <c r="G2287" s="1040" t="s">
        <v>127</v>
      </c>
      <c r="H2287" s="498">
        <v>79</v>
      </c>
      <c r="I2287" s="1039">
        <v>1982</v>
      </c>
      <c r="J2287" s="437">
        <v>8832090.9600000009</v>
      </c>
      <c r="K2287" s="437">
        <v>1959732.46</v>
      </c>
    </row>
    <row r="2288" spans="1:12" ht="38.25" x14ac:dyDescent="0.2">
      <c r="A2288" s="834" t="s">
        <v>14855</v>
      </c>
      <c r="B2288" s="1043" t="s">
        <v>308</v>
      </c>
      <c r="C2288" s="1041" t="s">
        <v>14856</v>
      </c>
      <c r="D2288" s="1039"/>
      <c r="E2288" s="1015"/>
      <c r="F2288" s="1043" t="s">
        <v>14857</v>
      </c>
      <c r="G2288" s="1040" t="s">
        <v>127</v>
      </c>
      <c r="H2288" s="498">
        <v>61.8</v>
      </c>
      <c r="I2288" s="1039">
        <v>1994</v>
      </c>
      <c r="J2288" s="437">
        <v>7049939.4000000004</v>
      </c>
      <c r="K2288" s="437">
        <v>1463844.24</v>
      </c>
    </row>
    <row r="2289" spans="1:11" ht="38.25" x14ac:dyDescent="0.2">
      <c r="A2289" s="834" t="s">
        <v>14858</v>
      </c>
      <c r="B2289" s="1043" t="s">
        <v>308</v>
      </c>
      <c r="C2289" s="1041" t="s">
        <v>14859</v>
      </c>
      <c r="D2289" s="1039"/>
      <c r="E2289" s="1015"/>
      <c r="F2289" s="1043" t="s">
        <v>14860</v>
      </c>
      <c r="G2289" s="1040" t="s">
        <v>507</v>
      </c>
      <c r="H2289" s="498">
        <v>47.8</v>
      </c>
      <c r="I2289" s="1039">
        <v>1994</v>
      </c>
      <c r="J2289" s="437">
        <v>7572236.5599999996</v>
      </c>
      <c r="K2289" s="437">
        <v>1132229.04</v>
      </c>
    </row>
    <row r="2290" spans="1:11" ht="51" x14ac:dyDescent="0.2">
      <c r="A2290" s="834" t="s">
        <v>14861</v>
      </c>
      <c r="B2290" s="1043" t="s">
        <v>308</v>
      </c>
      <c r="C2290" s="1041" t="s">
        <v>14862</v>
      </c>
      <c r="D2290" s="1039"/>
      <c r="E2290" s="1015"/>
      <c r="F2290" s="1043" t="s">
        <v>14863</v>
      </c>
      <c r="G2290" s="1040" t="s">
        <v>137</v>
      </c>
      <c r="H2290" s="498">
        <v>52.4</v>
      </c>
      <c r="I2290" s="1039">
        <v>1994</v>
      </c>
      <c r="J2290" s="437">
        <v>8377712</v>
      </c>
      <c r="K2290" s="437">
        <v>1241188.32</v>
      </c>
    </row>
    <row r="2291" spans="1:11" ht="38.25" x14ac:dyDescent="0.2">
      <c r="A2291" s="834" t="s">
        <v>14864</v>
      </c>
      <c r="B2291" s="1043" t="s">
        <v>308</v>
      </c>
      <c r="C2291" s="1041" t="s">
        <v>14865</v>
      </c>
      <c r="D2291" s="1039"/>
      <c r="E2291" s="1015"/>
      <c r="F2291" s="1043" t="s">
        <v>14866</v>
      </c>
      <c r="G2291" s="1040" t="s">
        <v>512</v>
      </c>
      <c r="H2291" s="498">
        <v>59.1</v>
      </c>
      <c r="I2291" s="1039">
        <v>1994</v>
      </c>
      <c r="J2291" s="437">
        <v>8921304</v>
      </c>
      <c r="K2291" s="437">
        <v>1399889.88</v>
      </c>
    </row>
    <row r="2292" spans="1:11" ht="38.25" x14ac:dyDescent="0.2">
      <c r="A2292" s="834" t="s">
        <v>14768</v>
      </c>
      <c r="B2292" s="1043" t="s">
        <v>295</v>
      </c>
      <c r="C2292" s="1041" t="s">
        <v>14785</v>
      </c>
      <c r="D2292" s="1039"/>
      <c r="E2292" s="1015"/>
      <c r="F2292" s="1043" t="s">
        <v>14887</v>
      </c>
      <c r="G2292" s="1040" t="s">
        <v>137</v>
      </c>
      <c r="H2292" s="1043">
        <v>55.5</v>
      </c>
      <c r="I2292" s="1039">
        <v>1950</v>
      </c>
      <c r="J2292" s="437">
        <v>7287439</v>
      </c>
      <c r="K2292" s="437">
        <v>379643.31</v>
      </c>
    </row>
    <row r="2293" spans="1:11" ht="38.25" x14ac:dyDescent="0.2">
      <c r="A2293" s="834" t="s">
        <v>14770</v>
      </c>
      <c r="B2293" s="1043" t="s">
        <v>295</v>
      </c>
      <c r="C2293" s="1041" t="s">
        <v>14786</v>
      </c>
      <c r="D2293" s="1039"/>
      <c r="E2293" s="1015"/>
      <c r="F2293" s="1043" t="s">
        <v>14891</v>
      </c>
      <c r="G2293" s="1040" t="s">
        <v>137</v>
      </c>
      <c r="H2293" s="1043">
        <v>81.400000000000006</v>
      </c>
      <c r="I2293" s="1039">
        <v>1950</v>
      </c>
      <c r="J2293" s="437">
        <v>11389697</v>
      </c>
      <c r="K2293" s="437">
        <v>304543.45</v>
      </c>
    </row>
    <row r="2294" spans="1:11" ht="38.25" x14ac:dyDescent="0.2">
      <c r="A2294" s="834" t="s">
        <v>14771</v>
      </c>
      <c r="B2294" s="1045" t="s">
        <v>295</v>
      </c>
      <c r="C2294" s="1035" t="s">
        <v>14950</v>
      </c>
      <c r="D2294" s="1039"/>
      <c r="E2294" s="1015"/>
      <c r="F2294" s="1043" t="s">
        <v>14819</v>
      </c>
      <c r="G2294" s="1040" t="s">
        <v>507</v>
      </c>
      <c r="H2294" s="1043">
        <v>41.9</v>
      </c>
      <c r="I2294" s="1039">
        <v>1975</v>
      </c>
      <c r="J2294" s="437">
        <v>1850506.12</v>
      </c>
      <c r="K2294" s="437">
        <v>877565.75</v>
      </c>
    </row>
    <row r="2295" spans="1:11" ht="38.25" x14ac:dyDescent="0.2">
      <c r="A2295" s="834" t="s">
        <v>14772</v>
      </c>
      <c r="B2295" s="1043" t="s">
        <v>295</v>
      </c>
      <c r="C2295" s="1035" t="s">
        <v>14787</v>
      </c>
      <c r="D2295" s="1039"/>
      <c r="E2295" s="1015"/>
      <c r="F2295" s="1043" t="s">
        <v>14820</v>
      </c>
      <c r="G2295" s="1040" t="s">
        <v>127</v>
      </c>
      <c r="H2295" s="1043">
        <v>43.5</v>
      </c>
      <c r="I2295" s="1039">
        <v>1978</v>
      </c>
      <c r="J2295" s="437">
        <v>1909880.68</v>
      </c>
      <c r="K2295" s="437">
        <v>937107.45</v>
      </c>
    </row>
    <row r="2296" spans="1:11" ht="51" x14ac:dyDescent="0.2">
      <c r="A2296" s="834" t="s">
        <v>14773</v>
      </c>
      <c r="B2296" s="1043" t="s">
        <v>295</v>
      </c>
      <c r="C2296" s="1035" t="s">
        <v>14951</v>
      </c>
      <c r="D2296" s="1039"/>
      <c r="E2296" s="1015"/>
      <c r="F2296" s="1043" t="s">
        <v>14829</v>
      </c>
      <c r="G2296" s="1040" t="s">
        <v>512</v>
      </c>
      <c r="H2296" s="1043">
        <v>40.9</v>
      </c>
      <c r="I2296" s="1039">
        <v>1966</v>
      </c>
      <c r="J2296" s="437">
        <v>1979151</v>
      </c>
      <c r="K2296" s="437">
        <v>603139.21</v>
      </c>
    </row>
    <row r="2297" spans="1:11" ht="38.25" x14ac:dyDescent="0.2">
      <c r="A2297" s="834" t="s">
        <v>14774</v>
      </c>
      <c r="B2297" s="1045" t="s">
        <v>295</v>
      </c>
      <c r="C2297" s="1035" t="s">
        <v>14952</v>
      </c>
      <c r="D2297" s="1039"/>
      <c r="E2297" s="1015"/>
      <c r="F2297" s="1043" t="s">
        <v>14828</v>
      </c>
      <c r="G2297" s="1040" t="s">
        <v>137</v>
      </c>
      <c r="H2297" s="1043">
        <v>33.299999999999997</v>
      </c>
      <c r="I2297" s="1039">
        <v>1984</v>
      </c>
      <c r="J2297" s="437">
        <v>1611387</v>
      </c>
      <c r="K2297" s="437">
        <v>757225.68</v>
      </c>
    </row>
    <row r="2298" spans="1:11" ht="38.25" x14ac:dyDescent="0.2">
      <c r="A2298" s="834" t="s">
        <v>14848</v>
      </c>
      <c r="B2298" s="1043" t="s">
        <v>295</v>
      </c>
      <c r="C2298" s="1035" t="s">
        <v>14849</v>
      </c>
      <c r="D2298" s="1039"/>
      <c r="E2298" s="1015"/>
      <c r="F2298" s="1043" t="s">
        <v>14850</v>
      </c>
      <c r="G2298" s="1040" t="s">
        <v>127</v>
      </c>
      <c r="H2298" s="1043">
        <v>47.6</v>
      </c>
      <c r="I2298" s="1039">
        <v>1989</v>
      </c>
      <c r="J2298" s="437">
        <v>2355640</v>
      </c>
      <c r="K2298" s="437">
        <v>1074261.55</v>
      </c>
    </row>
    <row r="2299" spans="1:11" ht="38.25" x14ac:dyDescent="0.2">
      <c r="A2299" s="834" t="s">
        <v>14775</v>
      </c>
      <c r="B2299" s="1043" t="s">
        <v>295</v>
      </c>
      <c r="C2299" s="1035" t="s">
        <v>14953</v>
      </c>
      <c r="D2299" s="1039"/>
      <c r="E2299" s="1015"/>
      <c r="F2299" s="1043" t="s">
        <v>14886</v>
      </c>
      <c r="G2299" s="1040" t="s">
        <v>127</v>
      </c>
      <c r="H2299" s="1043">
        <v>37.700000000000003</v>
      </c>
      <c r="I2299" s="1039">
        <v>1979</v>
      </c>
      <c r="J2299" s="437">
        <v>1824303</v>
      </c>
      <c r="K2299" s="437">
        <v>834719.85</v>
      </c>
    </row>
    <row r="2300" spans="1:11" ht="38.25" x14ac:dyDescent="0.2">
      <c r="A2300" s="834" t="s">
        <v>14776</v>
      </c>
      <c r="B2300" s="1043" t="s">
        <v>295</v>
      </c>
      <c r="C2300" s="1035" t="s">
        <v>14788</v>
      </c>
      <c r="D2300" s="1039"/>
      <c r="E2300" s="1015"/>
      <c r="F2300" s="1043" t="s">
        <v>14844</v>
      </c>
      <c r="G2300" s="1040" t="s">
        <v>507</v>
      </c>
      <c r="H2300" s="1043">
        <v>30.7</v>
      </c>
      <c r="I2300" s="1039">
        <v>1977</v>
      </c>
      <c r="J2300" s="437">
        <v>1039612.64</v>
      </c>
      <c r="K2300" s="437">
        <v>661360.89</v>
      </c>
    </row>
    <row r="2301" spans="1:11" ht="38.25" x14ac:dyDescent="0.2">
      <c r="A2301" s="834" t="s">
        <v>14832</v>
      </c>
      <c r="B2301" s="1043" t="s">
        <v>295</v>
      </c>
      <c r="C2301" s="1035" t="s">
        <v>14954</v>
      </c>
      <c r="D2301" s="1039"/>
      <c r="E2301" s="1015"/>
      <c r="F2301" s="1043" t="s">
        <v>14833</v>
      </c>
      <c r="G2301" s="1040" t="s">
        <v>137</v>
      </c>
      <c r="H2301" s="1043">
        <v>30.3</v>
      </c>
      <c r="I2301" s="1039">
        <v>1963</v>
      </c>
      <c r="J2301" s="437">
        <v>1135280.3999999999</v>
      </c>
      <c r="K2301" s="437">
        <v>357831.79</v>
      </c>
    </row>
    <row r="2302" spans="1:11" ht="25.5" x14ac:dyDescent="0.2">
      <c r="A2302" s="834" t="s">
        <v>14841</v>
      </c>
      <c r="B2302" s="1043" t="s">
        <v>295</v>
      </c>
      <c r="C2302" s="1035" t="s">
        <v>14842</v>
      </c>
      <c r="D2302" s="350"/>
      <c r="F2302" s="1043" t="s">
        <v>14843</v>
      </c>
      <c r="G2302" s="837" t="s">
        <v>512</v>
      </c>
      <c r="H2302" s="1043">
        <v>53.3</v>
      </c>
      <c r="I2302" s="1039">
        <v>1989</v>
      </c>
      <c r="J2302" s="437">
        <v>7100597</v>
      </c>
      <c r="K2302" s="437">
        <v>718769.69</v>
      </c>
    </row>
    <row r="2303" spans="1:11" ht="25.5" x14ac:dyDescent="0.2">
      <c r="A2303" s="834" t="s">
        <v>14777</v>
      </c>
      <c r="B2303" s="1043" t="s">
        <v>295</v>
      </c>
      <c r="C2303" s="1035" t="s">
        <v>14955</v>
      </c>
      <c r="D2303" s="350"/>
      <c r="F2303" s="1043" t="s">
        <v>14881</v>
      </c>
      <c r="G2303" s="837" t="s">
        <v>127</v>
      </c>
      <c r="H2303" s="1043">
        <v>65.5</v>
      </c>
      <c r="I2303" s="1039">
        <v>1995</v>
      </c>
      <c r="J2303" s="437">
        <v>8377712</v>
      </c>
      <c r="K2303" s="437">
        <v>1685416.52</v>
      </c>
    </row>
    <row r="2304" spans="1:11" ht="25.5" x14ac:dyDescent="0.2">
      <c r="A2304" s="834" t="s">
        <v>14778</v>
      </c>
      <c r="B2304" s="420" t="s">
        <v>295</v>
      </c>
      <c r="C2304" s="1035" t="s">
        <v>14956</v>
      </c>
      <c r="D2304" s="1039"/>
      <c r="E2304" s="1015"/>
      <c r="F2304" s="1043" t="s">
        <v>14824</v>
      </c>
      <c r="G2304" s="1040" t="s">
        <v>127</v>
      </c>
      <c r="H2304" s="1043">
        <v>61.8</v>
      </c>
      <c r="I2304" s="1039">
        <v>2008</v>
      </c>
      <c r="J2304" s="437">
        <v>8072972</v>
      </c>
      <c r="K2304" s="437">
        <v>1405301.72</v>
      </c>
    </row>
    <row r="2305" spans="1:11" ht="38.25" x14ac:dyDescent="0.2">
      <c r="A2305" s="834" t="s">
        <v>14845</v>
      </c>
      <c r="B2305" s="420" t="s">
        <v>295</v>
      </c>
      <c r="C2305" s="1036" t="s">
        <v>14846</v>
      </c>
      <c r="D2305" s="1039"/>
      <c r="E2305" s="1015"/>
      <c r="F2305" s="1043" t="s">
        <v>14847</v>
      </c>
      <c r="G2305" s="837" t="s">
        <v>512</v>
      </c>
      <c r="H2305" s="498">
        <v>42</v>
      </c>
      <c r="I2305" s="1039">
        <v>2008</v>
      </c>
      <c r="J2305" s="437">
        <v>5944596</v>
      </c>
      <c r="K2305" s="437">
        <v>963249</v>
      </c>
    </row>
    <row r="2306" spans="1:11" ht="38.25" x14ac:dyDescent="0.2">
      <c r="A2306" s="834" t="s">
        <v>14779</v>
      </c>
      <c r="B2306" s="420" t="s">
        <v>295</v>
      </c>
      <c r="C2306" s="1036" t="s">
        <v>14957</v>
      </c>
      <c r="D2306" s="1039"/>
      <c r="E2306" s="1015"/>
      <c r="F2306" s="1043" t="s">
        <v>14830</v>
      </c>
      <c r="G2306" s="837" t="s">
        <v>512</v>
      </c>
      <c r="H2306" s="498">
        <v>25.3</v>
      </c>
      <c r="I2306" s="1039">
        <v>2008</v>
      </c>
      <c r="J2306" s="437">
        <v>1224267</v>
      </c>
      <c r="K2306" s="437">
        <v>535731.30000000005</v>
      </c>
    </row>
    <row r="2307" spans="1:11" ht="25.5" x14ac:dyDescent="0.2">
      <c r="A2307" s="834" t="s">
        <v>14780</v>
      </c>
      <c r="B2307" s="1043" t="s">
        <v>295</v>
      </c>
      <c r="C2307" s="1036" t="s">
        <v>14958</v>
      </c>
      <c r="D2307" s="1039"/>
      <c r="E2307" s="1015"/>
      <c r="F2307" s="1043" t="s">
        <v>14306</v>
      </c>
      <c r="G2307" s="1040" t="s">
        <v>137</v>
      </c>
      <c r="H2307" s="1043">
        <v>55.1</v>
      </c>
      <c r="I2307" s="1039">
        <v>2012</v>
      </c>
      <c r="J2307" s="437">
        <v>7775024.4000000004</v>
      </c>
      <c r="K2307" s="437">
        <v>2285793.75</v>
      </c>
    </row>
    <row r="2308" spans="1:11" ht="51" x14ac:dyDescent="0.2">
      <c r="A2308" s="834" t="s">
        <v>14869</v>
      </c>
      <c r="B2308" s="1043" t="s">
        <v>295</v>
      </c>
      <c r="C2308" s="1036" t="s">
        <v>14870</v>
      </c>
      <c r="D2308" s="1039"/>
      <c r="E2308" s="1015"/>
      <c r="F2308" s="1043" t="s">
        <v>14871</v>
      </c>
      <c r="G2308" s="1040" t="s">
        <v>137</v>
      </c>
      <c r="H2308" s="1043">
        <v>44.4</v>
      </c>
      <c r="I2308" s="1039">
        <v>2012</v>
      </c>
      <c r="J2308" s="231">
        <v>6204623.04</v>
      </c>
      <c r="K2308" s="231">
        <v>1700872.54</v>
      </c>
    </row>
    <row r="2309" spans="1:11" ht="25.5" x14ac:dyDescent="0.2">
      <c r="A2309" s="834" t="s">
        <v>14781</v>
      </c>
      <c r="B2309" s="420" t="s">
        <v>295</v>
      </c>
      <c r="C2309" s="1036" t="s">
        <v>14959</v>
      </c>
      <c r="D2309" s="1039"/>
      <c r="E2309" s="1015"/>
      <c r="F2309" s="1043" t="s">
        <v>14889</v>
      </c>
      <c r="G2309" s="837" t="s">
        <v>127</v>
      </c>
      <c r="H2309" s="498">
        <v>44.9</v>
      </c>
      <c r="I2309" s="1039">
        <v>2014</v>
      </c>
      <c r="J2309" s="437">
        <v>6355056.2000000002</v>
      </c>
      <c r="K2309" s="437">
        <v>1857081.51</v>
      </c>
    </row>
    <row r="2310" spans="1:11" ht="51" x14ac:dyDescent="0.2">
      <c r="A2310" s="834" t="s">
        <v>14782</v>
      </c>
      <c r="B2310" s="1043" t="s">
        <v>295</v>
      </c>
      <c r="C2310" s="1036" t="s">
        <v>14789</v>
      </c>
      <c r="D2310" s="1039"/>
      <c r="E2310" s="1015"/>
      <c r="F2310" s="1043" t="s">
        <v>14888</v>
      </c>
      <c r="G2310" s="1040" t="s">
        <v>137</v>
      </c>
      <c r="H2310" s="1043">
        <f>52.7-52.7</f>
        <v>0</v>
      </c>
      <c r="I2310" s="1039">
        <v>2017</v>
      </c>
      <c r="J2310" s="437">
        <f>6867600.5-6867600.5</f>
        <v>0</v>
      </c>
      <c r="K2310" s="437">
        <f>2319341.23-2319341.23</f>
        <v>0</v>
      </c>
    </row>
    <row r="2311" spans="1:11" ht="63.75" x14ac:dyDescent="0.2">
      <c r="A2311" s="834" t="s">
        <v>14783</v>
      </c>
      <c r="B2311" s="1043" t="s">
        <v>308</v>
      </c>
      <c r="C2311" s="1043" t="s">
        <v>14790</v>
      </c>
      <c r="D2311" s="1039"/>
      <c r="E2311" s="1015"/>
      <c r="F2311" s="1043" t="s">
        <v>10344</v>
      </c>
      <c r="G2311" s="1040" t="s">
        <v>137</v>
      </c>
      <c r="H2311" s="1043">
        <v>36.700000000000003</v>
      </c>
      <c r="I2311" s="1039">
        <v>2017</v>
      </c>
      <c r="J2311" s="437">
        <v>1236444</v>
      </c>
      <c r="K2311" s="437">
        <v>1581173.26</v>
      </c>
    </row>
    <row r="2312" spans="1:11" ht="38.25" x14ac:dyDescent="0.2">
      <c r="A2312" s="834" t="s">
        <v>14791</v>
      </c>
      <c r="B2312" s="1043" t="s">
        <v>308</v>
      </c>
      <c r="C2312" s="1035" t="s">
        <v>14960</v>
      </c>
      <c r="D2312" s="1039"/>
      <c r="E2312" s="1015"/>
      <c r="F2312" s="420" t="s">
        <v>14809</v>
      </c>
      <c r="G2312" s="837" t="s">
        <v>137</v>
      </c>
      <c r="H2312" s="837">
        <v>32.6</v>
      </c>
      <c r="I2312" s="1049">
        <v>1959</v>
      </c>
      <c r="J2312" s="837">
        <v>3813000</v>
      </c>
      <c r="K2312" s="437">
        <v>133213.38</v>
      </c>
    </row>
    <row r="2313" spans="1:11" ht="38.25" x14ac:dyDescent="0.2">
      <c r="A2313" s="834" t="s">
        <v>14792</v>
      </c>
      <c r="B2313" s="1043" t="s">
        <v>308</v>
      </c>
      <c r="C2313" s="1035" t="s">
        <v>14801</v>
      </c>
      <c r="D2313" s="1039"/>
      <c r="E2313" s="1015"/>
      <c r="F2313" s="1043" t="s">
        <v>14810</v>
      </c>
      <c r="G2313" s="837" t="s">
        <v>137</v>
      </c>
      <c r="H2313" s="837">
        <v>47.3</v>
      </c>
      <c r="I2313" s="1049">
        <v>1942</v>
      </c>
      <c r="J2313" s="837">
        <v>5062000</v>
      </c>
      <c r="K2313" s="1050">
        <v>154378.21</v>
      </c>
    </row>
    <row r="2314" spans="1:11" ht="38.25" x14ac:dyDescent="0.2">
      <c r="A2314" s="834" t="s">
        <v>14793</v>
      </c>
      <c r="B2314" s="1043" t="s">
        <v>308</v>
      </c>
      <c r="C2314" s="1035" t="s">
        <v>14802</v>
      </c>
      <c r="D2314" s="1039"/>
      <c r="E2314" s="1015"/>
      <c r="F2314" s="1040" t="s">
        <v>14811</v>
      </c>
      <c r="G2314" s="837" t="s">
        <v>512</v>
      </c>
      <c r="H2314" s="837">
        <v>49.1</v>
      </c>
      <c r="I2314" s="1049">
        <v>1950</v>
      </c>
      <c r="J2314" s="837">
        <v>5882000</v>
      </c>
      <c r="K2314" s="437">
        <v>332444.40999999997</v>
      </c>
    </row>
    <row r="2315" spans="1:11" ht="38.25" x14ac:dyDescent="0.2">
      <c r="A2315" s="834" t="s">
        <v>14769</v>
      </c>
      <c r="B2315" s="1043" t="s">
        <v>14883</v>
      </c>
      <c r="C2315" s="1035" t="s">
        <v>14882</v>
      </c>
      <c r="D2315" s="1039"/>
      <c r="E2315" s="1015"/>
      <c r="F2315" s="1040" t="s">
        <v>14890</v>
      </c>
      <c r="G2315" s="837" t="s">
        <v>137</v>
      </c>
      <c r="H2315" s="837">
        <v>12.6</v>
      </c>
      <c r="I2315" s="1049">
        <v>1950</v>
      </c>
      <c r="J2315" s="837">
        <v>1846264</v>
      </c>
      <c r="K2315" s="437">
        <v>41124.01</v>
      </c>
    </row>
    <row r="2316" spans="1:11" ht="38.25" x14ac:dyDescent="0.2">
      <c r="A2316" s="834" t="s">
        <v>14794</v>
      </c>
      <c r="B2316" s="1043" t="s">
        <v>308</v>
      </c>
      <c r="C2316" s="1035" t="s">
        <v>14803</v>
      </c>
      <c r="D2316" s="1039"/>
      <c r="E2316" s="1015"/>
      <c r="F2316" s="1043" t="s">
        <v>14812</v>
      </c>
      <c r="G2316" s="837" t="s">
        <v>512</v>
      </c>
      <c r="H2316" s="837">
        <v>55.4</v>
      </c>
      <c r="I2316" s="1049">
        <v>1950</v>
      </c>
      <c r="J2316" s="837">
        <v>7221000</v>
      </c>
      <c r="K2316" s="437">
        <v>180815.07</v>
      </c>
    </row>
    <row r="2317" spans="1:11" ht="76.5" x14ac:dyDescent="0.2">
      <c r="A2317" s="834" t="s">
        <v>14795</v>
      </c>
      <c r="B2317" s="1043" t="s">
        <v>308</v>
      </c>
      <c r="C2317" s="1035" t="s">
        <v>14804</v>
      </c>
      <c r="D2317" s="1039"/>
      <c r="E2317" s="1015"/>
      <c r="F2317" s="1043" t="s">
        <v>14813</v>
      </c>
      <c r="G2317" s="837" t="s">
        <v>137</v>
      </c>
      <c r="H2317" s="837">
        <v>54.2</v>
      </c>
      <c r="I2317" s="1049">
        <v>1949</v>
      </c>
      <c r="J2317" s="837">
        <v>7004818</v>
      </c>
      <c r="K2317" s="437">
        <v>370750.76</v>
      </c>
    </row>
    <row r="2318" spans="1:11" ht="38.25" x14ac:dyDescent="0.2">
      <c r="A2318" s="834" t="s">
        <v>14796</v>
      </c>
      <c r="B2318" s="1043" t="s">
        <v>308</v>
      </c>
      <c r="C2318" s="1035" t="s">
        <v>14805</v>
      </c>
      <c r="D2318" s="1039"/>
      <c r="E2318" s="1015"/>
      <c r="F2318" s="1043" t="s">
        <v>14814</v>
      </c>
      <c r="G2318" s="837"/>
      <c r="H2318" s="837">
        <v>43</v>
      </c>
      <c r="I2318" s="1049">
        <v>1951</v>
      </c>
      <c r="J2318" s="837">
        <v>5760000</v>
      </c>
      <c r="K2318" s="437">
        <v>144138.57999999999</v>
      </c>
    </row>
    <row r="2319" spans="1:11" ht="38.25" x14ac:dyDescent="0.2">
      <c r="A2319" s="834" t="s">
        <v>14797</v>
      </c>
      <c r="B2319" s="1043" t="s">
        <v>308</v>
      </c>
      <c r="C2319" s="1035" t="s">
        <v>14806</v>
      </c>
      <c r="D2319" s="1039"/>
      <c r="E2319" s="1015"/>
      <c r="F2319" s="1043" t="s">
        <v>14815</v>
      </c>
      <c r="G2319" s="837" t="s">
        <v>137</v>
      </c>
      <c r="H2319" s="837">
        <v>86.8</v>
      </c>
      <c r="I2319" s="1049">
        <v>1953</v>
      </c>
      <c r="J2319" s="837">
        <v>11275702</v>
      </c>
      <c r="K2319" s="837">
        <v>561543.03</v>
      </c>
    </row>
    <row r="2320" spans="1:11" ht="38.25" x14ac:dyDescent="0.2">
      <c r="A2320" s="834" t="s">
        <v>14798</v>
      </c>
      <c r="B2320" s="1043" t="s">
        <v>308</v>
      </c>
      <c r="C2320" s="1035" t="s">
        <v>14961</v>
      </c>
      <c r="D2320" s="1039"/>
      <c r="E2320" s="1015"/>
      <c r="F2320" s="1043" t="s">
        <v>14816</v>
      </c>
      <c r="G2320" s="837" t="s">
        <v>512</v>
      </c>
      <c r="H2320" s="837">
        <v>44.2</v>
      </c>
      <c r="I2320" s="1049">
        <v>1951</v>
      </c>
      <c r="J2320" s="837">
        <v>2286006</v>
      </c>
      <c r="K2320" s="437">
        <v>382276.96</v>
      </c>
    </row>
    <row r="2321" spans="1:11" ht="38.25" x14ac:dyDescent="0.2">
      <c r="A2321" s="411" t="s">
        <v>14799</v>
      </c>
      <c r="B2321" s="1043" t="s">
        <v>308</v>
      </c>
      <c r="C2321" s="1034" t="s">
        <v>14807</v>
      </c>
      <c r="D2321" s="411"/>
      <c r="E2321" s="1043"/>
      <c r="F2321" s="1034" t="s">
        <v>14817</v>
      </c>
      <c r="G2321" s="411" t="s">
        <v>137</v>
      </c>
      <c r="H2321" s="1043">
        <v>18</v>
      </c>
      <c r="I2321" s="1034">
        <v>1958</v>
      </c>
      <c r="J2321" s="411">
        <v>641538</v>
      </c>
      <c r="K2321" s="1043">
        <v>189351.72</v>
      </c>
    </row>
    <row r="2322" spans="1:11" ht="76.5" x14ac:dyDescent="0.2">
      <c r="A2322" s="411" t="s">
        <v>14800</v>
      </c>
      <c r="B2322" s="1043" t="s">
        <v>308</v>
      </c>
      <c r="C2322" s="1034" t="s">
        <v>14808</v>
      </c>
      <c r="D2322" s="1039"/>
      <c r="E2322" s="1015"/>
      <c r="F2322" s="420" t="s">
        <v>14818</v>
      </c>
      <c r="G2322" s="837" t="s">
        <v>512</v>
      </c>
      <c r="H2322" s="837">
        <v>48.1</v>
      </c>
      <c r="I2322" s="420">
        <v>2016</v>
      </c>
      <c r="J2322" s="837">
        <v>5826208.7000000002</v>
      </c>
      <c r="K2322" s="437">
        <v>2288344.5099999998</v>
      </c>
    </row>
    <row r="2323" spans="1:11" ht="38.25" x14ac:dyDescent="0.2">
      <c r="A2323" s="834" t="s">
        <v>14821</v>
      </c>
      <c r="B2323" s="420" t="s">
        <v>308</v>
      </c>
      <c r="C2323" s="1036" t="s">
        <v>14962</v>
      </c>
      <c r="D2323" s="1039"/>
      <c r="E2323" s="1015"/>
      <c r="F2323" s="1043" t="s">
        <v>14831</v>
      </c>
      <c r="G2323" s="837" t="s">
        <v>128</v>
      </c>
      <c r="H2323" s="498">
        <v>30.6</v>
      </c>
      <c r="I2323" s="1039">
        <v>1995</v>
      </c>
      <c r="J2323" s="437">
        <v>1335564</v>
      </c>
      <c r="K2323" s="437">
        <v>552659.56000000006</v>
      </c>
    </row>
    <row r="2324" spans="1:11" ht="38.25" x14ac:dyDescent="0.2">
      <c r="A2324" s="411" t="s">
        <v>14822</v>
      </c>
      <c r="B2324" s="1043" t="s">
        <v>308</v>
      </c>
      <c r="C2324" s="1034" t="s">
        <v>14963</v>
      </c>
      <c r="D2324" s="411"/>
      <c r="E2324" s="1043"/>
      <c r="F2324" s="1034" t="s">
        <v>14823</v>
      </c>
      <c r="G2324" s="837" t="s">
        <v>137</v>
      </c>
      <c r="H2324" s="837">
        <v>44.3</v>
      </c>
      <c r="I2324" s="420">
        <v>1995</v>
      </c>
      <c r="J2324" s="837">
        <v>2143677</v>
      </c>
      <c r="K2324" s="837">
        <v>800092.11</v>
      </c>
    </row>
    <row r="2325" spans="1:11" ht="38.25" x14ac:dyDescent="0.2">
      <c r="A2325" s="834" t="s">
        <v>14834</v>
      </c>
      <c r="B2325" s="420" t="s">
        <v>308</v>
      </c>
      <c r="C2325" s="1036" t="s">
        <v>14835</v>
      </c>
      <c r="D2325" s="1039"/>
      <c r="E2325" s="1015"/>
      <c r="F2325" s="1043" t="s">
        <v>14836</v>
      </c>
      <c r="G2325" s="837" t="s">
        <v>128</v>
      </c>
      <c r="H2325" s="498">
        <v>44.5</v>
      </c>
      <c r="I2325" s="1039">
        <v>2011</v>
      </c>
      <c r="J2325" s="437">
        <v>6298441</v>
      </c>
      <c r="K2325" s="437">
        <v>2030664.05</v>
      </c>
    </row>
    <row r="2326" spans="1:11" ht="38.25" x14ac:dyDescent="0.2">
      <c r="A2326" s="834" t="s">
        <v>10911</v>
      </c>
      <c r="B2326" s="420" t="s">
        <v>308</v>
      </c>
      <c r="C2326" s="1036" t="s">
        <v>14892</v>
      </c>
      <c r="D2326" s="1039"/>
      <c r="E2326" s="1015"/>
      <c r="F2326" s="1043" t="s">
        <v>14893</v>
      </c>
      <c r="G2326" s="837" t="s">
        <v>127</v>
      </c>
      <c r="H2326" s="498">
        <v>28.9</v>
      </c>
      <c r="I2326" s="1039">
        <v>1978</v>
      </c>
      <c r="J2326" s="437">
        <v>1102498.3600000001</v>
      </c>
      <c r="K2326" s="437">
        <v>384003.59</v>
      </c>
    </row>
    <row r="2327" spans="1:11" ht="38.25" x14ac:dyDescent="0.2">
      <c r="A2327" s="834" t="s">
        <v>14894</v>
      </c>
      <c r="B2327" s="420" t="s">
        <v>308</v>
      </c>
      <c r="C2327" s="1036" t="s">
        <v>14895</v>
      </c>
      <c r="D2327" s="1039"/>
      <c r="E2327" s="1015"/>
      <c r="F2327" s="1043" t="s">
        <v>14896</v>
      </c>
      <c r="G2327" s="837" t="s">
        <v>128</v>
      </c>
      <c r="H2327" s="498">
        <v>43.5</v>
      </c>
      <c r="I2327" s="1039">
        <v>1965</v>
      </c>
      <c r="J2327" s="437">
        <v>1397753.11</v>
      </c>
      <c r="K2327" s="437">
        <v>530290.67000000004</v>
      </c>
    </row>
    <row r="2328" spans="1:11" ht="38.25" x14ac:dyDescent="0.2">
      <c r="A2328" s="834" t="s">
        <v>14897</v>
      </c>
      <c r="B2328" s="420" t="s">
        <v>308</v>
      </c>
      <c r="C2328" s="1036" t="s">
        <v>14898</v>
      </c>
      <c r="D2328" s="1039"/>
      <c r="E2328" s="1015"/>
      <c r="F2328" s="1043" t="s">
        <v>14899</v>
      </c>
      <c r="G2328" s="837" t="s">
        <v>507</v>
      </c>
      <c r="H2328" s="498">
        <v>31.5</v>
      </c>
      <c r="I2328" s="1039">
        <v>1965</v>
      </c>
      <c r="J2328" s="437">
        <v>1336666.6000000001</v>
      </c>
      <c r="K2328" s="437">
        <v>384003.59</v>
      </c>
    </row>
    <row r="2329" spans="1:11" ht="38.25" x14ac:dyDescent="0.2">
      <c r="A2329" s="834" t="s">
        <v>14964</v>
      </c>
      <c r="B2329" s="1043" t="s">
        <v>308</v>
      </c>
      <c r="C2329" s="1036" t="s">
        <v>14900</v>
      </c>
      <c r="D2329" s="1039"/>
      <c r="E2329" s="1015"/>
      <c r="F2329" s="1043" t="s">
        <v>14901</v>
      </c>
      <c r="G2329" s="837" t="s">
        <v>137</v>
      </c>
      <c r="H2329" s="498">
        <v>34.700000000000003</v>
      </c>
      <c r="I2329" s="1039">
        <v>1979</v>
      </c>
      <c r="J2329" s="437">
        <v>1082259.46</v>
      </c>
      <c r="K2329" s="437">
        <v>455920.87</v>
      </c>
    </row>
    <row r="2330" spans="1:11" ht="38.25" x14ac:dyDescent="0.2">
      <c r="A2330" s="834" t="s">
        <v>14758</v>
      </c>
      <c r="B2330" s="1139" t="s">
        <v>308</v>
      </c>
      <c r="C2330" s="1137" t="s">
        <v>14965</v>
      </c>
      <c r="D2330" s="350"/>
      <c r="E2330" s="333"/>
      <c r="F2330" s="1139" t="s">
        <v>14976</v>
      </c>
      <c r="G2330" s="837" t="s">
        <v>128</v>
      </c>
      <c r="H2330" s="498">
        <v>46</v>
      </c>
      <c r="I2330" s="1138">
        <v>1975</v>
      </c>
      <c r="J2330" s="437"/>
      <c r="K2330" s="437">
        <v>963437.34</v>
      </c>
    </row>
    <row r="2331" spans="1:11" ht="38.25" x14ac:dyDescent="0.2">
      <c r="A2331" s="834" t="s">
        <v>14966</v>
      </c>
      <c r="B2331" s="1139" t="s">
        <v>308</v>
      </c>
      <c r="C2331" s="1137" t="s">
        <v>14967</v>
      </c>
      <c r="D2331" s="350"/>
      <c r="E2331" s="333"/>
      <c r="F2331" s="1139" t="s">
        <v>14977</v>
      </c>
      <c r="G2331" s="837" t="s">
        <v>512</v>
      </c>
      <c r="H2331" s="498">
        <v>46.9</v>
      </c>
      <c r="I2331" s="1138">
        <v>1975</v>
      </c>
      <c r="J2331" s="437"/>
      <c r="K2331" s="437">
        <v>982287.2</v>
      </c>
    </row>
    <row r="2332" spans="1:11" ht="38.25" x14ac:dyDescent="0.2">
      <c r="A2332" s="834" t="s">
        <v>14917</v>
      </c>
      <c r="B2332" s="1139" t="s">
        <v>308</v>
      </c>
      <c r="C2332" s="1137" t="s">
        <v>14918</v>
      </c>
      <c r="D2332" s="350"/>
      <c r="E2332" s="333"/>
      <c r="F2332" s="1139" t="s">
        <v>14934</v>
      </c>
      <c r="G2332" s="837" t="s">
        <v>512</v>
      </c>
      <c r="H2332" s="498">
        <v>46</v>
      </c>
      <c r="I2332" s="1138">
        <v>1978</v>
      </c>
      <c r="J2332" s="437"/>
      <c r="K2332" s="437">
        <v>887619.68</v>
      </c>
    </row>
    <row r="2333" spans="1:11" ht="38.25" x14ac:dyDescent="0.2">
      <c r="A2333" s="834" t="s">
        <v>14919</v>
      </c>
      <c r="B2333" s="1139" t="s">
        <v>308</v>
      </c>
      <c r="C2333" s="1137" t="s">
        <v>14920</v>
      </c>
      <c r="D2333" s="350"/>
      <c r="E2333" s="333"/>
      <c r="F2333" s="1139" t="s">
        <v>14935</v>
      </c>
      <c r="G2333" s="837" t="s">
        <v>128</v>
      </c>
      <c r="H2333" s="498">
        <v>51.6</v>
      </c>
      <c r="I2333" s="1138">
        <v>1982</v>
      </c>
      <c r="J2333" s="437"/>
      <c r="K2333" s="437">
        <v>1066690.1599999999</v>
      </c>
    </row>
    <row r="2334" spans="1:11" ht="38.25" x14ac:dyDescent="0.2">
      <c r="A2334" s="834" t="s">
        <v>15051</v>
      </c>
      <c r="B2334" s="1139" t="s">
        <v>308</v>
      </c>
      <c r="C2334" s="1137" t="s">
        <v>15052</v>
      </c>
      <c r="D2334" s="350"/>
      <c r="E2334" s="333"/>
      <c r="F2334" s="1139" t="s">
        <v>15053</v>
      </c>
      <c r="G2334" s="837" t="s">
        <v>507</v>
      </c>
      <c r="H2334" s="498">
        <v>40</v>
      </c>
      <c r="I2334" s="1138">
        <v>2006</v>
      </c>
      <c r="J2334" s="437">
        <v>6416200</v>
      </c>
      <c r="K2334" s="437">
        <v>991548.8</v>
      </c>
    </row>
    <row r="2335" spans="1:11" ht="38.25" x14ac:dyDescent="0.2">
      <c r="A2335" s="834" t="s">
        <v>14921</v>
      </c>
      <c r="B2335" s="1139" t="s">
        <v>308</v>
      </c>
      <c r="C2335" s="1137" t="s">
        <v>14922</v>
      </c>
      <c r="D2335" s="350"/>
      <c r="E2335" s="333"/>
      <c r="F2335" s="1139" t="s">
        <v>14936</v>
      </c>
      <c r="G2335" s="837" t="s">
        <v>128</v>
      </c>
      <c r="H2335" s="498">
        <v>50.8</v>
      </c>
      <c r="I2335" s="1138">
        <v>1984</v>
      </c>
      <c r="J2335" s="437"/>
      <c r="K2335" s="437">
        <v>1155167.1100000001</v>
      </c>
    </row>
    <row r="2336" spans="1:11" ht="51" x14ac:dyDescent="0.2">
      <c r="A2336" s="834" t="s">
        <v>14923</v>
      </c>
      <c r="B2336" s="1139" t="s">
        <v>308</v>
      </c>
      <c r="C2336" s="1137" t="s">
        <v>14924</v>
      </c>
      <c r="D2336" s="350"/>
      <c r="E2336" s="333"/>
      <c r="F2336" s="1139" t="s">
        <v>14937</v>
      </c>
      <c r="G2336" s="837"/>
      <c r="H2336" s="498">
        <v>47.6</v>
      </c>
      <c r="I2336" s="1138">
        <v>1986</v>
      </c>
      <c r="J2336" s="437"/>
      <c r="K2336" s="437">
        <v>1110884.99</v>
      </c>
    </row>
    <row r="2337" spans="1:11" ht="25.5" x14ac:dyDescent="0.2">
      <c r="A2337" s="834" t="s">
        <v>14968</v>
      </c>
      <c r="B2337" s="1139" t="s">
        <v>308</v>
      </c>
      <c r="C2337" s="1137" t="s">
        <v>15386</v>
      </c>
      <c r="D2337" s="350"/>
      <c r="E2337" s="333"/>
      <c r="F2337" s="1139" t="s">
        <v>14978</v>
      </c>
      <c r="G2337" s="837" t="s">
        <v>127</v>
      </c>
      <c r="H2337" s="498">
        <v>35.6</v>
      </c>
      <c r="I2337" s="1138">
        <v>1991</v>
      </c>
      <c r="J2337" s="437"/>
      <c r="K2337" s="437">
        <v>823525.19</v>
      </c>
    </row>
    <row r="2338" spans="1:11" ht="25.5" x14ac:dyDescent="0.2">
      <c r="A2338" s="834" t="s">
        <v>14969</v>
      </c>
      <c r="B2338" s="1139" t="s">
        <v>308</v>
      </c>
      <c r="C2338" s="1137" t="s">
        <v>14970</v>
      </c>
      <c r="D2338" s="350"/>
      <c r="E2338" s="333"/>
      <c r="F2338" s="1139" t="s">
        <v>14979</v>
      </c>
      <c r="G2338" s="837" t="s">
        <v>2600</v>
      </c>
      <c r="H2338" s="498">
        <f>56.4-56.4</f>
        <v>0</v>
      </c>
      <c r="I2338" s="1138">
        <v>1987</v>
      </c>
      <c r="J2338" s="437"/>
      <c r="K2338" s="437"/>
    </row>
    <row r="2339" spans="1:11" ht="51" x14ac:dyDescent="0.2">
      <c r="A2339" s="834" t="s">
        <v>14926</v>
      </c>
      <c r="B2339" s="1139" t="s">
        <v>308</v>
      </c>
      <c r="C2339" s="1137" t="s">
        <v>14925</v>
      </c>
      <c r="D2339" s="1534"/>
      <c r="E2339" s="333"/>
      <c r="F2339" s="1139" t="s">
        <v>14938</v>
      </c>
      <c r="G2339" s="837" t="s">
        <v>507</v>
      </c>
      <c r="H2339" s="498">
        <v>58</v>
      </c>
      <c r="I2339" s="1138">
        <v>1989</v>
      </c>
      <c r="J2339" s="437"/>
      <c r="K2339" s="437">
        <v>1388307.14</v>
      </c>
    </row>
    <row r="2340" spans="1:11" ht="38.25" x14ac:dyDescent="0.2">
      <c r="A2340" s="834" t="s">
        <v>14988</v>
      </c>
      <c r="B2340" s="1139" t="s">
        <v>308</v>
      </c>
      <c r="C2340" s="1137" t="s">
        <v>14927</v>
      </c>
      <c r="D2340" s="1534"/>
      <c r="E2340" s="333"/>
      <c r="F2340" s="1139" t="s">
        <v>14939</v>
      </c>
      <c r="G2340" s="837" t="s">
        <v>127</v>
      </c>
      <c r="H2340" s="498">
        <v>50.5</v>
      </c>
      <c r="I2340" s="1138">
        <v>1989</v>
      </c>
      <c r="J2340" s="437"/>
      <c r="K2340" s="437">
        <v>1208784.67</v>
      </c>
    </row>
    <row r="2341" spans="1:11" ht="38.25" x14ac:dyDescent="0.2">
      <c r="A2341" s="834" t="s">
        <v>14928</v>
      </c>
      <c r="B2341" s="1139" t="s">
        <v>308</v>
      </c>
      <c r="C2341" s="1137" t="s">
        <v>14929</v>
      </c>
      <c r="D2341" s="350"/>
      <c r="E2341" s="333"/>
      <c r="F2341" s="1139" t="s">
        <v>14940</v>
      </c>
      <c r="G2341" s="837" t="s">
        <v>507</v>
      </c>
      <c r="H2341" s="498">
        <v>49.8</v>
      </c>
      <c r="I2341" s="1138">
        <v>1994</v>
      </c>
      <c r="J2341" s="437"/>
      <c r="K2341" s="437">
        <v>1179602.6399999999</v>
      </c>
    </row>
    <row r="2342" spans="1:11" ht="38.25" x14ac:dyDescent="0.2">
      <c r="A2342" s="834" t="s">
        <v>14971</v>
      </c>
      <c r="B2342" s="1139" t="s">
        <v>308</v>
      </c>
      <c r="C2342" s="1137" t="s">
        <v>14972</v>
      </c>
      <c r="D2342" s="350"/>
      <c r="E2342" s="333"/>
      <c r="F2342" s="1139" t="s">
        <v>14980</v>
      </c>
      <c r="G2342" s="837" t="s">
        <v>128</v>
      </c>
      <c r="H2342" s="498">
        <v>42</v>
      </c>
      <c r="I2342" s="1138">
        <v>1966</v>
      </c>
      <c r="J2342" s="437"/>
      <c r="K2342" s="437">
        <v>592816.54</v>
      </c>
    </row>
    <row r="2343" spans="1:11" ht="38.25" x14ac:dyDescent="0.2">
      <c r="A2343" s="834" t="s">
        <v>14973</v>
      </c>
      <c r="B2343" s="1139" t="s">
        <v>308</v>
      </c>
      <c r="C2343" s="1137" t="s">
        <v>14974</v>
      </c>
      <c r="D2343" s="431"/>
      <c r="E2343" s="333"/>
      <c r="F2343" s="1139" t="s">
        <v>10298</v>
      </c>
      <c r="G2343" s="837" t="s">
        <v>137</v>
      </c>
      <c r="H2343" s="498">
        <v>56.6</v>
      </c>
      <c r="I2343" s="1138">
        <v>1990</v>
      </c>
      <c r="J2343" s="437"/>
      <c r="K2343" s="437">
        <v>1514908.62</v>
      </c>
    </row>
    <row r="2344" spans="1:11" ht="63.75" x14ac:dyDescent="0.2">
      <c r="A2344" s="834" t="s">
        <v>14975</v>
      </c>
      <c r="B2344" s="1139" t="s">
        <v>308</v>
      </c>
      <c r="C2344" s="1137" t="s">
        <v>15387</v>
      </c>
      <c r="D2344" s="431"/>
      <c r="E2344" s="333"/>
      <c r="F2344" s="1139" t="s">
        <v>14981</v>
      </c>
      <c r="G2344" s="837" t="s">
        <v>14982</v>
      </c>
      <c r="H2344" s="498">
        <v>80.8</v>
      </c>
      <c r="I2344" s="1138">
        <v>2015</v>
      </c>
      <c r="J2344" s="437"/>
      <c r="K2344" s="437">
        <v>2486291.9500000002</v>
      </c>
    </row>
    <row r="2345" spans="1:11" ht="51" x14ac:dyDescent="0.2">
      <c r="A2345" s="834" t="s">
        <v>14930</v>
      </c>
      <c r="B2345" s="1139" t="s">
        <v>308</v>
      </c>
      <c r="C2345" s="1137" t="s">
        <v>14931</v>
      </c>
      <c r="D2345" s="431"/>
      <c r="E2345" s="333"/>
      <c r="F2345" s="1139" t="s">
        <v>14941</v>
      </c>
      <c r="G2345" s="837" t="s">
        <v>512</v>
      </c>
      <c r="H2345" s="498">
        <v>70.099999999999994</v>
      </c>
      <c r="I2345" s="1138">
        <v>1985</v>
      </c>
      <c r="J2345" s="437"/>
      <c r="K2345" s="437">
        <v>1784714.45</v>
      </c>
    </row>
    <row r="2346" spans="1:11" ht="38.25" x14ac:dyDescent="0.2">
      <c r="A2346" s="834" t="s">
        <v>14932</v>
      </c>
      <c r="B2346" s="1139" t="s">
        <v>308</v>
      </c>
      <c r="C2346" s="1139" t="s">
        <v>14933</v>
      </c>
      <c r="D2346" s="350"/>
      <c r="E2346" s="333"/>
      <c r="F2346" s="1139" t="s">
        <v>14942</v>
      </c>
      <c r="G2346" s="837" t="s">
        <v>137</v>
      </c>
      <c r="H2346" s="498">
        <v>59.7</v>
      </c>
      <c r="I2346" s="1138">
        <v>2011</v>
      </c>
      <c r="J2346" s="437"/>
      <c r="K2346" s="437">
        <v>2724284.13</v>
      </c>
    </row>
    <row r="2347" spans="1:11" ht="38.25" x14ac:dyDescent="0.2">
      <c r="A2347" s="834" t="s">
        <v>15004</v>
      </c>
      <c r="B2347" s="1139" t="s">
        <v>308</v>
      </c>
      <c r="C2347" s="1139" t="s">
        <v>15005</v>
      </c>
      <c r="D2347" s="834"/>
      <c r="E2347" s="333"/>
      <c r="F2347" s="1139" t="s">
        <v>15010</v>
      </c>
      <c r="G2347" s="837" t="s">
        <v>137</v>
      </c>
      <c r="H2347" s="498">
        <v>17.899999999999999</v>
      </c>
      <c r="I2347" s="1138">
        <v>1950</v>
      </c>
      <c r="J2347" s="437">
        <v>2410436</v>
      </c>
      <c r="K2347" s="437">
        <v>58422.2</v>
      </c>
    </row>
    <row r="2348" spans="1:11" ht="38.25" x14ac:dyDescent="0.2">
      <c r="A2348" s="834" t="s">
        <v>15006</v>
      </c>
      <c r="B2348" s="1139" t="s">
        <v>308</v>
      </c>
      <c r="C2348" s="1139" t="s">
        <v>15007</v>
      </c>
      <c r="D2348" s="834"/>
      <c r="E2348" s="333"/>
      <c r="F2348" s="1139" t="s">
        <v>15011</v>
      </c>
      <c r="G2348" s="837" t="s">
        <v>512</v>
      </c>
      <c r="H2348" s="498">
        <v>52.6</v>
      </c>
      <c r="I2348" s="1138">
        <v>1949</v>
      </c>
      <c r="J2348" s="437">
        <v>7708379</v>
      </c>
      <c r="K2348" s="437">
        <v>359806.09</v>
      </c>
    </row>
    <row r="2349" spans="1:11" ht="38.25" x14ac:dyDescent="0.2">
      <c r="A2349" s="834" t="s">
        <v>15008</v>
      </c>
      <c r="B2349" s="1139" t="s">
        <v>308</v>
      </c>
      <c r="C2349" s="1139" t="s">
        <v>15009</v>
      </c>
      <c r="D2349" s="834"/>
      <c r="E2349" s="333"/>
      <c r="F2349" s="1139" t="s">
        <v>15012</v>
      </c>
      <c r="G2349" s="837" t="s">
        <v>137</v>
      </c>
      <c r="H2349" s="498">
        <v>54.3</v>
      </c>
      <c r="I2349" s="1138">
        <v>1949</v>
      </c>
      <c r="J2349" s="437">
        <v>7871998</v>
      </c>
      <c r="K2349" s="437">
        <v>371434.81</v>
      </c>
    </row>
    <row r="2350" spans="1:11" ht="38.25" x14ac:dyDescent="0.2">
      <c r="A2350" s="834" t="s">
        <v>15013</v>
      </c>
      <c r="B2350" s="1139" t="s">
        <v>308</v>
      </c>
      <c r="C2350" s="1139" t="s">
        <v>15014</v>
      </c>
      <c r="D2350" s="834"/>
      <c r="E2350" s="333"/>
      <c r="F2350" s="1139" t="s">
        <v>15015</v>
      </c>
      <c r="G2350" s="837" t="s">
        <v>137</v>
      </c>
      <c r="H2350" s="498">
        <v>43.5</v>
      </c>
      <c r="I2350" s="1138">
        <v>1933</v>
      </c>
      <c r="J2350" s="437">
        <f>I2350</f>
        <v>1933</v>
      </c>
      <c r="K2350" s="437">
        <v>145721.51999999999</v>
      </c>
    </row>
    <row r="2351" spans="1:11" ht="38.25" x14ac:dyDescent="0.2">
      <c r="A2351" s="834" t="s">
        <v>15002</v>
      </c>
      <c r="B2351" s="1139" t="s">
        <v>308</v>
      </c>
      <c r="C2351" s="1139" t="s">
        <v>15003</v>
      </c>
      <c r="D2351" s="834"/>
      <c r="E2351" s="333"/>
      <c r="F2351" s="1139" t="s">
        <v>15050</v>
      </c>
      <c r="G2351" s="837" t="s">
        <v>512</v>
      </c>
      <c r="H2351" s="498">
        <v>84.1</v>
      </c>
      <c r="I2351" s="1138">
        <v>1959</v>
      </c>
      <c r="J2351" s="437">
        <v>12563447</v>
      </c>
      <c r="K2351" s="437">
        <v>641075.80000000005</v>
      </c>
    </row>
    <row r="2352" spans="1:11" ht="76.5" x14ac:dyDescent="0.2">
      <c r="A2352" s="834" t="s">
        <v>15016</v>
      </c>
      <c r="B2352" s="1139" t="s">
        <v>308</v>
      </c>
      <c r="C2352" s="1139" t="s">
        <v>15017</v>
      </c>
      <c r="D2352" s="834"/>
      <c r="E2352" s="333"/>
      <c r="F2352" s="1139" t="s">
        <v>15018</v>
      </c>
      <c r="G2352" s="837" t="s">
        <v>137</v>
      </c>
      <c r="H2352" s="498">
        <v>33.200000000000003</v>
      </c>
      <c r="I2352" s="1138">
        <v>2024</v>
      </c>
      <c r="J2352" s="437">
        <v>2866215</v>
      </c>
      <c r="K2352" s="437" t="s">
        <v>15049</v>
      </c>
    </row>
    <row r="2353" spans="1:11" ht="76.5" x14ac:dyDescent="0.2">
      <c r="A2353" s="834" t="s">
        <v>15019</v>
      </c>
      <c r="B2353" s="1139" t="s">
        <v>308</v>
      </c>
      <c r="C2353" s="1139" t="s">
        <v>15020</v>
      </c>
      <c r="D2353" s="834"/>
      <c r="E2353" s="333"/>
      <c r="F2353" s="1139" t="s">
        <v>15021</v>
      </c>
      <c r="G2353" s="837" t="s">
        <v>137</v>
      </c>
      <c r="H2353" s="498">
        <v>33.200000000000003</v>
      </c>
      <c r="I2353" s="1138">
        <v>2024</v>
      </c>
      <c r="J2353" s="437">
        <v>2866215</v>
      </c>
      <c r="K2353" s="437" t="s">
        <v>15049</v>
      </c>
    </row>
    <row r="2354" spans="1:11" ht="76.5" x14ac:dyDescent="0.2">
      <c r="A2354" s="834" t="s">
        <v>15022</v>
      </c>
      <c r="B2354" s="1139" t="s">
        <v>308</v>
      </c>
      <c r="C2354" s="1139" t="s">
        <v>15023</v>
      </c>
      <c r="D2354" s="834"/>
      <c r="E2354" s="333"/>
      <c r="F2354" s="1139" t="s">
        <v>15024</v>
      </c>
      <c r="G2354" s="837" t="s">
        <v>512</v>
      </c>
      <c r="H2354" s="498">
        <v>33.200000000000003</v>
      </c>
      <c r="I2354" s="1138">
        <v>2024</v>
      </c>
      <c r="J2354" s="437">
        <v>2866215</v>
      </c>
      <c r="K2354" s="437" t="s">
        <v>15049</v>
      </c>
    </row>
    <row r="2355" spans="1:11" ht="76.5" x14ac:dyDescent="0.2">
      <c r="A2355" s="834" t="s">
        <v>15025</v>
      </c>
      <c r="B2355" s="1139" t="s">
        <v>308</v>
      </c>
      <c r="C2355" s="1139" t="s">
        <v>15026</v>
      </c>
      <c r="D2355" s="834"/>
      <c r="E2355" s="333"/>
      <c r="F2355" s="1139" t="s">
        <v>15027</v>
      </c>
      <c r="G2355" s="837" t="s">
        <v>512</v>
      </c>
      <c r="H2355" s="498">
        <v>33.020000000000003</v>
      </c>
      <c r="I2355" s="1138">
        <v>2024</v>
      </c>
      <c r="J2355" s="437">
        <v>2866215</v>
      </c>
      <c r="K2355" s="437" t="s">
        <v>15049</v>
      </c>
    </row>
    <row r="2356" spans="1:11" ht="76.5" x14ac:dyDescent="0.2">
      <c r="A2356" s="834" t="s">
        <v>15028</v>
      </c>
      <c r="B2356" s="1139" t="s">
        <v>308</v>
      </c>
      <c r="C2356" s="1139" t="s">
        <v>15029</v>
      </c>
      <c r="D2356" s="834"/>
      <c r="E2356" s="333"/>
      <c r="F2356" s="1139" t="s">
        <v>15030</v>
      </c>
      <c r="G2356" s="837" t="s">
        <v>128</v>
      </c>
      <c r="H2356" s="498">
        <v>33.200000000000003</v>
      </c>
      <c r="I2356" s="1138">
        <v>2024</v>
      </c>
      <c r="J2356" s="437">
        <v>2866215</v>
      </c>
      <c r="K2356" s="437" t="s">
        <v>15049</v>
      </c>
    </row>
    <row r="2357" spans="1:11" ht="76.5" x14ac:dyDescent="0.2">
      <c r="A2357" s="834" t="s">
        <v>15031</v>
      </c>
      <c r="B2357" s="1139" t="s">
        <v>308</v>
      </c>
      <c r="C2357" s="1139" t="s">
        <v>15032</v>
      </c>
      <c r="D2357" s="834"/>
      <c r="E2357" s="333"/>
      <c r="F2357" s="1139" t="s">
        <v>15033</v>
      </c>
      <c r="G2357" s="837" t="s">
        <v>128</v>
      </c>
      <c r="H2357" s="498">
        <v>33.200000000000003</v>
      </c>
      <c r="I2357" s="1138">
        <v>2024</v>
      </c>
      <c r="J2357" s="437">
        <v>2866215</v>
      </c>
      <c r="K2357" s="437" t="s">
        <v>15049</v>
      </c>
    </row>
    <row r="2358" spans="1:11" ht="76.5" x14ac:dyDescent="0.2">
      <c r="A2358" s="834" t="s">
        <v>15034</v>
      </c>
      <c r="B2358" s="1139" t="s">
        <v>308</v>
      </c>
      <c r="C2358" s="1139" t="s">
        <v>15035</v>
      </c>
      <c r="D2358" s="834"/>
      <c r="E2358" s="333"/>
      <c r="F2358" s="1139" t="s">
        <v>15036</v>
      </c>
      <c r="G2358" s="837" t="s">
        <v>137</v>
      </c>
      <c r="H2358" s="498">
        <v>33.200000000000003</v>
      </c>
      <c r="I2358" s="1138">
        <v>2024</v>
      </c>
      <c r="J2358" s="437">
        <v>2866215</v>
      </c>
      <c r="K2358" s="437" t="s">
        <v>15049</v>
      </c>
    </row>
    <row r="2359" spans="1:11" ht="76.5" x14ac:dyDescent="0.2">
      <c r="A2359" s="834" t="s">
        <v>15037</v>
      </c>
      <c r="B2359" s="1139" t="s">
        <v>308</v>
      </c>
      <c r="C2359" s="1139" t="s">
        <v>15038</v>
      </c>
      <c r="D2359" s="834"/>
      <c r="E2359" s="333"/>
      <c r="F2359" s="1139" t="s">
        <v>15039</v>
      </c>
      <c r="G2359" s="837" t="s">
        <v>137</v>
      </c>
      <c r="H2359" s="498">
        <v>33.200000000000003</v>
      </c>
      <c r="I2359" s="1138">
        <v>2024</v>
      </c>
      <c r="J2359" s="437">
        <v>2866215</v>
      </c>
      <c r="K2359" s="437" t="s">
        <v>15049</v>
      </c>
    </row>
    <row r="2360" spans="1:11" ht="76.5" x14ac:dyDescent="0.2">
      <c r="A2360" s="834" t="s">
        <v>15040</v>
      </c>
      <c r="B2360" s="1139" t="s">
        <v>308</v>
      </c>
      <c r="C2360" s="1139" t="s">
        <v>15041</v>
      </c>
      <c r="D2360" s="834"/>
      <c r="E2360" s="333"/>
      <c r="F2360" s="1139" t="s">
        <v>15042</v>
      </c>
      <c r="G2360" s="837" t="s">
        <v>512</v>
      </c>
      <c r="H2360" s="498">
        <v>33.200000000000003</v>
      </c>
      <c r="I2360" s="1138">
        <v>2024</v>
      </c>
      <c r="J2360" s="437">
        <v>2866215</v>
      </c>
      <c r="K2360" s="437" t="s">
        <v>15049</v>
      </c>
    </row>
    <row r="2361" spans="1:11" ht="76.5" x14ac:dyDescent="0.2">
      <c r="A2361" s="834" t="s">
        <v>15043</v>
      </c>
      <c r="B2361" s="1139" t="s">
        <v>308</v>
      </c>
      <c r="C2361" s="1139" t="s">
        <v>15044</v>
      </c>
      <c r="D2361" s="834"/>
      <c r="E2361" s="333"/>
      <c r="F2361" s="1139" t="s">
        <v>15045</v>
      </c>
      <c r="G2361" s="837" t="s">
        <v>512</v>
      </c>
      <c r="H2361" s="498">
        <v>33.200000000000003</v>
      </c>
      <c r="I2361" s="1138">
        <v>2024</v>
      </c>
      <c r="J2361" s="437">
        <v>2866215</v>
      </c>
      <c r="K2361" s="437" t="s">
        <v>15049</v>
      </c>
    </row>
    <row r="2362" spans="1:11" ht="76.5" x14ac:dyDescent="0.2">
      <c r="A2362" s="834" t="s">
        <v>15046</v>
      </c>
      <c r="B2362" s="1139" t="s">
        <v>308</v>
      </c>
      <c r="C2362" s="1139" t="s">
        <v>15047</v>
      </c>
      <c r="D2362" s="834"/>
      <c r="E2362" s="333"/>
      <c r="F2362" s="1139" t="s">
        <v>15048</v>
      </c>
      <c r="G2362" s="837" t="s">
        <v>512</v>
      </c>
      <c r="H2362" s="498">
        <f>50.8-50.8</f>
        <v>0</v>
      </c>
      <c r="I2362" s="1138">
        <v>2024</v>
      </c>
      <c r="J2362" s="437"/>
      <c r="K2362" s="437" t="s">
        <v>15049</v>
      </c>
    </row>
    <row r="2363" spans="1:11" ht="22.5" x14ac:dyDescent="0.2">
      <c r="A2363" s="87" t="s">
        <v>15091</v>
      </c>
      <c r="B2363" s="31" t="s">
        <v>281</v>
      </c>
      <c r="C2363" s="130" t="s">
        <v>5794</v>
      </c>
      <c r="F2363" s="1140" t="s">
        <v>15263</v>
      </c>
      <c r="G2363" s="1535" t="s">
        <v>137</v>
      </c>
      <c r="H2363" s="1536">
        <f>507.7-30-477.7</f>
        <v>0</v>
      </c>
      <c r="I2363" s="24" t="s">
        <v>62</v>
      </c>
      <c r="J2363" s="1142"/>
      <c r="K2363" s="1142">
        <f>156240618.74-156240618.74</f>
        <v>0</v>
      </c>
    </row>
    <row r="2364" spans="1:11" ht="56.25" x14ac:dyDescent="0.2">
      <c r="A2364" s="31" t="s">
        <v>15092</v>
      </c>
      <c r="B2364" s="31" t="s">
        <v>281</v>
      </c>
      <c r="C2364" s="130" t="s">
        <v>15201</v>
      </c>
      <c r="F2364" s="1140" t="s">
        <v>15264</v>
      </c>
      <c r="G2364" s="1535" t="s">
        <v>137</v>
      </c>
      <c r="H2364" s="1536">
        <f>30-30</f>
        <v>0</v>
      </c>
      <c r="I2364" s="24" t="s">
        <v>62</v>
      </c>
      <c r="J2364" s="1142"/>
      <c r="K2364" s="1142">
        <f>233736-233736</f>
        <v>0</v>
      </c>
    </row>
    <row r="2365" spans="1:11" ht="22.5" x14ac:dyDescent="0.2">
      <c r="A2365" s="87" t="s">
        <v>2049</v>
      </c>
      <c r="B2365" s="31" t="s">
        <v>15179</v>
      </c>
      <c r="C2365" s="130" t="s">
        <v>5794</v>
      </c>
      <c r="F2365" s="1140" t="s">
        <v>6475</v>
      </c>
      <c r="G2365" s="1535" t="s">
        <v>15320</v>
      </c>
      <c r="H2365" s="1536">
        <v>444.3</v>
      </c>
      <c r="I2365" s="24" t="s">
        <v>62</v>
      </c>
      <c r="J2365" s="1142">
        <f>19387752/9219*444.3</f>
        <v>934372.29781972012</v>
      </c>
      <c r="K2365" s="1142">
        <v>6150880.3099999996</v>
      </c>
    </row>
    <row r="2366" spans="1:11" ht="22.5" x14ac:dyDescent="0.2">
      <c r="A2366" s="87" t="s">
        <v>3725</v>
      </c>
      <c r="B2366" s="31" t="s">
        <v>281</v>
      </c>
      <c r="C2366" s="130" t="s">
        <v>5795</v>
      </c>
      <c r="F2366" s="1140" t="s">
        <v>5480</v>
      </c>
      <c r="G2366" s="1535" t="s">
        <v>15320</v>
      </c>
      <c r="H2366" s="1536">
        <f>89.4</f>
        <v>89.4</v>
      </c>
      <c r="I2366" s="24" t="s">
        <v>71</v>
      </c>
      <c r="J2366" s="1142">
        <f>229941.47</f>
        <v>229941.47</v>
      </c>
      <c r="K2366" s="1142">
        <v>395882.87</v>
      </c>
    </row>
    <row r="2367" spans="1:11" ht="22.5" x14ac:dyDescent="0.2">
      <c r="A2367" s="87" t="s">
        <v>15093</v>
      </c>
      <c r="B2367" s="31" t="s">
        <v>281</v>
      </c>
      <c r="C2367" s="130" t="s">
        <v>15202</v>
      </c>
      <c r="F2367" s="1537" t="s">
        <v>15265</v>
      </c>
      <c r="G2367" s="1536" t="s">
        <v>15321</v>
      </c>
      <c r="H2367" s="1536">
        <f>81.9-38.9-43</f>
        <v>0</v>
      </c>
      <c r="I2367" s="24" t="s">
        <v>62</v>
      </c>
      <c r="J2367" s="1142" t="e">
        <f>19866960/8585*F2367</f>
        <v>#VALUE!</v>
      </c>
      <c r="K2367" s="1372">
        <f>1069138.16-1069138.16</f>
        <v>0</v>
      </c>
    </row>
    <row r="2368" spans="1:11" ht="22.5" x14ac:dyDescent="0.2">
      <c r="A2368" s="31" t="s">
        <v>15094</v>
      </c>
      <c r="B2368" s="31" t="s">
        <v>281</v>
      </c>
      <c r="C2368" s="130" t="s">
        <v>15202</v>
      </c>
      <c r="F2368" s="1538"/>
      <c r="G2368" s="1536" t="s">
        <v>15321</v>
      </c>
      <c r="H2368" s="1536">
        <f>38.9-38.9</f>
        <v>0</v>
      </c>
      <c r="I2368" s="24" t="s">
        <v>62</v>
      </c>
      <c r="J2368" s="1142">
        <f>19866960/8585*F2368</f>
        <v>0</v>
      </c>
      <c r="K2368" s="1372"/>
    </row>
    <row r="2369" spans="1:11" ht="22.5" x14ac:dyDescent="0.2">
      <c r="A2369" s="87" t="s">
        <v>2672</v>
      </c>
      <c r="B2369" s="31" t="s">
        <v>281</v>
      </c>
      <c r="C2369" s="130" t="s">
        <v>5796</v>
      </c>
      <c r="F2369" s="1141" t="s">
        <v>5144</v>
      </c>
      <c r="G2369" s="1539" t="s">
        <v>15320</v>
      </c>
      <c r="H2369" s="1536">
        <v>51.4</v>
      </c>
      <c r="I2369" s="24" t="s">
        <v>2658</v>
      </c>
      <c r="J2369" s="1142" t="e">
        <f>7532848/6233*F2369</f>
        <v>#VALUE!</v>
      </c>
      <c r="K2369" s="1142">
        <v>711580.57</v>
      </c>
    </row>
    <row r="2370" spans="1:11" ht="22.5" x14ac:dyDescent="0.2">
      <c r="A2370" s="87" t="s">
        <v>2050</v>
      </c>
      <c r="B2370" s="31" t="s">
        <v>281</v>
      </c>
      <c r="C2370" s="130" t="s">
        <v>6395</v>
      </c>
      <c r="F2370" s="1143" t="s">
        <v>2664</v>
      </c>
      <c r="G2370" s="1539" t="s">
        <v>15320</v>
      </c>
      <c r="H2370" s="1540">
        <f>57.1-19.77</f>
        <v>37.33</v>
      </c>
      <c r="I2370" s="346" t="s">
        <v>2658</v>
      </c>
      <c r="J2370" s="54" t="e">
        <f>7532848/6233*F2370</f>
        <v>#VALUE!</v>
      </c>
      <c r="K2370" s="1372">
        <v>1027364.9</v>
      </c>
    </row>
    <row r="2371" spans="1:11" ht="22.5" x14ac:dyDescent="0.2">
      <c r="A2371" s="31" t="s">
        <v>3709</v>
      </c>
      <c r="B2371" s="31" t="s">
        <v>281</v>
      </c>
      <c r="C2371" s="130" t="s">
        <v>6395</v>
      </c>
      <c r="F2371" s="1143" t="s">
        <v>2664</v>
      </c>
      <c r="G2371" s="1535"/>
      <c r="H2371" s="1540">
        <v>19.77</v>
      </c>
      <c r="I2371" s="346" t="s">
        <v>2658</v>
      </c>
      <c r="J2371" s="54" t="e">
        <f>7532848/6233*F2371</f>
        <v>#VALUE!</v>
      </c>
      <c r="K2371" s="1372"/>
    </row>
    <row r="2372" spans="1:11" ht="22.5" x14ac:dyDescent="0.2">
      <c r="A2372" s="87" t="s">
        <v>2051</v>
      </c>
      <c r="B2372" s="31" t="s">
        <v>281</v>
      </c>
      <c r="C2372" s="130" t="s">
        <v>5796</v>
      </c>
      <c r="F2372" s="1541" t="s">
        <v>5147</v>
      </c>
      <c r="G2372" s="1535" t="s">
        <v>15320</v>
      </c>
      <c r="H2372" s="1536">
        <v>27.6</v>
      </c>
      <c r="I2372" s="24" t="s">
        <v>2658</v>
      </c>
      <c r="J2372" s="1142">
        <v>33355.78</v>
      </c>
      <c r="K2372" s="1142">
        <v>114111.1</v>
      </c>
    </row>
    <row r="2373" spans="1:11" ht="22.5" x14ac:dyDescent="0.2">
      <c r="A2373" s="87" t="s">
        <v>3586</v>
      </c>
      <c r="B2373" s="31" t="s">
        <v>281</v>
      </c>
      <c r="C2373" s="130" t="s">
        <v>5796</v>
      </c>
      <c r="F2373" s="1542" t="s">
        <v>5635</v>
      </c>
      <c r="G2373" s="1536" t="s">
        <v>137</v>
      </c>
      <c r="H2373" s="1536">
        <f>88.7-51.2-7.5-0.8</f>
        <v>29.2</v>
      </c>
      <c r="I2373" s="24" t="s">
        <v>2658</v>
      </c>
      <c r="J2373" s="1142">
        <f>98133.68-61877.39</f>
        <v>36256.289999999994</v>
      </c>
      <c r="K2373" s="1543">
        <v>1283542.22</v>
      </c>
    </row>
    <row r="2374" spans="1:11" ht="22.5" x14ac:dyDescent="0.2">
      <c r="A2374" s="31" t="s">
        <v>3587</v>
      </c>
      <c r="B2374" s="31" t="s">
        <v>281</v>
      </c>
      <c r="C2374" s="130" t="s">
        <v>5796</v>
      </c>
      <c r="F2374" s="1544"/>
      <c r="G2374" s="1535" t="s">
        <v>137</v>
      </c>
      <c r="H2374" s="1536">
        <v>51.2</v>
      </c>
      <c r="I2374" s="24" t="s">
        <v>2658</v>
      </c>
      <c r="J2374" s="1142">
        <v>61877.39</v>
      </c>
      <c r="K2374" s="1543"/>
    </row>
    <row r="2375" spans="1:11" ht="22.5" x14ac:dyDescent="0.2">
      <c r="A2375" s="31" t="s">
        <v>6478</v>
      </c>
      <c r="B2375" s="31" t="s">
        <v>281</v>
      </c>
      <c r="C2375" s="130" t="s">
        <v>5796</v>
      </c>
      <c r="F2375" s="1545"/>
      <c r="G2375" s="1535" t="s">
        <v>137</v>
      </c>
      <c r="H2375" s="1536">
        <v>7.5</v>
      </c>
      <c r="I2375" s="24" t="s">
        <v>2658</v>
      </c>
      <c r="J2375" s="1142">
        <v>39873</v>
      </c>
      <c r="K2375" s="1543"/>
    </row>
    <row r="2376" spans="1:11" ht="22.5" x14ac:dyDescent="0.2">
      <c r="A2376" s="87" t="s">
        <v>2052</v>
      </c>
      <c r="B2376" s="31" t="s">
        <v>281</v>
      </c>
      <c r="C2376" s="130" t="s">
        <v>5797</v>
      </c>
      <c r="F2376" s="1140" t="s">
        <v>5145</v>
      </c>
      <c r="G2376" s="1535" t="s">
        <v>15320</v>
      </c>
      <c r="H2376" s="1536">
        <v>211.8</v>
      </c>
      <c r="I2376" s="346" t="s">
        <v>2700</v>
      </c>
      <c r="J2376" s="1142">
        <v>773603</v>
      </c>
      <c r="K2376" s="1142">
        <v>2932154.96</v>
      </c>
    </row>
    <row r="2377" spans="1:11" ht="22.5" x14ac:dyDescent="0.2">
      <c r="A2377" s="87" t="s">
        <v>2053</v>
      </c>
      <c r="B2377" s="31" t="s">
        <v>281</v>
      </c>
      <c r="C2377" s="130" t="s">
        <v>5798</v>
      </c>
      <c r="F2377" s="1140" t="s">
        <v>5146</v>
      </c>
      <c r="G2377" s="1535" t="s">
        <v>15320</v>
      </c>
      <c r="H2377" s="1536">
        <v>40.6</v>
      </c>
      <c r="I2377" s="24" t="s">
        <v>484</v>
      </c>
      <c r="J2377" s="1142" t="e">
        <f>576281.12/208.9*F2377</f>
        <v>#VALUE!</v>
      </c>
      <c r="K2377" s="1543">
        <v>2892007.42</v>
      </c>
    </row>
    <row r="2378" spans="1:11" ht="22.5" x14ac:dyDescent="0.2">
      <c r="A2378" s="31" t="s">
        <v>15095</v>
      </c>
      <c r="B2378" s="31" t="s">
        <v>281</v>
      </c>
      <c r="C2378" s="130" t="s">
        <v>5798</v>
      </c>
      <c r="F2378" s="1140" t="s">
        <v>5146</v>
      </c>
      <c r="G2378" s="1535" t="s">
        <v>15320</v>
      </c>
      <c r="H2378" s="1536">
        <f>45-22</f>
        <v>23</v>
      </c>
      <c r="I2378" s="24" t="s">
        <v>484</v>
      </c>
      <c r="J2378" s="1142" t="e">
        <f>576281.12/208.9*F2378</f>
        <v>#VALUE!</v>
      </c>
      <c r="K2378" s="1543"/>
    </row>
    <row r="2379" spans="1:11" ht="22.5" x14ac:dyDescent="0.2">
      <c r="A2379" s="31" t="s">
        <v>7388</v>
      </c>
      <c r="B2379" s="31" t="s">
        <v>281</v>
      </c>
      <c r="C2379" s="130" t="s">
        <v>5798</v>
      </c>
      <c r="F2379" s="1140" t="s">
        <v>5146</v>
      </c>
      <c r="G2379" s="1535" t="s">
        <v>15320</v>
      </c>
      <c r="H2379" s="1536">
        <v>22.6</v>
      </c>
      <c r="I2379" s="24" t="s">
        <v>484</v>
      </c>
      <c r="J2379" s="1142" t="e">
        <f>576281.12/208.9*F2379</f>
        <v>#VALUE!</v>
      </c>
      <c r="K2379" s="1543"/>
    </row>
    <row r="2380" spans="1:11" ht="22.5" x14ac:dyDescent="0.2">
      <c r="A2380" s="31" t="s">
        <v>6479</v>
      </c>
      <c r="B2380" s="31" t="s">
        <v>281</v>
      </c>
      <c r="C2380" s="130" t="s">
        <v>5798</v>
      </c>
      <c r="F2380" s="1140" t="s">
        <v>5146</v>
      </c>
      <c r="G2380" s="1535" t="s">
        <v>15320</v>
      </c>
      <c r="H2380" s="1536">
        <v>123.3</v>
      </c>
      <c r="I2380" s="24" t="s">
        <v>484</v>
      </c>
      <c r="J2380" s="1142" t="e">
        <f>576281.12/208.9*F2380</f>
        <v>#VALUE!</v>
      </c>
      <c r="K2380" s="1543"/>
    </row>
    <row r="2381" spans="1:11" ht="22.5" x14ac:dyDescent="0.2">
      <c r="A2381" s="1068" t="s">
        <v>2054</v>
      </c>
      <c r="B2381" s="1074" t="s">
        <v>281</v>
      </c>
      <c r="C2381" s="1078" t="s">
        <v>6233</v>
      </c>
      <c r="F2381" s="786" t="s">
        <v>6604</v>
      </c>
      <c r="G2381" s="1084" t="s">
        <v>15320</v>
      </c>
      <c r="H2381" s="1085">
        <f>51.5</f>
        <v>51.5</v>
      </c>
      <c r="I2381" s="1095" t="s">
        <v>62</v>
      </c>
      <c r="J2381" s="1067">
        <f>166476.4</f>
        <v>166476.4</v>
      </c>
      <c r="K2381" s="1067">
        <v>974497.42</v>
      </c>
    </row>
    <row r="2382" spans="1:11" ht="22.5" x14ac:dyDescent="0.2">
      <c r="A2382" s="1070" t="s">
        <v>15096</v>
      </c>
      <c r="B2382" s="1069" t="s">
        <v>281</v>
      </c>
      <c r="C2382" s="1078" t="s">
        <v>5799</v>
      </c>
      <c r="F2382" s="786" t="s">
        <v>15266</v>
      </c>
      <c r="G2382" s="1084" t="s">
        <v>137</v>
      </c>
      <c r="H2382" s="1085">
        <f>90.7-90.7</f>
        <v>0</v>
      </c>
      <c r="I2382" s="1094" t="s">
        <v>160</v>
      </c>
      <c r="J2382" s="1067">
        <f>348654.11-348654.11</f>
        <v>0</v>
      </c>
      <c r="K2382" s="1067">
        <f>726441.7-726441.7</f>
        <v>0</v>
      </c>
    </row>
    <row r="2383" spans="1:11" ht="22.5" x14ac:dyDescent="0.2">
      <c r="A2383" s="1068" t="s">
        <v>2055</v>
      </c>
      <c r="B2383" s="1069" t="s">
        <v>281</v>
      </c>
      <c r="C2383" s="1273" t="s">
        <v>11899</v>
      </c>
      <c r="F2383" s="1276" t="s">
        <v>3769</v>
      </c>
      <c r="G2383" s="1084" t="s">
        <v>15320</v>
      </c>
      <c r="H2383" s="1085">
        <f>416.3-175-50</f>
        <v>191.3</v>
      </c>
      <c r="I2383" s="1277" t="s">
        <v>160</v>
      </c>
      <c r="J2383" s="1110">
        <f>28188320/7293.9*416.3-672706.43-193232.15</f>
        <v>742912.32500281068</v>
      </c>
      <c r="K2383" s="1281">
        <v>5763248.8700000001</v>
      </c>
    </row>
    <row r="2384" spans="1:11" ht="22.5" x14ac:dyDescent="0.2">
      <c r="A2384" s="1069" t="s">
        <v>6480</v>
      </c>
      <c r="B2384" s="1069" t="s">
        <v>281</v>
      </c>
      <c r="C2384" s="1274"/>
      <c r="F2384" s="1276"/>
      <c r="G2384" s="1084" t="s">
        <v>15320</v>
      </c>
      <c r="H2384" s="1085">
        <f>175</f>
        <v>175</v>
      </c>
      <c r="I2384" s="1277"/>
      <c r="J2384" s="1110">
        <v>672706.43</v>
      </c>
      <c r="K2384" s="1281"/>
    </row>
    <row r="2385" spans="1:11" ht="22.5" x14ac:dyDescent="0.2">
      <c r="A2385" s="1069" t="s">
        <v>11570</v>
      </c>
      <c r="B2385" s="1069" t="s">
        <v>281</v>
      </c>
      <c r="C2385" s="1275"/>
      <c r="F2385" s="1276"/>
      <c r="G2385" s="1084" t="s">
        <v>15320</v>
      </c>
      <c r="H2385" s="1085">
        <v>50</v>
      </c>
      <c r="I2385" s="1277"/>
      <c r="J2385" s="1110" t="s">
        <v>15335</v>
      </c>
      <c r="K2385" s="1281"/>
    </row>
    <row r="2386" spans="1:11" ht="22.5" x14ac:dyDescent="0.2">
      <c r="A2386" s="1068" t="s">
        <v>2056</v>
      </c>
      <c r="B2386" s="1069" t="s">
        <v>281</v>
      </c>
      <c r="C2386" s="1078" t="s">
        <v>5799</v>
      </c>
      <c r="F2386" s="786" t="s">
        <v>3770</v>
      </c>
      <c r="G2386" s="1084" t="s">
        <v>137</v>
      </c>
      <c r="H2386" s="1085">
        <f>16.6-13.7</f>
        <v>2.9000000000000021</v>
      </c>
      <c r="I2386" s="1095" t="s">
        <v>160</v>
      </c>
      <c r="J2386" s="1110">
        <f>28188320/7293.9*16.6-52663.3</f>
        <v>11489.774761101748</v>
      </c>
      <c r="K2386" s="1067"/>
    </row>
    <row r="2387" spans="1:11" ht="22.5" x14ac:dyDescent="0.2">
      <c r="A2387" s="1069" t="s">
        <v>6519</v>
      </c>
      <c r="B2387" s="1069" t="s">
        <v>281</v>
      </c>
      <c r="C2387" s="1078"/>
      <c r="F2387" s="786"/>
      <c r="G2387" s="1084"/>
      <c r="H2387" s="1085">
        <v>13.7</v>
      </c>
      <c r="I2387" s="1095"/>
      <c r="J2387" s="1110">
        <v>52663.3</v>
      </c>
      <c r="K2387" s="1067"/>
    </row>
    <row r="2388" spans="1:11" ht="22.5" x14ac:dyDescent="0.2">
      <c r="A2388" s="1068" t="s">
        <v>15097</v>
      </c>
      <c r="B2388" s="1069" t="s">
        <v>281</v>
      </c>
      <c r="C2388" s="1078" t="s">
        <v>5799</v>
      </c>
      <c r="F2388" s="786"/>
      <c r="G2388" s="1084" t="s">
        <v>15320</v>
      </c>
      <c r="H2388" s="1101">
        <v>206.3</v>
      </c>
      <c r="I2388" s="1095" t="s">
        <v>160</v>
      </c>
      <c r="J2388" s="1067">
        <v>793023.64</v>
      </c>
      <c r="K2388" s="1067"/>
    </row>
    <row r="2389" spans="1:11" ht="33.75" x14ac:dyDescent="0.2">
      <c r="A2389" s="1068" t="s">
        <v>5165</v>
      </c>
      <c r="B2389" s="1069" t="s">
        <v>5476</v>
      </c>
      <c r="C2389" s="1078" t="s">
        <v>5800</v>
      </c>
      <c r="F2389" s="1081" t="s">
        <v>6600</v>
      </c>
      <c r="G2389" s="1084" t="s">
        <v>137</v>
      </c>
      <c r="H2389" s="1085">
        <v>584.6</v>
      </c>
      <c r="I2389" s="1094" t="s">
        <v>160</v>
      </c>
      <c r="J2389" s="1067">
        <f>4013847.52-1825507.46</f>
        <v>2188340.06</v>
      </c>
      <c r="K2389" s="1067">
        <v>11604626.720000001</v>
      </c>
    </row>
    <row r="2390" spans="1:11" ht="22.5" x14ac:dyDescent="0.2">
      <c r="A2390" s="1068" t="s">
        <v>2057</v>
      </c>
      <c r="B2390" s="1069" t="s">
        <v>6597</v>
      </c>
      <c r="C2390" s="1078" t="s">
        <v>5800</v>
      </c>
      <c r="F2390" s="1081" t="s">
        <v>6601</v>
      </c>
      <c r="G2390" s="1084" t="s">
        <v>137</v>
      </c>
      <c r="H2390" s="1085">
        <v>465</v>
      </c>
      <c r="I2390" s="1094" t="s">
        <v>160</v>
      </c>
      <c r="J2390" s="1067">
        <v>1825507.46</v>
      </c>
      <c r="K2390" s="1067">
        <v>9230501.9199999999</v>
      </c>
    </row>
    <row r="2391" spans="1:11" ht="22.5" x14ac:dyDescent="0.2">
      <c r="A2391" s="1068" t="s">
        <v>2058</v>
      </c>
      <c r="B2391" s="1069" t="s">
        <v>281</v>
      </c>
      <c r="C2391" s="1078" t="s">
        <v>5800</v>
      </c>
      <c r="F2391" s="1081" t="s">
        <v>3768</v>
      </c>
      <c r="G2391" s="1084" t="s">
        <v>15320</v>
      </c>
      <c r="H2391" s="1085">
        <f>132.9</f>
        <v>132.9</v>
      </c>
      <c r="I2391" s="1094" t="s">
        <v>160</v>
      </c>
      <c r="J2391" s="1067">
        <f>508231.35</f>
        <v>508231.35</v>
      </c>
      <c r="K2391" s="1112">
        <v>2638137</v>
      </c>
    </row>
    <row r="2392" spans="1:11" ht="22.5" x14ac:dyDescent="0.2">
      <c r="A2392" s="1068" t="s">
        <v>2673</v>
      </c>
      <c r="B2392" s="1069" t="s">
        <v>281</v>
      </c>
      <c r="C2392" s="1078" t="s">
        <v>5800</v>
      </c>
      <c r="F2392" s="1081" t="s">
        <v>6602</v>
      </c>
      <c r="G2392" s="1084" t="s">
        <v>15320</v>
      </c>
      <c r="H2392" s="1085">
        <v>44.6</v>
      </c>
      <c r="I2392" s="1094" t="s">
        <v>160</v>
      </c>
      <c r="J2392" s="1067">
        <v>170558.36</v>
      </c>
      <c r="K2392" s="1067">
        <v>141270.95000000001</v>
      </c>
    </row>
    <row r="2393" spans="1:11" ht="45" x14ac:dyDescent="0.2">
      <c r="A2393" s="1068" t="s">
        <v>2674</v>
      </c>
      <c r="B2393" s="1069" t="s">
        <v>15180</v>
      </c>
      <c r="C2393" s="1078" t="s">
        <v>5800</v>
      </c>
      <c r="F2393" s="786" t="s">
        <v>6505</v>
      </c>
      <c r="G2393" s="1085" t="s">
        <v>15320</v>
      </c>
      <c r="H2393" s="1085">
        <v>29.9</v>
      </c>
      <c r="I2393" s="1094" t="s">
        <v>160</v>
      </c>
      <c r="J2393" s="1067">
        <v>114342.49</v>
      </c>
      <c r="K2393" s="1067">
        <v>76970.490000000005</v>
      </c>
    </row>
    <row r="2394" spans="1:11" ht="22.5" x14ac:dyDescent="0.2">
      <c r="A2394" s="1068" t="s">
        <v>2059</v>
      </c>
      <c r="B2394" s="1069" t="s">
        <v>281</v>
      </c>
      <c r="C2394" s="1078" t="s">
        <v>5801</v>
      </c>
      <c r="F2394" s="786"/>
      <c r="G2394" s="1084" t="s">
        <v>15320</v>
      </c>
      <c r="H2394" s="1085">
        <f>40-15</f>
        <v>25</v>
      </c>
      <c r="I2394" s="1095" t="s">
        <v>163</v>
      </c>
      <c r="J2394" s="1067">
        <f>150118.68/40*F2394</f>
        <v>0</v>
      </c>
      <c r="K2394" s="1067"/>
    </row>
    <row r="2395" spans="1:11" ht="22.5" x14ac:dyDescent="0.2">
      <c r="A2395" s="1069" t="s">
        <v>6481</v>
      </c>
      <c r="B2395" s="1069" t="s">
        <v>281</v>
      </c>
      <c r="C2395" s="1078" t="s">
        <v>5801</v>
      </c>
      <c r="F2395" s="786"/>
      <c r="G2395" s="1084" t="s">
        <v>15320</v>
      </c>
      <c r="H2395" s="1085">
        <v>15</v>
      </c>
      <c r="I2395" s="1095" t="s">
        <v>163</v>
      </c>
      <c r="J2395" s="1067">
        <f>150118.68/40*F2395</f>
        <v>0</v>
      </c>
      <c r="K2395" s="1067"/>
    </row>
    <row r="2396" spans="1:11" ht="22.5" x14ac:dyDescent="0.2">
      <c r="A2396" s="1068" t="s">
        <v>2060</v>
      </c>
      <c r="B2396" s="1069" t="s">
        <v>281</v>
      </c>
      <c r="C2396" s="1078" t="s">
        <v>5802</v>
      </c>
      <c r="F2396" s="786"/>
      <c r="G2396" s="1084" t="s">
        <v>15320</v>
      </c>
      <c r="H2396" s="1085">
        <v>108.2</v>
      </c>
      <c r="I2396" s="1095" t="s">
        <v>163</v>
      </c>
      <c r="J2396" s="1067">
        <v>331873.68</v>
      </c>
      <c r="K2396" s="1067"/>
    </row>
    <row r="2397" spans="1:11" ht="22.5" x14ac:dyDescent="0.2">
      <c r="A2397" s="1068" t="s">
        <v>2061</v>
      </c>
      <c r="B2397" s="1069" t="s">
        <v>281</v>
      </c>
      <c r="C2397" s="1078" t="s">
        <v>5803</v>
      </c>
      <c r="F2397" s="786" t="s">
        <v>15267</v>
      </c>
      <c r="G2397" s="1084" t="s">
        <v>15320</v>
      </c>
      <c r="H2397" s="1088">
        <f>26.1/2</f>
        <v>13.05</v>
      </c>
      <c r="I2397" s="1095" t="s">
        <v>73</v>
      </c>
      <c r="J2397" s="1067">
        <f>90739.56/2</f>
        <v>45369.78</v>
      </c>
      <c r="K2397" s="1281">
        <v>493871.51</v>
      </c>
    </row>
    <row r="2398" spans="1:11" ht="22.5" x14ac:dyDescent="0.2">
      <c r="A2398" s="1069" t="s">
        <v>6482</v>
      </c>
      <c r="B2398" s="1069" t="s">
        <v>281</v>
      </c>
      <c r="C2398" s="1078" t="s">
        <v>5803</v>
      </c>
      <c r="F2398" s="786" t="s">
        <v>15267</v>
      </c>
      <c r="G2398" s="1084" t="s">
        <v>15320</v>
      </c>
      <c r="H2398" s="1088">
        <f>26.1/2</f>
        <v>13.05</v>
      </c>
      <c r="I2398" s="1095" t="s">
        <v>73</v>
      </c>
      <c r="J2398" s="1067">
        <f>90739.56/2</f>
        <v>45369.78</v>
      </c>
      <c r="K2398" s="1281"/>
    </row>
    <row r="2399" spans="1:11" ht="22.5" x14ac:dyDescent="0.2">
      <c r="A2399" s="1068" t="s">
        <v>2062</v>
      </c>
      <c r="B2399" s="1069" t="s">
        <v>281</v>
      </c>
      <c r="C2399" s="1078" t="s">
        <v>5804</v>
      </c>
      <c r="F2399" s="786" t="s">
        <v>3658</v>
      </c>
      <c r="G2399" s="1084" t="s">
        <v>15320</v>
      </c>
      <c r="H2399" s="1085">
        <v>38.1</v>
      </c>
      <c r="I2399" s="1095" t="s">
        <v>64</v>
      </c>
      <c r="J2399" s="1067">
        <v>148785</v>
      </c>
      <c r="K2399" s="1067">
        <v>527455.64</v>
      </c>
    </row>
    <row r="2400" spans="1:11" ht="22.5" x14ac:dyDescent="0.2">
      <c r="A2400" s="1068" t="s">
        <v>2063</v>
      </c>
      <c r="B2400" s="1069" t="s">
        <v>281</v>
      </c>
      <c r="C2400" s="1078" t="s">
        <v>5220</v>
      </c>
      <c r="F2400" s="786" t="s">
        <v>3661</v>
      </c>
      <c r="G2400" s="1084" t="s">
        <v>15320</v>
      </c>
      <c r="H2400" s="1085">
        <v>75.7</v>
      </c>
      <c r="I2400" s="1095" t="s">
        <v>80</v>
      </c>
      <c r="J2400" s="1067">
        <f>17945044/6928*76.6</f>
        <v>198410.85023094687</v>
      </c>
      <c r="K2400" s="1067">
        <v>239780.51</v>
      </c>
    </row>
    <row r="2401" spans="1:11" ht="22.5" x14ac:dyDescent="0.2">
      <c r="A2401" s="1068" t="s">
        <v>5972</v>
      </c>
      <c r="B2401" s="1069" t="s">
        <v>281</v>
      </c>
      <c r="C2401" s="1078" t="s">
        <v>5220</v>
      </c>
      <c r="F2401" s="1081" t="s">
        <v>7975</v>
      </c>
      <c r="G2401" s="1084" t="s">
        <v>15322</v>
      </c>
      <c r="H2401" s="1085">
        <v>107.6</v>
      </c>
      <c r="I2401" s="1095" t="s">
        <v>80</v>
      </c>
      <c r="J2401" s="1067" t="e">
        <f>299170.44/115.5*F2401</f>
        <v>#VALUE!</v>
      </c>
      <c r="K2401" s="1067">
        <v>340824.08</v>
      </c>
    </row>
    <row r="2402" spans="1:11" ht="45" x14ac:dyDescent="0.2">
      <c r="A2402" s="1068" t="s">
        <v>5973</v>
      </c>
      <c r="B2402" s="1069" t="s">
        <v>281</v>
      </c>
      <c r="C2402" s="1078" t="s">
        <v>5805</v>
      </c>
      <c r="F2402" s="1081" t="s">
        <v>3663</v>
      </c>
      <c r="G2402" s="1084" t="s">
        <v>447</v>
      </c>
      <c r="H2402" s="1085">
        <v>43</v>
      </c>
      <c r="I2402" s="1095" t="s">
        <v>64</v>
      </c>
      <c r="J2402" s="1067">
        <v>166945.24</v>
      </c>
      <c r="K2402" s="1067">
        <v>136202.93</v>
      </c>
    </row>
    <row r="2403" spans="1:11" ht="22.5" x14ac:dyDescent="0.2">
      <c r="A2403" s="1068" t="s">
        <v>2064</v>
      </c>
      <c r="B2403" s="1069" t="s">
        <v>281</v>
      </c>
      <c r="C2403" s="1078" t="s">
        <v>5806</v>
      </c>
      <c r="F2403" s="786" t="s">
        <v>5412</v>
      </c>
      <c r="G2403" s="1084" t="s">
        <v>15323</v>
      </c>
      <c r="H2403" s="1085">
        <v>5.5</v>
      </c>
      <c r="I2403" s="1094" t="s">
        <v>160</v>
      </c>
      <c r="J2403" s="1110">
        <v>46489.55</v>
      </c>
      <c r="K2403" s="1067"/>
    </row>
    <row r="2404" spans="1:11" ht="22.5" x14ac:dyDescent="0.2">
      <c r="A2404" s="1068" t="s">
        <v>5137</v>
      </c>
      <c r="B2404" s="1069" t="s">
        <v>281</v>
      </c>
      <c r="C2404" s="1079" t="s">
        <v>5807</v>
      </c>
      <c r="F2404" s="854" t="s">
        <v>5637</v>
      </c>
      <c r="G2404" s="1084" t="s">
        <v>137</v>
      </c>
      <c r="H2404" s="1087">
        <v>63.9</v>
      </c>
      <c r="I2404" s="1096" t="s">
        <v>2667</v>
      </c>
      <c r="J2404" s="921">
        <v>987137.08</v>
      </c>
      <c r="K2404" s="1280">
        <v>1575444.92</v>
      </c>
    </row>
    <row r="2405" spans="1:11" ht="22.5" x14ac:dyDescent="0.2">
      <c r="A2405" s="1069" t="s">
        <v>6483</v>
      </c>
      <c r="B2405" s="1069" t="s">
        <v>281</v>
      </c>
      <c r="C2405" s="1079" t="s">
        <v>5807</v>
      </c>
      <c r="F2405" s="854" t="s">
        <v>5637</v>
      </c>
      <c r="G2405" s="1086" t="s">
        <v>137</v>
      </c>
      <c r="H2405" s="1087">
        <f>49.4+0.5</f>
        <v>49.9</v>
      </c>
      <c r="I2405" s="1096" t="s">
        <v>2667</v>
      </c>
      <c r="J2405" s="921">
        <v>763138.84</v>
      </c>
      <c r="K2405" s="1280"/>
    </row>
    <row r="2406" spans="1:11" ht="22.5" x14ac:dyDescent="0.2">
      <c r="A2406" s="1068" t="s">
        <v>2065</v>
      </c>
      <c r="B2406" s="1069" t="s">
        <v>281</v>
      </c>
      <c r="C2406" s="1079" t="s">
        <v>5807</v>
      </c>
      <c r="F2406" s="854" t="s">
        <v>5636</v>
      </c>
      <c r="G2406" s="1087"/>
      <c r="H2406" s="1087">
        <v>58.2</v>
      </c>
      <c r="I2406" s="1096" t="s">
        <v>2667</v>
      </c>
      <c r="J2406" s="921">
        <v>1758000</v>
      </c>
      <c r="K2406" s="1067">
        <v>805719.64</v>
      </c>
    </row>
    <row r="2407" spans="1:11" ht="22.5" x14ac:dyDescent="0.2">
      <c r="A2407" s="1068" t="s">
        <v>2678</v>
      </c>
      <c r="B2407" s="1069" t="s">
        <v>281</v>
      </c>
      <c r="C2407" s="1078" t="s">
        <v>5808</v>
      </c>
      <c r="F2407" s="786" t="s">
        <v>6570</v>
      </c>
      <c r="G2407" s="1088" t="s">
        <v>137</v>
      </c>
      <c r="H2407" s="1088">
        <f>61-15.25*3</f>
        <v>15.25</v>
      </c>
      <c r="I2407" s="1094" t="s">
        <v>67</v>
      </c>
      <c r="J2407" s="1067" t="e">
        <f>14142540/7504*F2407</f>
        <v>#VALUE!</v>
      </c>
      <c r="K2407" s="1112">
        <v>796305.59</v>
      </c>
    </row>
    <row r="2408" spans="1:11" ht="22.5" x14ac:dyDescent="0.2">
      <c r="A2408" s="1069" t="s">
        <v>15098</v>
      </c>
      <c r="B2408" s="1069" t="s">
        <v>281</v>
      </c>
      <c r="C2408" s="1078" t="s">
        <v>5808</v>
      </c>
      <c r="F2408" s="786" t="s">
        <v>6570</v>
      </c>
      <c r="G2408" s="1088" t="s">
        <v>137</v>
      </c>
      <c r="H2408" s="1088">
        <f>61-15.25*3</f>
        <v>15.25</v>
      </c>
      <c r="I2408" s="1094" t="s">
        <v>67</v>
      </c>
      <c r="J2408" s="1067" t="e">
        <f>14142540/7504*F2408</f>
        <v>#VALUE!</v>
      </c>
      <c r="K2408" s="1112"/>
    </row>
    <row r="2409" spans="1:11" ht="22.5" x14ac:dyDescent="0.2">
      <c r="A2409" s="1069" t="s">
        <v>6484</v>
      </c>
      <c r="B2409" s="1069" t="s">
        <v>281</v>
      </c>
      <c r="C2409" s="1078" t="s">
        <v>5808</v>
      </c>
      <c r="F2409" s="786" t="s">
        <v>6570</v>
      </c>
      <c r="G2409" s="1088" t="s">
        <v>137</v>
      </c>
      <c r="H2409" s="1088">
        <f>61-15.25*3</f>
        <v>15.25</v>
      </c>
      <c r="I2409" s="1094" t="s">
        <v>67</v>
      </c>
      <c r="J2409" s="1067" t="e">
        <f>14142540/7504*F2409</f>
        <v>#VALUE!</v>
      </c>
      <c r="K2409" s="1112"/>
    </row>
    <row r="2410" spans="1:11" ht="22.5" x14ac:dyDescent="0.2">
      <c r="A2410" s="1071" t="s">
        <v>6485</v>
      </c>
      <c r="B2410" s="1069" t="s">
        <v>281</v>
      </c>
      <c r="C2410" s="1078" t="s">
        <v>5808</v>
      </c>
      <c r="F2410" s="786" t="s">
        <v>6570</v>
      </c>
      <c r="G2410" s="1088" t="s">
        <v>137</v>
      </c>
      <c r="H2410" s="1088">
        <f>61-15.25*3</f>
        <v>15.25</v>
      </c>
      <c r="I2410" s="1094" t="s">
        <v>67</v>
      </c>
      <c r="J2410" s="1067" t="e">
        <f>14142540/7504*F2410</f>
        <v>#VALUE!</v>
      </c>
      <c r="K2410" s="1112"/>
    </row>
    <row r="2411" spans="1:11" ht="22.5" x14ac:dyDescent="0.2">
      <c r="A2411" s="1068" t="s">
        <v>6487</v>
      </c>
      <c r="B2411" s="1069" t="s">
        <v>281</v>
      </c>
      <c r="C2411" s="1078" t="s">
        <v>5808</v>
      </c>
      <c r="F2411" s="786" t="s">
        <v>6567</v>
      </c>
      <c r="G2411" s="1088" t="s">
        <v>137</v>
      </c>
      <c r="H2411" s="1085">
        <v>34.299999999999997</v>
      </c>
      <c r="I2411" s="1094" t="s">
        <v>67</v>
      </c>
      <c r="J2411" s="1067">
        <v>64644.07</v>
      </c>
      <c r="K2411" s="1067">
        <v>148723.09</v>
      </c>
    </row>
    <row r="2412" spans="1:11" ht="22.5" x14ac:dyDescent="0.2">
      <c r="A2412" s="1068" t="s">
        <v>2066</v>
      </c>
      <c r="B2412" s="1069" t="s">
        <v>281</v>
      </c>
      <c r="C2412" s="1078" t="s">
        <v>5808</v>
      </c>
      <c r="F2412" s="786" t="s">
        <v>6542</v>
      </c>
      <c r="G2412" s="1088" t="s">
        <v>137</v>
      </c>
      <c r="H2412" s="1085">
        <v>104.3</v>
      </c>
      <c r="I2412" s="1094" t="s">
        <v>67</v>
      </c>
      <c r="J2412" s="1067">
        <v>193744.68</v>
      </c>
      <c r="K2412" s="1067">
        <v>452239.58</v>
      </c>
    </row>
    <row r="2413" spans="1:11" ht="22.5" x14ac:dyDescent="0.2">
      <c r="A2413" s="1068" t="s">
        <v>2702</v>
      </c>
      <c r="B2413" s="1069" t="s">
        <v>281</v>
      </c>
      <c r="C2413" s="1078" t="s">
        <v>5808</v>
      </c>
      <c r="F2413" s="786" t="s">
        <v>6569</v>
      </c>
      <c r="G2413" s="1088" t="s">
        <v>137</v>
      </c>
      <c r="H2413" s="1085">
        <f>279.9-79.6</f>
        <v>200.29999999999998</v>
      </c>
      <c r="I2413" s="1094" t="s">
        <v>67</v>
      </c>
      <c r="J2413" s="1067">
        <v>527518.25</v>
      </c>
      <c r="K2413" s="1067">
        <f>1213632.41/279.9*E2413</f>
        <v>0</v>
      </c>
    </row>
    <row r="2414" spans="1:11" ht="22.5" x14ac:dyDescent="0.2">
      <c r="A2414" s="1069" t="s">
        <v>8285</v>
      </c>
      <c r="B2414" s="1069" t="s">
        <v>281</v>
      </c>
      <c r="C2414" s="1078" t="s">
        <v>5808</v>
      </c>
      <c r="F2414" s="786" t="s">
        <v>6569</v>
      </c>
      <c r="G2414" s="1088" t="s">
        <v>137</v>
      </c>
      <c r="H2414" s="1085">
        <v>79.599999999999994</v>
      </c>
      <c r="I2414" s="1094" t="s">
        <v>67</v>
      </c>
      <c r="J2414" s="1067">
        <f>527518.25/279.9*79.6</f>
        <v>150019.48088603074</v>
      </c>
      <c r="K2414" s="1067">
        <f>1213632.41/279.9*E2414</f>
        <v>0</v>
      </c>
    </row>
    <row r="2415" spans="1:11" ht="22.5" x14ac:dyDescent="0.2">
      <c r="A2415" s="1068" t="s">
        <v>2703</v>
      </c>
      <c r="B2415" s="1069" t="s">
        <v>281</v>
      </c>
      <c r="C2415" s="1078" t="s">
        <v>5808</v>
      </c>
      <c r="F2415" s="786" t="s">
        <v>6568</v>
      </c>
      <c r="G2415" s="1088" t="s">
        <v>137</v>
      </c>
      <c r="H2415" s="1085">
        <v>104.3</v>
      </c>
      <c r="I2415" s="1094" t="s">
        <v>67</v>
      </c>
      <c r="J2415" s="1067">
        <f>247038-247038</f>
        <v>0</v>
      </c>
      <c r="K2415" s="1067">
        <v>597493.91</v>
      </c>
    </row>
    <row r="2416" spans="1:11" ht="45" x14ac:dyDescent="0.2">
      <c r="A2416" s="1072" t="s">
        <v>15099</v>
      </c>
      <c r="B2416" s="1061" t="s">
        <v>15181</v>
      </c>
      <c r="C2416" s="1061" t="s">
        <v>5809</v>
      </c>
      <c r="F2416" s="786" t="s">
        <v>15268</v>
      </c>
      <c r="G2416" s="1088" t="s">
        <v>137</v>
      </c>
      <c r="H2416" s="1085">
        <f>406.9</f>
        <v>406.9</v>
      </c>
      <c r="I2416" s="1097" t="s">
        <v>82</v>
      </c>
      <c r="J2416" s="1067">
        <f>1557714.6-625605.45-932109.15</f>
        <v>0</v>
      </c>
      <c r="K2416" s="1067">
        <v>5311749.91</v>
      </c>
    </row>
    <row r="2417" spans="1:11" ht="22.5" x14ac:dyDescent="0.2">
      <c r="A2417" s="1061" t="s">
        <v>15100</v>
      </c>
      <c r="B2417" s="1061" t="s">
        <v>281</v>
      </c>
      <c r="C2417" s="1061" t="s">
        <v>5809</v>
      </c>
      <c r="F2417" s="786" t="s">
        <v>15269</v>
      </c>
      <c r="G2417" s="1088" t="s">
        <v>137</v>
      </c>
      <c r="H2417" s="1085">
        <f>109.3-109.3</f>
        <v>0</v>
      </c>
      <c r="I2417" s="1098">
        <v>1981</v>
      </c>
      <c r="J2417" s="1067">
        <f>932109.15/406.9*109.3-250379.77</f>
        <v>4.1336938156746328E-3</v>
      </c>
      <c r="K2417" s="1067">
        <f>2033138.94-2033138.94</f>
        <v>0</v>
      </c>
    </row>
    <row r="2418" spans="1:11" ht="22.5" x14ac:dyDescent="0.2">
      <c r="A2418" s="1061" t="s">
        <v>13089</v>
      </c>
      <c r="B2418" s="1061" t="s">
        <v>3052</v>
      </c>
      <c r="C2418" s="1061" t="s">
        <v>5809</v>
      </c>
      <c r="F2418" s="786" t="s">
        <v>13090</v>
      </c>
      <c r="G2418" s="1088" t="s">
        <v>137</v>
      </c>
      <c r="H2418" s="1085">
        <v>293.89999999999998</v>
      </c>
      <c r="I2418" s="1097" t="s">
        <v>82</v>
      </c>
      <c r="J2418" s="1067" t="e">
        <f>932109.15/406.9*F2418</f>
        <v>#VALUE!</v>
      </c>
      <c r="K2418" s="1067">
        <v>5287960.4800000004</v>
      </c>
    </row>
    <row r="2419" spans="1:11" ht="22.5" x14ac:dyDescent="0.2">
      <c r="A2419" s="1072" t="s">
        <v>2704</v>
      </c>
      <c r="B2419" s="1061" t="s">
        <v>6442</v>
      </c>
      <c r="C2419" s="1061" t="s">
        <v>5809</v>
      </c>
      <c r="F2419" s="786" t="s">
        <v>6566</v>
      </c>
      <c r="G2419" s="1088" t="s">
        <v>137</v>
      </c>
      <c r="H2419" s="1085">
        <f>273.1-1</f>
        <v>272.10000000000002</v>
      </c>
      <c r="I2419" s="1097" t="s">
        <v>82</v>
      </c>
      <c r="J2419" s="1067">
        <v>625605.44999999995</v>
      </c>
      <c r="K2419" s="1067"/>
    </row>
    <row r="2420" spans="1:11" ht="22.5" x14ac:dyDescent="0.2">
      <c r="A2420" s="1061" t="s">
        <v>15101</v>
      </c>
      <c r="B2420" s="1061" t="s">
        <v>281</v>
      </c>
      <c r="C2420" s="1061" t="s">
        <v>15203</v>
      </c>
      <c r="F2420" s="786" t="s">
        <v>6566</v>
      </c>
      <c r="G2420" s="1088" t="s">
        <v>137</v>
      </c>
      <c r="H2420" s="1102">
        <v>1</v>
      </c>
      <c r="I2420" s="1097" t="s">
        <v>82</v>
      </c>
      <c r="J2420" s="1067">
        <v>2290.7600000000002</v>
      </c>
      <c r="K2420" s="1067"/>
    </row>
    <row r="2421" spans="1:11" ht="22.5" x14ac:dyDescent="0.2">
      <c r="A2421" s="1072" t="s">
        <v>2705</v>
      </c>
      <c r="B2421" s="1061" t="s">
        <v>281</v>
      </c>
      <c r="C2421" s="1061" t="s">
        <v>5810</v>
      </c>
      <c r="F2421" s="786" t="s">
        <v>6586</v>
      </c>
      <c r="G2421" s="1088" t="s">
        <v>137</v>
      </c>
      <c r="H2421" s="1085">
        <v>55.4</v>
      </c>
      <c r="I2421" s="1097" t="s">
        <v>488</v>
      </c>
      <c r="J2421" s="1067">
        <v>114402</v>
      </c>
      <c r="K2421" s="1067">
        <v>503745.55</v>
      </c>
    </row>
    <row r="2422" spans="1:11" ht="22.5" x14ac:dyDescent="0.2">
      <c r="A2422" s="1072" t="s">
        <v>15102</v>
      </c>
      <c r="B2422" s="1061" t="s">
        <v>281</v>
      </c>
      <c r="C2422" s="1061" t="s">
        <v>15204</v>
      </c>
      <c r="F2422" s="786" t="s">
        <v>15270</v>
      </c>
      <c r="G2422" s="1088" t="s">
        <v>137</v>
      </c>
      <c r="H2422" s="1085">
        <f>39.1-39.1</f>
        <v>0</v>
      </c>
      <c r="I2422" s="1097" t="s">
        <v>488</v>
      </c>
      <c r="J2422" s="1067">
        <f>86936-86936</f>
        <v>0</v>
      </c>
      <c r="K2422" s="1067"/>
    </row>
    <row r="2423" spans="1:11" ht="22.5" x14ac:dyDescent="0.2">
      <c r="A2423" s="1072" t="s">
        <v>2067</v>
      </c>
      <c r="B2423" s="1061" t="s">
        <v>281</v>
      </c>
      <c r="C2423" s="1061" t="s">
        <v>5811</v>
      </c>
      <c r="F2423" s="786" t="s">
        <v>5134</v>
      </c>
      <c r="G2423" s="1084" t="s">
        <v>15320</v>
      </c>
      <c r="H2423" s="1085">
        <v>83.6</v>
      </c>
      <c r="I2423" s="1097" t="s">
        <v>488</v>
      </c>
      <c r="J2423" s="1067">
        <v>211845.36</v>
      </c>
      <c r="K2423" s="1067"/>
    </row>
    <row r="2424" spans="1:11" ht="22.5" x14ac:dyDescent="0.2">
      <c r="A2424" s="1072" t="s">
        <v>15103</v>
      </c>
      <c r="B2424" s="1061" t="s">
        <v>281</v>
      </c>
      <c r="C2424" s="1061" t="s">
        <v>5811</v>
      </c>
      <c r="F2424" s="786"/>
      <c r="G2424" s="1084" t="s">
        <v>15320</v>
      </c>
      <c r="H2424" s="1085">
        <f>50</f>
        <v>50</v>
      </c>
      <c r="I2424" s="1097" t="s">
        <v>488</v>
      </c>
      <c r="J2424" s="1067">
        <f>126701.48</f>
        <v>126701.48</v>
      </c>
      <c r="K2424" s="1067"/>
    </row>
    <row r="2425" spans="1:11" ht="22.5" x14ac:dyDescent="0.2">
      <c r="A2425" s="1072" t="s">
        <v>2068</v>
      </c>
      <c r="B2425" s="1061" t="s">
        <v>281</v>
      </c>
      <c r="C2425" s="1061" t="s">
        <v>5812</v>
      </c>
      <c r="F2425" s="786" t="s">
        <v>8076</v>
      </c>
      <c r="G2425" s="1084" t="s">
        <v>137</v>
      </c>
      <c r="H2425" s="1085">
        <v>40.299999999999997</v>
      </c>
      <c r="I2425" s="1097" t="s">
        <v>488</v>
      </c>
      <c r="J2425" s="1067">
        <v>79766.320000000007</v>
      </c>
      <c r="K2425" s="1067">
        <v>751005.73</v>
      </c>
    </row>
    <row r="2426" spans="1:11" ht="22.5" x14ac:dyDescent="0.2">
      <c r="A2426" s="1072" t="s">
        <v>2069</v>
      </c>
      <c r="B2426" s="1061" t="s">
        <v>2278</v>
      </c>
      <c r="C2426" s="1061" t="s">
        <v>5813</v>
      </c>
      <c r="F2426" s="786" t="s">
        <v>3629</v>
      </c>
      <c r="G2426" s="1084" t="s">
        <v>15320</v>
      </c>
      <c r="H2426" s="1085">
        <f>127.4-34.2</f>
        <v>93.2</v>
      </c>
      <c r="I2426" s="1097" t="s">
        <v>488</v>
      </c>
      <c r="J2426" s="1067" t="e">
        <f>9244188/4481*F2426</f>
        <v>#VALUE!</v>
      </c>
      <c r="K2426" s="1067"/>
    </row>
    <row r="2427" spans="1:11" ht="22.5" x14ac:dyDescent="0.2">
      <c r="A2427" s="1061" t="s">
        <v>6520</v>
      </c>
      <c r="B2427" s="1061" t="s">
        <v>2278</v>
      </c>
      <c r="C2427" s="1061" t="s">
        <v>5813</v>
      </c>
      <c r="F2427" s="786" t="s">
        <v>3629</v>
      </c>
      <c r="G2427" s="1084" t="s">
        <v>15320</v>
      </c>
      <c r="H2427" s="1085">
        <v>34.200000000000003</v>
      </c>
      <c r="I2427" s="1097" t="s">
        <v>488</v>
      </c>
      <c r="J2427" s="1067">
        <v>69985.100000000006</v>
      </c>
      <c r="K2427" s="1067"/>
    </row>
    <row r="2428" spans="1:11" ht="22.5" x14ac:dyDescent="0.2">
      <c r="A2428" s="1072" t="s">
        <v>15104</v>
      </c>
      <c r="B2428" s="1061" t="s">
        <v>281</v>
      </c>
      <c r="C2428" s="1061" t="s">
        <v>15205</v>
      </c>
      <c r="F2428" s="786" t="s">
        <v>15271</v>
      </c>
      <c r="G2428" s="1084" t="s">
        <v>137</v>
      </c>
      <c r="H2428" s="1085">
        <f>26.6-26.6</f>
        <v>0</v>
      </c>
      <c r="I2428" s="1097" t="s">
        <v>163</v>
      </c>
      <c r="J2428" s="1067" t="e">
        <f>29662680/9381*F2428</f>
        <v>#VALUE!</v>
      </c>
      <c r="K2428" s="850"/>
    </row>
    <row r="2429" spans="1:11" ht="22.5" x14ac:dyDescent="0.2">
      <c r="A2429" s="1061" t="s">
        <v>15105</v>
      </c>
      <c r="B2429" s="1061" t="s">
        <v>281</v>
      </c>
      <c r="C2429" s="1061" t="s">
        <v>15206</v>
      </c>
      <c r="F2429" s="786" t="s">
        <v>15272</v>
      </c>
      <c r="G2429" s="1084" t="s">
        <v>137</v>
      </c>
      <c r="H2429" s="1085">
        <f>18.6-18.6</f>
        <v>0</v>
      </c>
      <c r="I2429" s="1097" t="s">
        <v>163</v>
      </c>
      <c r="J2429" s="1067" t="e">
        <f>29662680/9381*F2429</f>
        <v>#VALUE!</v>
      </c>
      <c r="K2429" s="850"/>
    </row>
    <row r="2430" spans="1:11" ht="22.5" x14ac:dyDescent="0.2">
      <c r="A2430" s="1072" t="s">
        <v>2070</v>
      </c>
      <c r="B2430" s="1061" t="s">
        <v>281</v>
      </c>
      <c r="C2430" s="1061" t="s">
        <v>5793</v>
      </c>
      <c r="F2430" s="786" t="s">
        <v>5485</v>
      </c>
      <c r="G2430" s="1084" t="s">
        <v>137</v>
      </c>
      <c r="H2430" s="1085">
        <v>96.6</v>
      </c>
      <c r="I2430" s="1097" t="s">
        <v>163</v>
      </c>
      <c r="J2430" s="1067" t="e">
        <f>29662680/9381*F2430</f>
        <v>#VALUE!</v>
      </c>
      <c r="K2430" s="1067">
        <v>2012477</v>
      </c>
    </row>
    <row r="2431" spans="1:11" ht="22.5" x14ac:dyDescent="0.2">
      <c r="A2431" s="1072" t="s">
        <v>2071</v>
      </c>
      <c r="B2431" s="1061" t="s">
        <v>281</v>
      </c>
      <c r="C2431" s="1061" t="s">
        <v>5793</v>
      </c>
      <c r="F2431" s="786" t="s">
        <v>5871</v>
      </c>
      <c r="G2431" s="1084" t="s">
        <v>137</v>
      </c>
      <c r="H2431" s="1085">
        <v>10.3</v>
      </c>
      <c r="I2431" s="1097" t="s">
        <v>163</v>
      </c>
      <c r="J2431" s="1067" t="e">
        <f>29662680/9381*F2431</f>
        <v>#VALUE!</v>
      </c>
      <c r="K2431" s="1067">
        <v>32625.35</v>
      </c>
    </row>
    <row r="2432" spans="1:11" ht="22.5" x14ac:dyDescent="0.2">
      <c r="A2432" s="1072" t="s">
        <v>2072</v>
      </c>
      <c r="B2432" s="1061" t="s">
        <v>281</v>
      </c>
      <c r="C2432" s="1061" t="s">
        <v>5793</v>
      </c>
      <c r="F2432" s="786" t="s">
        <v>6565</v>
      </c>
      <c r="G2432" s="1084" t="s">
        <v>137</v>
      </c>
      <c r="H2432" s="1101">
        <v>27.2</v>
      </c>
      <c r="I2432" s="1097" t="s">
        <v>163</v>
      </c>
      <c r="J2432" s="1067">
        <v>85765.8</v>
      </c>
      <c r="K2432" s="1067">
        <v>86156.27</v>
      </c>
    </row>
    <row r="2433" spans="1:11" ht="22.5" x14ac:dyDescent="0.2">
      <c r="A2433" s="1072" t="s">
        <v>2073</v>
      </c>
      <c r="B2433" s="1061" t="s">
        <v>281</v>
      </c>
      <c r="C2433" s="1061" t="s">
        <v>5814</v>
      </c>
      <c r="F2433" s="786" t="s">
        <v>15273</v>
      </c>
      <c r="G2433" s="1084" t="s">
        <v>137</v>
      </c>
      <c r="H2433" s="1085">
        <v>17.100000000000001</v>
      </c>
      <c r="I2433" s="1097" t="s">
        <v>163</v>
      </c>
      <c r="J2433" s="1067" t="e">
        <f>29662680/9381*F2433</f>
        <v>#VALUE!</v>
      </c>
      <c r="K2433" s="1067">
        <v>145699.01</v>
      </c>
    </row>
    <row r="2434" spans="1:11" ht="22.5" x14ac:dyDescent="0.2">
      <c r="A2434" s="1072" t="s">
        <v>15106</v>
      </c>
      <c r="B2434" s="1061" t="s">
        <v>281</v>
      </c>
      <c r="C2434" s="1061" t="s">
        <v>15207</v>
      </c>
      <c r="F2434" s="786" t="s">
        <v>15274</v>
      </c>
      <c r="G2434" s="1084" t="s">
        <v>137</v>
      </c>
      <c r="H2434" s="1085">
        <f>126.9-36.1-90.8</f>
        <v>0</v>
      </c>
      <c r="I2434" s="1097" t="s">
        <v>62</v>
      </c>
      <c r="J2434" s="1067">
        <f>254206.08/126.9*90.8-181890.56</f>
        <v>0</v>
      </c>
      <c r="K2434" s="1067">
        <f>2283233.02-2283233.02</f>
        <v>0</v>
      </c>
    </row>
    <row r="2435" spans="1:11" ht="22.5" x14ac:dyDescent="0.2">
      <c r="A2435" s="1061" t="s">
        <v>15107</v>
      </c>
      <c r="B2435" s="1061" t="s">
        <v>281</v>
      </c>
      <c r="C2435" s="1061" t="s">
        <v>15207</v>
      </c>
      <c r="F2435" s="786" t="s">
        <v>15274</v>
      </c>
      <c r="G2435" s="1084" t="s">
        <v>137</v>
      </c>
      <c r="H2435" s="1085">
        <f>36.1-36.1</f>
        <v>0</v>
      </c>
      <c r="I2435" s="1097" t="s">
        <v>62</v>
      </c>
      <c r="J2435" s="1067">
        <f>254206.08/126.9*36.1-72315.52</f>
        <v>0</v>
      </c>
      <c r="K2435" s="1112"/>
    </row>
    <row r="2436" spans="1:11" ht="22.5" x14ac:dyDescent="0.2">
      <c r="A2436" s="1072" t="s">
        <v>2074</v>
      </c>
      <c r="B2436" s="1061" t="s">
        <v>281</v>
      </c>
      <c r="C2436" s="1061" t="s">
        <v>6393</v>
      </c>
      <c r="F2436" s="786" t="s">
        <v>5937</v>
      </c>
      <c r="G2436" s="1084" t="s">
        <v>137</v>
      </c>
      <c r="H2436" s="1085">
        <v>81.7</v>
      </c>
      <c r="I2436" s="1097" t="s">
        <v>75</v>
      </c>
      <c r="J2436" s="1067" t="e">
        <f>4492616/8313*F2436</f>
        <v>#VALUE!</v>
      </c>
      <c r="K2436" s="1067"/>
    </row>
    <row r="2437" spans="1:11" ht="22.5" x14ac:dyDescent="0.2">
      <c r="A2437" s="1072" t="s">
        <v>15108</v>
      </c>
      <c r="B2437" s="1061" t="s">
        <v>15182</v>
      </c>
      <c r="C2437" s="1061" t="s">
        <v>15208</v>
      </c>
      <c r="F2437" s="786" t="s">
        <v>9436</v>
      </c>
      <c r="G2437" s="1084" t="s">
        <v>137</v>
      </c>
      <c r="H2437" s="1085">
        <f>66.4-66.4</f>
        <v>0</v>
      </c>
      <c r="I2437" s="1097" t="s">
        <v>75</v>
      </c>
      <c r="J2437" s="1067">
        <f>159939-159939</f>
        <v>0</v>
      </c>
      <c r="K2437" s="1067">
        <f>1426133.89-1426133.89</f>
        <v>0</v>
      </c>
    </row>
    <row r="2438" spans="1:11" ht="22.5" x14ac:dyDescent="0.2">
      <c r="A2438" s="1072" t="s">
        <v>2075</v>
      </c>
      <c r="B2438" s="1061" t="s">
        <v>281</v>
      </c>
      <c r="C2438" s="1061" t="s">
        <v>5815</v>
      </c>
      <c r="F2438" s="786" t="s">
        <v>6560</v>
      </c>
      <c r="G2438" s="1084" t="s">
        <v>137</v>
      </c>
      <c r="H2438" s="1085">
        <f>681.9</f>
        <v>681.9</v>
      </c>
      <c r="I2438" s="1097" t="s">
        <v>484</v>
      </c>
      <c r="J2438" s="1067">
        <f>1544450.82+2268.25+1.01</f>
        <v>1546720.08</v>
      </c>
      <c r="K2438" s="1067">
        <v>2956684.31</v>
      </c>
    </row>
    <row r="2439" spans="1:11" ht="33.75" x14ac:dyDescent="0.2">
      <c r="A2439" s="1072" t="s">
        <v>6521</v>
      </c>
      <c r="B2439" s="1061" t="s">
        <v>6561</v>
      </c>
      <c r="C2439" s="1061" t="s">
        <v>5815</v>
      </c>
      <c r="F2439" s="786" t="s">
        <v>6445</v>
      </c>
      <c r="G2439" s="1084" t="s">
        <v>137</v>
      </c>
      <c r="H2439" s="1085">
        <f>193.7</f>
        <v>193.7</v>
      </c>
      <c r="I2439" s="1097" t="s">
        <v>484</v>
      </c>
      <c r="J2439" s="1067">
        <v>367456.35</v>
      </c>
      <c r="K2439" s="1067">
        <v>839873.51</v>
      </c>
    </row>
    <row r="2440" spans="1:11" ht="22.5" x14ac:dyDescent="0.2">
      <c r="A2440" s="1072" t="s">
        <v>6522</v>
      </c>
      <c r="B2440" s="1061" t="s">
        <v>281</v>
      </c>
      <c r="C2440" s="1061" t="s">
        <v>5815</v>
      </c>
      <c r="F2440" s="786" t="s">
        <v>6559</v>
      </c>
      <c r="G2440" s="1084" t="s">
        <v>15320</v>
      </c>
      <c r="H2440" s="1085">
        <v>40.6</v>
      </c>
      <c r="I2440" s="1097" t="s">
        <v>484</v>
      </c>
      <c r="J2440" s="1067">
        <f>15442240/6808*40.6</f>
        <v>92090.91421856638</v>
      </c>
      <c r="K2440" s="1067">
        <v>176039.57</v>
      </c>
    </row>
    <row r="2441" spans="1:11" ht="22.5" x14ac:dyDescent="0.2">
      <c r="A2441" s="1072" t="s">
        <v>6523</v>
      </c>
      <c r="B2441" s="1061" t="s">
        <v>281</v>
      </c>
      <c r="C2441" s="1061" t="s">
        <v>5815</v>
      </c>
      <c r="F2441" s="786" t="s">
        <v>3664</v>
      </c>
      <c r="G2441" s="1084" t="s">
        <v>15324</v>
      </c>
      <c r="H2441" s="1085">
        <f>71.8</f>
        <v>71.8</v>
      </c>
      <c r="I2441" s="1099">
        <v>1983</v>
      </c>
      <c r="J2441" s="1067">
        <f>162649.35</f>
        <v>162649.35</v>
      </c>
      <c r="K2441" s="1067">
        <v>1338020.93</v>
      </c>
    </row>
    <row r="2442" spans="1:11" ht="22.5" x14ac:dyDescent="0.2">
      <c r="A2442" s="1072" t="s">
        <v>6524</v>
      </c>
      <c r="B2442" s="1061" t="s">
        <v>2278</v>
      </c>
      <c r="C2442" s="1061" t="s">
        <v>5816</v>
      </c>
      <c r="F2442" s="786" t="s">
        <v>3662</v>
      </c>
      <c r="G2442" s="1084" t="s">
        <v>15320</v>
      </c>
      <c r="H2442" s="1085">
        <v>29.1</v>
      </c>
      <c r="I2442" s="1097" t="s">
        <v>161</v>
      </c>
      <c r="J2442" s="1067">
        <v>109993.89</v>
      </c>
      <c r="K2442" s="1113">
        <v>134632.60999999999</v>
      </c>
    </row>
    <row r="2443" spans="1:11" ht="22.5" x14ac:dyDescent="0.2">
      <c r="A2443" s="1072" t="s">
        <v>15109</v>
      </c>
      <c r="B2443" s="1061" t="s">
        <v>281</v>
      </c>
      <c r="C2443" s="1061" t="s">
        <v>5816</v>
      </c>
      <c r="F2443" s="786" t="s">
        <v>15275</v>
      </c>
      <c r="G2443" s="1084" t="s">
        <v>137</v>
      </c>
      <c r="H2443" s="1103">
        <f>57.1-57.1</f>
        <v>0</v>
      </c>
      <c r="I2443" s="1097" t="s">
        <v>161</v>
      </c>
      <c r="J2443" s="1067" t="e">
        <f>28870560/7638*F2443</f>
        <v>#VALUE!</v>
      </c>
      <c r="K2443" s="894"/>
    </row>
    <row r="2444" spans="1:11" ht="22.5" x14ac:dyDescent="0.2">
      <c r="A2444" s="1072" t="s">
        <v>15110</v>
      </c>
      <c r="B2444" s="1061" t="s">
        <v>15183</v>
      </c>
      <c r="C2444" s="1061" t="s">
        <v>15209</v>
      </c>
      <c r="F2444" s="786"/>
      <c r="G2444" s="1089"/>
      <c r="H2444" s="1100">
        <v>125.6</v>
      </c>
      <c r="I2444" s="1097">
        <v>1940</v>
      </c>
      <c r="J2444" s="1067">
        <v>322506</v>
      </c>
      <c r="K2444" s="1067"/>
    </row>
    <row r="2445" spans="1:11" ht="33.75" x14ac:dyDescent="0.2">
      <c r="A2445" s="1072" t="s">
        <v>15111</v>
      </c>
      <c r="B2445" s="1061" t="s">
        <v>281</v>
      </c>
      <c r="C2445" s="1061" t="s">
        <v>15210</v>
      </c>
      <c r="F2445" s="786" t="s">
        <v>15276</v>
      </c>
      <c r="G2445" s="1084" t="s">
        <v>137</v>
      </c>
      <c r="H2445" s="1085">
        <f>30.9-30.9</f>
        <v>0</v>
      </c>
      <c r="I2445" s="1097" t="s">
        <v>2862</v>
      </c>
      <c r="J2445" s="1067">
        <f>91093.87-91093.87</f>
        <v>0</v>
      </c>
      <c r="K2445" s="1067">
        <f>278177.25-278177.25</f>
        <v>0</v>
      </c>
    </row>
    <row r="2446" spans="1:11" ht="33.75" x14ac:dyDescent="0.2">
      <c r="A2446" s="1072" t="s">
        <v>2076</v>
      </c>
      <c r="B2446" s="1061" t="s">
        <v>3150</v>
      </c>
      <c r="C2446" s="1061" t="s">
        <v>5823</v>
      </c>
      <c r="F2446" s="786" t="s">
        <v>3474</v>
      </c>
      <c r="G2446" s="1084" t="s">
        <v>15325</v>
      </c>
      <c r="H2446" s="1085">
        <v>493.26</v>
      </c>
      <c r="I2446" s="1097" t="s">
        <v>159</v>
      </c>
      <c r="J2446" s="1067">
        <v>997128.67</v>
      </c>
      <c r="K2446" s="1113">
        <v>10859619.109999999</v>
      </c>
    </row>
    <row r="2447" spans="1:11" ht="22.5" x14ac:dyDescent="0.2">
      <c r="A2447" s="1072" t="s">
        <v>4799</v>
      </c>
      <c r="B2447" s="1061" t="s">
        <v>281</v>
      </c>
      <c r="C2447" s="1061" t="s">
        <v>5823</v>
      </c>
      <c r="F2447" s="786" t="s">
        <v>8197</v>
      </c>
      <c r="G2447" s="1084" t="s">
        <v>15325</v>
      </c>
      <c r="H2447" s="1085">
        <v>269.3</v>
      </c>
      <c r="I2447" s="1097" t="s">
        <v>76</v>
      </c>
      <c r="J2447" s="1067">
        <v>544391.89</v>
      </c>
      <c r="K2447" s="1065">
        <v>4875221.08</v>
      </c>
    </row>
    <row r="2448" spans="1:11" ht="22.5" x14ac:dyDescent="0.2">
      <c r="A2448" s="1072" t="s">
        <v>2077</v>
      </c>
      <c r="B2448" s="1061" t="s">
        <v>281</v>
      </c>
      <c r="C2448" s="1061" t="s">
        <v>5817</v>
      </c>
      <c r="F2448" s="786" t="s">
        <v>3473</v>
      </c>
      <c r="G2448" s="1084" t="s">
        <v>137</v>
      </c>
      <c r="H2448" s="1088">
        <f>575.9-29.42-145.68</f>
        <v>400.8</v>
      </c>
      <c r="I2448" s="1097" t="s">
        <v>159</v>
      </c>
      <c r="J2448" s="1067">
        <f>1164190.08-59472.95-294494.2</f>
        <v>810222.93000000017</v>
      </c>
      <c r="K2448" s="1114">
        <v>3331834.9</v>
      </c>
    </row>
    <row r="2449" spans="1:11" ht="22.5" x14ac:dyDescent="0.2">
      <c r="A2449" s="1061" t="s">
        <v>11573</v>
      </c>
      <c r="B2449" s="1061" t="s">
        <v>281</v>
      </c>
      <c r="C2449" s="1061" t="s">
        <v>5817</v>
      </c>
      <c r="F2449" s="786" t="s">
        <v>3473</v>
      </c>
      <c r="G2449" s="1084" t="s">
        <v>15321</v>
      </c>
      <c r="H2449" s="1088">
        <v>29.42</v>
      </c>
      <c r="I2449" s="1097" t="s">
        <v>159</v>
      </c>
      <c r="J2449" s="1067" t="e">
        <f>1164190.08/575.9*F2449</f>
        <v>#VALUE!</v>
      </c>
      <c r="K2449" s="1115"/>
    </row>
    <row r="2450" spans="1:11" ht="22.5" x14ac:dyDescent="0.2">
      <c r="A2450" s="1061" t="s">
        <v>11624</v>
      </c>
      <c r="B2450" s="1061" t="s">
        <v>281</v>
      </c>
      <c r="C2450" s="1061" t="s">
        <v>5817</v>
      </c>
      <c r="F2450" s="786" t="s">
        <v>3473</v>
      </c>
      <c r="G2450" s="1084" t="s">
        <v>15321</v>
      </c>
      <c r="H2450" s="1088">
        <v>145.68</v>
      </c>
      <c r="I2450" s="1097" t="s">
        <v>159</v>
      </c>
      <c r="J2450" s="1067" t="e">
        <f>1164190.08/575.9*F2450</f>
        <v>#VALUE!</v>
      </c>
      <c r="K2450" s="1116"/>
    </row>
    <row r="2451" spans="1:11" ht="33.75" x14ac:dyDescent="0.2">
      <c r="A2451" s="1072" t="s">
        <v>4800</v>
      </c>
      <c r="B2451" s="1061" t="s">
        <v>3149</v>
      </c>
      <c r="C2451" s="1061" t="s">
        <v>5817</v>
      </c>
      <c r="F2451" s="786" t="s">
        <v>3475</v>
      </c>
      <c r="G2451" s="1084" t="s">
        <v>15321</v>
      </c>
      <c r="H2451" s="1085">
        <v>327.9</v>
      </c>
      <c r="I2451" s="1097" t="s">
        <v>159</v>
      </c>
      <c r="J2451" s="1067">
        <v>662852.73</v>
      </c>
      <c r="K2451" s="1117">
        <v>6073651.1900000004</v>
      </c>
    </row>
    <row r="2452" spans="1:11" ht="22.5" x14ac:dyDescent="0.2">
      <c r="A2452" s="1072" t="s">
        <v>15112</v>
      </c>
      <c r="B2452" s="1061" t="s">
        <v>281</v>
      </c>
      <c r="C2452" s="1061" t="s">
        <v>15211</v>
      </c>
      <c r="F2452" s="786" t="s">
        <v>15277</v>
      </c>
      <c r="G2452" s="1084" t="s">
        <v>15321</v>
      </c>
      <c r="H2452" s="1085">
        <f>78.4-78.4</f>
        <v>0</v>
      </c>
      <c r="I2452" s="1097" t="s">
        <v>159</v>
      </c>
      <c r="J2452" s="1067">
        <f>165764.64-165764.64</f>
        <v>0</v>
      </c>
      <c r="K2452" s="1067"/>
    </row>
    <row r="2453" spans="1:11" ht="22.5" x14ac:dyDescent="0.2">
      <c r="A2453" s="1072" t="s">
        <v>2078</v>
      </c>
      <c r="B2453" s="1061" t="s">
        <v>281</v>
      </c>
      <c r="C2453" s="1061" t="s">
        <v>5823</v>
      </c>
      <c r="F2453" s="786" t="s">
        <v>8077</v>
      </c>
      <c r="G2453" s="1084" t="s">
        <v>15321</v>
      </c>
      <c r="H2453" s="1085">
        <f>148-20</f>
        <v>128</v>
      </c>
      <c r="I2453" s="1097" t="s">
        <v>159</v>
      </c>
      <c r="J2453" s="1067">
        <f>299183.56-40430.21</f>
        <v>258753.35</v>
      </c>
      <c r="K2453" s="1067">
        <f>299183.56-40430.21</f>
        <v>258753.35</v>
      </c>
    </row>
    <row r="2454" spans="1:11" ht="22.5" x14ac:dyDescent="0.2">
      <c r="A2454" s="1061" t="s">
        <v>6525</v>
      </c>
      <c r="B2454" s="1061" t="s">
        <v>281</v>
      </c>
      <c r="C2454" s="1061" t="s">
        <v>5817</v>
      </c>
      <c r="F2454" s="786" t="s">
        <v>8077</v>
      </c>
      <c r="G2454" s="1084" t="s">
        <v>15321</v>
      </c>
      <c r="H2454" s="1085">
        <v>20</v>
      </c>
      <c r="I2454" s="1097" t="s">
        <v>159</v>
      </c>
      <c r="J2454" s="1067">
        <v>40430.21</v>
      </c>
      <c r="K2454" s="1067">
        <v>40430.21</v>
      </c>
    </row>
    <row r="2455" spans="1:11" ht="22.5" x14ac:dyDescent="0.2">
      <c r="A2455" s="1072" t="s">
        <v>2079</v>
      </c>
      <c r="B2455" s="1061" t="s">
        <v>281</v>
      </c>
      <c r="C2455" s="1061" t="s">
        <v>5821</v>
      </c>
      <c r="F2455" s="786" t="s">
        <v>9243</v>
      </c>
      <c r="G2455" s="1090" t="s">
        <v>137</v>
      </c>
      <c r="H2455" s="1102">
        <v>413.5</v>
      </c>
      <c r="I2455" s="1097" t="s">
        <v>18</v>
      </c>
      <c r="J2455" s="1067">
        <v>917614.44</v>
      </c>
      <c r="K2455" s="1118">
        <v>85003.199999999997</v>
      </c>
    </row>
    <row r="2456" spans="1:11" ht="22.5" x14ac:dyDescent="0.2">
      <c r="A2456" s="1072" t="s">
        <v>2080</v>
      </c>
      <c r="B2456" s="1061" t="s">
        <v>281</v>
      </c>
      <c r="C2456" s="1061" t="s">
        <v>5821</v>
      </c>
      <c r="F2456" s="786" t="s">
        <v>15278</v>
      </c>
      <c r="G2456" s="1084" t="s">
        <v>137</v>
      </c>
      <c r="H2456" s="1085">
        <v>19.600000000000001</v>
      </c>
      <c r="I2456" s="1097" t="s">
        <v>18</v>
      </c>
      <c r="J2456" s="1067">
        <v>43495.15</v>
      </c>
      <c r="K2456" s="1067">
        <v>117712.7</v>
      </c>
    </row>
    <row r="2457" spans="1:11" ht="22.5" x14ac:dyDescent="0.2">
      <c r="A2457" s="1072" t="s">
        <v>15113</v>
      </c>
      <c r="B2457" s="1061" t="s">
        <v>281</v>
      </c>
      <c r="C2457" s="1061" t="s">
        <v>15212</v>
      </c>
      <c r="F2457" s="786" t="s">
        <v>15279</v>
      </c>
      <c r="G2457" s="1084" t="s">
        <v>137</v>
      </c>
      <c r="H2457" s="1085">
        <f>59.4-59.4</f>
        <v>0</v>
      </c>
      <c r="I2457" s="1097" t="s">
        <v>165</v>
      </c>
      <c r="J2457" s="1067" t="e">
        <f>115588.84/70.1*F2457</f>
        <v>#VALUE!</v>
      </c>
      <c r="K2457" s="1067">
        <f>480095.15-480095.15</f>
        <v>0</v>
      </c>
    </row>
    <row r="2458" spans="1:11" ht="22.5" x14ac:dyDescent="0.2">
      <c r="A2458" s="1072" t="s">
        <v>2081</v>
      </c>
      <c r="B2458" s="1061" t="s">
        <v>281</v>
      </c>
      <c r="C2458" s="1061" t="s">
        <v>5822</v>
      </c>
      <c r="F2458" s="786" t="s">
        <v>9242</v>
      </c>
      <c r="G2458" s="1084" t="s">
        <v>137</v>
      </c>
      <c r="H2458" s="1085">
        <f>117.9</f>
        <v>117.9</v>
      </c>
      <c r="I2458" s="1097" t="s">
        <v>165</v>
      </c>
      <c r="J2458" s="1067">
        <v>194408.25</v>
      </c>
      <c r="K2458" s="1113">
        <v>1724042.27</v>
      </c>
    </row>
    <row r="2459" spans="1:11" ht="33.75" x14ac:dyDescent="0.2">
      <c r="A2459" s="1072" t="s">
        <v>2082</v>
      </c>
      <c r="B2459" s="1061" t="s">
        <v>5265</v>
      </c>
      <c r="C2459" s="1061" t="s">
        <v>5818</v>
      </c>
      <c r="F2459" s="786" t="s">
        <v>5639</v>
      </c>
      <c r="G2459" s="1089" t="s">
        <v>137</v>
      </c>
      <c r="H2459" s="1104">
        <v>593.9</v>
      </c>
      <c r="I2459" s="1097" t="s">
        <v>36</v>
      </c>
      <c r="J2459" s="1067">
        <f>7063175+3995065.3</f>
        <v>11058240.300000001</v>
      </c>
      <c r="K2459" s="1067">
        <v>122088.02</v>
      </c>
    </row>
    <row r="2460" spans="1:11" ht="22.5" x14ac:dyDescent="0.2">
      <c r="A2460" s="1072" t="s">
        <v>2083</v>
      </c>
      <c r="B2460" s="1061" t="s">
        <v>7723</v>
      </c>
      <c r="C2460" s="1061" t="s">
        <v>5820</v>
      </c>
      <c r="F2460" s="786" t="s">
        <v>6662</v>
      </c>
      <c r="G2460" s="1084" t="s">
        <v>15326</v>
      </c>
      <c r="H2460" s="1085">
        <v>296.5</v>
      </c>
      <c r="I2460" s="1097" t="s">
        <v>161</v>
      </c>
      <c r="J2460" s="1067">
        <v>159939</v>
      </c>
      <c r="K2460" s="1112">
        <v>1780704.88</v>
      </c>
    </row>
    <row r="2461" spans="1:11" ht="22.5" x14ac:dyDescent="0.2">
      <c r="A2461" s="1072" t="s">
        <v>15114</v>
      </c>
      <c r="B2461" s="1061" t="s">
        <v>281</v>
      </c>
      <c r="C2461" s="1061" t="s">
        <v>15213</v>
      </c>
      <c r="F2461" s="786"/>
      <c r="G2461" s="1084" t="s">
        <v>15321</v>
      </c>
      <c r="H2461" s="1085">
        <v>55.6</v>
      </c>
      <c r="I2461" s="1097" t="s">
        <v>35</v>
      </c>
      <c r="J2461" s="1067">
        <v>77007.95</v>
      </c>
      <c r="K2461" s="1067"/>
    </row>
    <row r="2462" spans="1:11" ht="33.75" x14ac:dyDescent="0.2">
      <c r="A2462" s="1072" t="s">
        <v>2084</v>
      </c>
      <c r="B2462" s="1061" t="s">
        <v>281</v>
      </c>
      <c r="C2462" s="1061" t="s">
        <v>11575</v>
      </c>
      <c r="F2462" s="786" t="s">
        <v>15280</v>
      </c>
      <c r="G2462" s="1084" t="s">
        <v>15327</v>
      </c>
      <c r="H2462" s="1085">
        <f>162.6</f>
        <v>162.6</v>
      </c>
      <c r="I2462" s="1097" t="s">
        <v>77</v>
      </c>
      <c r="J2462" s="1067">
        <f>203962.07</f>
        <v>203962.07</v>
      </c>
      <c r="K2462" s="1112">
        <v>10731311.460000001</v>
      </c>
    </row>
    <row r="2463" spans="1:11" ht="22.5" x14ac:dyDescent="0.2">
      <c r="A2463" s="1061" t="s">
        <v>6457</v>
      </c>
      <c r="B2463" s="1061" t="s">
        <v>281</v>
      </c>
      <c r="C2463" s="1061" t="s">
        <v>11575</v>
      </c>
      <c r="F2463" s="786" t="s">
        <v>15281</v>
      </c>
      <c r="G2463" s="1084" t="s">
        <v>15327</v>
      </c>
      <c r="H2463" s="1085">
        <f>170.7-8.1</f>
        <v>162.6</v>
      </c>
      <c r="I2463" s="1097" t="s">
        <v>77</v>
      </c>
      <c r="J2463" s="1067">
        <f>214122-J2464</f>
        <v>203961.55360281194</v>
      </c>
      <c r="K2463" s="1112"/>
    </row>
    <row r="2464" spans="1:11" ht="22.5" x14ac:dyDescent="0.2">
      <c r="A2464" s="1061" t="s">
        <v>6526</v>
      </c>
      <c r="B2464" s="1061" t="s">
        <v>281</v>
      </c>
      <c r="C2464" s="1061" t="s">
        <v>11575</v>
      </c>
      <c r="F2464" s="786" t="s">
        <v>15281</v>
      </c>
      <c r="G2464" s="1084" t="s">
        <v>15327</v>
      </c>
      <c r="H2464" s="1085">
        <v>8.1</v>
      </c>
      <c r="I2464" s="1097" t="s">
        <v>77</v>
      </c>
      <c r="J2464" s="1067">
        <f>214122/170.7*8.1</f>
        <v>10160.446397188049</v>
      </c>
      <c r="K2464" s="1112"/>
    </row>
    <row r="2465" spans="1:11" ht="22.5" x14ac:dyDescent="0.2">
      <c r="A2465" s="1061" t="s">
        <v>10502</v>
      </c>
      <c r="B2465" s="1061" t="s">
        <v>281</v>
      </c>
      <c r="C2465" s="1061" t="s">
        <v>11575</v>
      </c>
      <c r="F2465" s="786" t="s">
        <v>15281</v>
      </c>
      <c r="G2465" s="1084" t="s">
        <v>137</v>
      </c>
      <c r="H2465" s="1101">
        <f>217.7</f>
        <v>217.7</v>
      </c>
      <c r="I2465" s="1097" t="s">
        <v>77</v>
      </c>
      <c r="J2465" s="1067">
        <f>273078.38</f>
        <v>273078.38</v>
      </c>
      <c r="K2465" s="1112"/>
    </row>
    <row r="2466" spans="1:11" ht="22.5" x14ac:dyDescent="0.2">
      <c r="A2466" s="1061" t="s">
        <v>11576</v>
      </c>
      <c r="B2466" s="1061" t="s">
        <v>11577</v>
      </c>
      <c r="C2466" s="1061" t="s">
        <v>11575</v>
      </c>
      <c r="F2466" s="786" t="s">
        <v>15281</v>
      </c>
      <c r="G2466" s="1084" t="s">
        <v>15320</v>
      </c>
      <c r="H2466" s="1101">
        <v>82.8</v>
      </c>
      <c r="I2466" s="1097" t="s">
        <v>77</v>
      </c>
      <c r="J2466" s="1067"/>
      <c r="K2466" s="1112"/>
    </row>
    <row r="2467" spans="1:11" ht="22.5" x14ac:dyDescent="0.2">
      <c r="A2467" s="1072" t="s">
        <v>2085</v>
      </c>
      <c r="B2467" s="1061" t="s">
        <v>281</v>
      </c>
      <c r="C2467" s="1061" t="s">
        <v>5824</v>
      </c>
      <c r="F2467" s="786" t="s">
        <v>15282</v>
      </c>
      <c r="G2467" s="1084" t="s">
        <v>15321</v>
      </c>
      <c r="H2467" s="1085">
        <f>132.9-132.9</f>
        <v>0</v>
      </c>
      <c r="I2467" s="1097" t="s">
        <v>473</v>
      </c>
      <c r="J2467" s="1067">
        <f>288043.93-288043.93</f>
        <v>0</v>
      </c>
      <c r="K2467" s="1067">
        <f>1260067.43-1260067.43</f>
        <v>0</v>
      </c>
    </row>
    <row r="2468" spans="1:11" ht="56.25" x14ac:dyDescent="0.2">
      <c r="A2468" s="1061" t="s">
        <v>11584</v>
      </c>
      <c r="B2468" s="1061" t="s">
        <v>15184</v>
      </c>
      <c r="C2468" s="1061" t="s">
        <v>15214</v>
      </c>
      <c r="F2468" s="786" t="s">
        <v>15283</v>
      </c>
      <c r="G2468" s="1084" t="s">
        <v>15328</v>
      </c>
      <c r="H2468" s="1085">
        <v>90.5</v>
      </c>
      <c r="I2468" s="1097" t="s">
        <v>473</v>
      </c>
      <c r="J2468" s="1067" t="e">
        <f>288043.93/132.9*F2468</f>
        <v>#VALUE!</v>
      </c>
      <c r="K2468" s="1067">
        <v>858059.46</v>
      </c>
    </row>
    <row r="2469" spans="1:11" ht="56.25" x14ac:dyDescent="0.2">
      <c r="A2469" s="1061" t="s">
        <v>15115</v>
      </c>
      <c r="B2469" s="1061" t="s">
        <v>15184</v>
      </c>
      <c r="C2469" s="1061" t="s">
        <v>15215</v>
      </c>
      <c r="F2469" s="786" t="s">
        <v>15284</v>
      </c>
      <c r="G2469" s="1084" t="s">
        <v>15328</v>
      </c>
      <c r="H2469" s="1085">
        <v>42.4</v>
      </c>
      <c r="I2469" s="1097" t="s">
        <v>473</v>
      </c>
      <c r="J2469" s="1067" t="e">
        <f>288043.93/132.9*F2469</f>
        <v>#VALUE!</v>
      </c>
      <c r="K2469" s="1067">
        <v>402007.97</v>
      </c>
    </row>
    <row r="2470" spans="1:11" ht="22.5" x14ac:dyDescent="0.2">
      <c r="A2470" s="1072" t="s">
        <v>2086</v>
      </c>
      <c r="B2470" s="1061" t="s">
        <v>281</v>
      </c>
      <c r="C2470" s="1061" t="s">
        <v>5824</v>
      </c>
      <c r="F2470" s="786" t="s">
        <v>6230</v>
      </c>
      <c r="G2470" s="1085" t="s">
        <v>15321</v>
      </c>
      <c r="H2470" s="1085">
        <v>155.19999999999999</v>
      </c>
      <c r="I2470" s="1097" t="s">
        <v>473</v>
      </c>
      <c r="J2470" s="1067" t="e">
        <f>16550707/7738*F2470</f>
        <v>#VALUE!</v>
      </c>
      <c r="K2470" s="1067">
        <v>1471500.86</v>
      </c>
    </row>
    <row r="2471" spans="1:11" ht="22.5" x14ac:dyDescent="0.2">
      <c r="A2471" s="1072" t="s">
        <v>2087</v>
      </c>
      <c r="B2471" s="1061" t="s">
        <v>281</v>
      </c>
      <c r="C2471" s="1061" t="s">
        <v>5824</v>
      </c>
      <c r="F2471" s="786" t="s">
        <v>6231</v>
      </c>
      <c r="G2471" s="1085" t="s">
        <v>15321</v>
      </c>
      <c r="H2471" s="1085">
        <f>151.9-21.8-36.5-56.1</f>
        <v>37.499999999999993</v>
      </c>
      <c r="I2471" s="1097" t="s">
        <v>473</v>
      </c>
      <c r="J2471" s="1067">
        <f>16550707/7738*151.9-46627.73-78069.37</f>
        <v>200199.82340398041</v>
      </c>
      <c r="K2471" s="1282">
        <v>1440212.51</v>
      </c>
    </row>
    <row r="2472" spans="1:11" ht="22.5" x14ac:dyDescent="0.2">
      <c r="A2472" s="1061" t="s">
        <v>11587</v>
      </c>
      <c r="B2472" s="1061" t="s">
        <v>281</v>
      </c>
      <c r="C2472" s="1061" t="s">
        <v>5824</v>
      </c>
      <c r="F2472" s="786" t="s">
        <v>6231</v>
      </c>
      <c r="G2472" s="1085" t="s">
        <v>15321</v>
      </c>
      <c r="H2472" s="1085">
        <v>21.8</v>
      </c>
      <c r="I2472" s="1097" t="s">
        <v>473</v>
      </c>
      <c r="J2472" s="1067">
        <f>16550707/7738*21.8</f>
        <v>46627.734892737142</v>
      </c>
      <c r="K2472" s="1283"/>
    </row>
    <row r="2473" spans="1:11" ht="22.5" x14ac:dyDescent="0.2">
      <c r="A2473" s="1061" t="s">
        <v>15116</v>
      </c>
      <c r="B2473" s="1061" t="s">
        <v>281</v>
      </c>
      <c r="C2473" s="1061" t="s">
        <v>5824</v>
      </c>
      <c r="F2473" s="786" t="s">
        <v>6231</v>
      </c>
      <c r="G2473" s="1085" t="s">
        <v>15321</v>
      </c>
      <c r="H2473" s="1085">
        <v>36.5</v>
      </c>
      <c r="I2473" s="1097" t="s">
        <v>473</v>
      </c>
      <c r="J2473" s="1067">
        <f>16550707/7738*36.5</f>
        <v>78069.372641509428</v>
      </c>
      <c r="K2473" s="1283"/>
    </row>
    <row r="2474" spans="1:11" ht="22.5" x14ac:dyDescent="0.2">
      <c r="A2474" s="1061" t="s">
        <v>15116</v>
      </c>
      <c r="B2474" s="1061" t="s">
        <v>281</v>
      </c>
      <c r="C2474" s="1061" t="s">
        <v>5824</v>
      </c>
      <c r="F2474" s="786" t="s">
        <v>6231</v>
      </c>
      <c r="G2474" s="1085" t="s">
        <v>15321</v>
      </c>
      <c r="H2474" s="1085">
        <v>56.1</v>
      </c>
      <c r="I2474" s="1097" t="s">
        <v>473</v>
      </c>
      <c r="J2474" s="1067"/>
      <c r="K2474" s="1284"/>
    </row>
    <row r="2475" spans="1:11" ht="22.5" x14ac:dyDescent="0.2">
      <c r="A2475" s="1072" t="s">
        <v>15117</v>
      </c>
      <c r="B2475" s="1061" t="s">
        <v>15185</v>
      </c>
      <c r="C2475" s="1061" t="s">
        <v>5824</v>
      </c>
      <c r="F2475" s="786" t="s">
        <v>15285</v>
      </c>
      <c r="G2475" s="1085" t="s">
        <v>15321</v>
      </c>
      <c r="H2475" s="1085">
        <f>72.3-72.3</f>
        <v>0</v>
      </c>
      <c r="I2475" s="1097" t="s">
        <v>473</v>
      </c>
      <c r="J2475" s="1067" t="e">
        <f>16550707/7738*F2475</f>
        <v>#VALUE!</v>
      </c>
      <c r="K2475" s="1067">
        <f>1000919.75-1000919.75</f>
        <v>0</v>
      </c>
    </row>
    <row r="2476" spans="1:11" ht="22.5" x14ac:dyDescent="0.2">
      <c r="A2476" s="1072" t="s">
        <v>2088</v>
      </c>
      <c r="B2476" s="1061" t="s">
        <v>281</v>
      </c>
      <c r="C2476" s="1061" t="s">
        <v>5824</v>
      </c>
      <c r="F2476" s="786" t="s">
        <v>6453</v>
      </c>
      <c r="G2476" s="1085" t="s">
        <v>15321</v>
      </c>
      <c r="H2476" s="1085">
        <f>27.2-13.6</f>
        <v>13.6</v>
      </c>
      <c r="I2476" s="1097" t="s">
        <v>473</v>
      </c>
      <c r="J2476" s="1067" t="e">
        <f>16550707/7738*F2476</f>
        <v>#VALUE!</v>
      </c>
      <c r="K2476" s="1280">
        <v>257891.9</v>
      </c>
    </row>
    <row r="2477" spans="1:11" ht="22.5" x14ac:dyDescent="0.2">
      <c r="A2477" s="1061" t="s">
        <v>6458</v>
      </c>
      <c r="B2477" s="1061" t="s">
        <v>281</v>
      </c>
      <c r="C2477" s="1061" t="s">
        <v>5824</v>
      </c>
      <c r="F2477" s="786" t="s">
        <v>6453</v>
      </c>
      <c r="G2477" s="1085" t="s">
        <v>15321</v>
      </c>
      <c r="H2477" s="1085">
        <v>13.6</v>
      </c>
      <c r="I2477" s="1097" t="s">
        <v>473</v>
      </c>
      <c r="J2477" s="1067" t="e">
        <f>16550707/7738*F2477</f>
        <v>#VALUE!</v>
      </c>
      <c r="K2477" s="1280"/>
    </row>
    <row r="2478" spans="1:11" ht="22.5" x14ac:dyDescent="0.2">
      <c r="A2478" s="1072" t="s">
        <v>2089</v>
      </c>
      <c r="B2478" s="1061" t="s">
        <v>281</v>
      </c>
      <c r="C2478" s="1061" t="s">
        <v>5824</v>
      </c>
      <c r="F2478" s="786" t="s">
        <v>6452</v>
      </c>
      <c r="G2478" s="1085" t="s">
        <v>15321</v>
      </c>
      <c r="H2478" s="1085">
        <f>51.5-8+4.35</f>
        <v>47.85</v>
      </c>
      <c r="I2478" s="1097" t="s">
        <v>473</v>
      </c>
      <c r="J2478" s="1067" t="e">
        <f>111619.73/51.5*F2478</f>
        <v>#VALUE!</v>
      </c>
      <c r="K2478" s="1067">
        <v>488287.98</v>
      </c>
    </row>
    <row r="2479" spans="1:11" ht="22.5" x14ac:dyDescent="0.2">
      <c r="A2479" s="1072" t="s">
        <v>2090</v>
      </c>
      <c r="B2479" s="1061" t="s">
        <v>281</v>
      </c>
      <c r="C2479" s="1061" t="s">
        <v>5824</v>
      </c>
      <c r="F2479" s="786" t="s">
        <v>6383</v>
      </c>
      <c r="G2479" s="1085" t="s">
        <v>15321</v>
      </c>
      <c r="H2479" s="1085">
        <v>25.6</v>
      </c>
      <c r="I2479" s="1097" t="s">
        <v>473</v>
      </c>
      <c r="J2479" s="1067" t="e">
        <f>16550707/7738*F2479</f>
        <v>#VALUE!</v>
      </c>
      <c r="K2479" s="1067">
        <v>354405.89</v>
      </c>
    </row>
    <row r="2480" spans="1:11" ht="22.5" x14ac:dyDescent="0.2">
      <c r="A2480" s="1072" t="s">
        <v>2091</v>
      </c>
      <c r="B2480" s="1061" t="s">
        <v>281</v>
      </c>
      <c r="C2480" s="1061" t="s">
        <v>5825</v>
      </c>
      <c r="F2480" s="786" t="s">
        <v>3660</v>
      </c>
      <c r="G2480" s="1084" t="s">
        <v>15324</v>
      </c>
      <c r="H2480" s="1085">
        <v>48</v>
      </c>
      <c r="I2480" s="1097" t="s">
        <v>159</v>
      </c>
      <c r="J2480" s="1067">
        <v>87615.360000000001</v>
      </c>
      <c r="K2480" s="1065">
        <v>455103.36</v>
      </c>
    </row>
    <row r="2481" spans="1:11" ht="22.5" x14ac:dyDescent="0.2">
      <c r="A2481" s="1072" t="s">
        <v>2092</v>
      </c>
      <c r="B2481" s="1061" t="s">
        <v>281</v>
      </c>
      <c r="C2481" s="1061" t="s">
        <v>5825</v>
      </c>
      <c r="F2481" s="786" t="s">
        <v>3659</v>
      </c>
      <c r="G2481" s="1084" t="s">
        <v>15320</v>
      </c>
      <c r="H2481" s="1085">
        <f>256.5-9-27.4-13-20.9</f>
        <v>186.2</v>
      </c>
      <c r="I2481" s="1097" t="s">
        <v>159</v>
      </c>
      <c r="J2481" s="1067" t="e">
        <f>468198.68/256.5*F2481</f>
        <v>#VALUE!</v>
      </c>
      <c r="K2481" s="1114"/>
    </row>
    <row r="2482" spans="1:11" ht="22.5" x14ac:dyDescent="0.2">
      <c r="A2482" s="1061" t="s">
        <v>6527</v>
      </c>
      <c r="B2482" s="1061" t="s">
        <v>281</v>
      </c>
      <c r="C2482" s="1061" t="s">
        <v>5825</v>
      </c>
      <c r="F2482" s="786" t="s">
        <v>3659</v>
      </c>
      <c r="G2482" s="1084" t="s">
        <v>15320</v>
      </c>
      <c r="H2482" s="1085">
        <v>9</v>
      </c>
      <c r="I2482" s="1097" t="s">
        <v>159</v>
      </c>
      <c r="J2482" s="1067" t="e">
        <f>468198.68/256.5*F2482</f>
        <v>#VALUE!</v>
      </c>
      <c r="K2482" s="1114">
        <v>2431958.58</v>
      </c>
    </row>
    <row r="2483" spans="1:11" ht="22.5" x14ac:dyDescent="0.2">
      <c r="A2483" s="1061" t="s">
        <v>6528</v>
      </c>
      <c r="B2483" s="1061" t="s">
        <v>281</v>
      </c>
      <c r="C2483" s="1061" t="s">
        <v>5825</v>
      </c>
      <c r="F2483" s="786" t="s">
        <v>3659</v>
      </c>
      <c r="G2483" s="1084" t="s">
        <v>15320</v>
      </c>
      <c r="H2483" s="1085">
        <v>27.4</v>
      </c>
      <c r="I2483" s="1097" t="s">
        <v>159</v>
      </c>
      <c r="J2483" s="1067" t="e">
        <f>468198.68/256.5*F2483</f>
        <v>#VALUE!</v>
      </c>
      <c r="K2483" s="1115"/>
    </row>
    <row r="2484" spans="1:11" ht="22.5" x14ac:dyDescent="0.2">
      <c r="A2484" s="1061" t="s">
        <v>6529</v>
      </c>
      <c r="B2484" s="1061" t="s">
        <v>281</v>
      </c>
      <c r="C2484" s="1061" t="s">
        <v>5825</v>
      </c>
      <c r="F2484" s="786" t="s">
        <v>3659</v>
      </c>
      <c r="G2484" s="1084" t="s">
        <v>15320</v>
      </c>
      <c r="H2484" s="1085">
        <v>13</v>
      </c>
      <c r="I2484" s="1097" t="s">
        <v>159</v>
      </c>
      <c r="J2484" s="1067">
        <v>23729.35</v>
      </c>
      <c r="K2484" s="1115"/>
    </row>
    <row r="2485" spans="1:11" ht="22.5" x14ac:dyDescent="0.2">
      <c r="A2485" s="1061" t="s">
        <v>10866</v>
      </c>
      <c r="B2485" s="1061" t="s">
        <v>281</v>
      </c>
      <c r="C2485" s="1061" t="s">
        <v>5825</v>
      </c>
      <c r="F2485" s="786" t="s">
        <v>3659</v>
      </c>
      <c r="G2485" s="1084" t="s">
        <v>15320</v>
      </c>
      <c r="H2485" s="1085">
        <v>20.9</v>
      </c>
      <c r="I2485" s="1097" t="s">
        <v>159</v>
      </c>
      <c r="J2485" s="1067" t="e">
        <f>468198.68/256.5*F2485</f>
        <v>#VALUE!</v>
      </c>
      <c r="K2485" s="1116"/>
    </row>
    <row r="2486" spans="1:11" ht="45" x14ac:dyDescent="0.2">
      <c r="A2486" s="1072" t="s">
        <v>2093</v>
      </c>
      <c r="B2486" s="1061" t="s">
        <v>281</v>
      </c>
      <c r="C2486" s="1061" t="s">
        <v>9797</v>
      </c>
      <c r="F2486" s="786" t="s">
        <v>9785</v>
      </c>
      <c r="G2486" s="1084" t="s">
        <v>15321</v>
      </c>
      <c r="H2486" s="1085">
        <v>64.099999999999994</v>
      </c>
      <c r="I2486" s="1097" t="s">
        <v>76</v>
      </c>
      <c r="J2486" s="1067">
        <v>97681.73</v>
      </c>
      <c r="K2486" s="1119">
        <v>279827.90999999997</v>
      </c>
    </row>
    <row r="2487" spans="1:11" ht="22.5" x14ac:dyDescent="0.2">
      <c r="A2487" s="1072" t="s">
        <v>2094</v>
      </c>
      <c r="B2487" s="1061" t="s">
        <v>281</v>
      </c>
      <c r="C2487" s="1061" t="s">
        <v>5826</v>
      </c>
      <c r="F2487" s="786" t="s">
        <v>8974</v>
      </c>
      <c r="G2487" s="1084"/>
      <c r="H2487" s="1085">
        <v>73.099999999999994</v>
      </c>
      <c r="I2487" s="1097" t="s">
        <v>76</v>
      </c>
      <c r="J2487" s="1067" t="e">
        <f>7916911/4871*F2487</f>
        <v>#VALUE!</v>
      </c>
      <c r="K2487" s="1067">
        <v>1021403.76</v>
      </c>
    </row>
    <row r="2488" spans="1:11" ht="22.5" x14ac:dyDescent="0.2">
      <c r="A2488" s="1072" t="s">
        <v>2095</v>
      </c>
      <c r="B2488" s="1061" t="s">
        <v>281</v>
      </c>
      <c r="C2488" s="1061" t="s">
        <v>5826</v>
      </c>
      <c r="F2488" s="786" t="s">
        <v>8975</v>
      </c>
      <c r="G2488" s="1084" t="s">
        <v>15329</v>
      </c>
      <c r="H2488" s="1085">
        <v>164.4</v>
      </c>
      <c r="I2488" s="1097" t="s">
        <v>76</v>
      </c>
      <c r="J2488" s="1067">
        <v>292557.59999999998</v>
      </c>
      <c r="K2488" s="1120">
        <v>2341404.5299999998</v>
      </c>
    </row>
    <row r="2489" spans="1:11" ht="22.5" x14ac:dyDescent="0.2">
      <c r="A2489" s="1072" t="s">
        <v>15118</v>
      </c>
      <c r="B2489" s="1061" t="s">
        <v>281</v>
      </c>
      <c r="C2489" s="1061" t="s">
        <v>5826</v>
      </c>
      <c r="F2489" s="786"/>
      <c r="G2489" s="1084" t="s">
        <v>15329</v>
      </c>
      <c r="H2489" s="1085">
        <f>30.1-30.1</f>
        <v>0</v>
      </c>
      <c r="I2489" s="1097" t="s">
        <v>76</v>
      </c>
      <c r="J2489" s="1067">
        <f>49223.13-49223.13</f>
        <v>0</v>
      </c>
      <c r="K2489" s="1067"/>
    </row>
    <row r="2490" spans="1:11" ht="22.5" x14ac:dyDescent="0.2">
      <c r="A2490" s="1072" t="s">
        <v>15119</v>
      </c>
      <c r="B2490" s="1061" t="s">
        <v>281</v>
      </c>
      <c r="C2490" s="1061" t="s">
        <v>15216</v>
      </c>
      <c r="F2490" s="786"/>
      <c r="G2490" s="1084" t="s">
        <v>15321</v>
      </c>
      <c r="H2490" s="1085">
        <f>92.5-92.5</f>
        <v>0</v>
      </c>
      <c r="I2490" s="1097"/>
      <c r="J2490" s="1067">
        <v>0</v>
      </c>
      <c r="K2490" s="1067"/>
    </row>
    <row r="2491" spans="1:11" ht="22.5" x14ac:dyDescent="0.2">
      <c r="A2491" s="1072" t="s">
        <v>15120</v>
      </c>
      <c r="B2491" s="1061" t="s">
        <v>281</v>
      </c>
      <c r="C2491" s="1061" t="s">
        <v>15216</v>
      </c>
      <c r="F2491" s="786"/>
      <c r="G2491" s="1084" t="s">
        <v>15321</v>
      </c>
      <c r="H2491" s="1085">
        <f>50-50</f>
        <v>0</v>
      </c>
      <c r="I2491" s="1097"/>
      <c r="J2491" s="1067">
        <v>0</v>
      </c>
      <c r="K2491" s="1067"/>
    </row>
    <row r="2492" spans="1:11" ht="33.75" x14ac:dyDescent="0.2">
      <c r="A2492" s="1072" t="s">
        <v>5528</v>
      </c>
      <c r="B2492" s="1061" t="s">
        <v>14000</v>
      </c>
      <c r="C2492" s="1061" t="s">
        <v>5831</v>
      </c>
      <c r="F2492" s="786" t="s">
        <v>7719</v>
      </c>
      <c r="G2492" s="1086" t="s">
        <v>137</v>
      </c>
      <c r="H2492" s="1087">
        <v>360.8</v>
      </c>
      <c r="I2492" s="1097" t="s">
        <v>2862</v>
      </c>
      <c r="J2492" s="1067">
        <v>585440</v>
      </c>
      <c r="K2492" s="921">
        <v>74169.66</v>
      </c>
    </row>
    <row r="2493" spans="1:11" ht="22.5" x14ac:dyDescent="0.2">
      <c r="A2493" s="1072" t="s">
        <v>2096</v>
      </c>
      <c r="B2493" s="1061" t="s">
        <v>281</v>
      </c>
      <c r="C2493" s="1061" t="s">
        <v>5828</v>
      </c>
      <c r="F2493" s="786" t="s">
        <v>4766</v>
      </c>
      <c r="G2493" s="1085" t="s">
        <v>15321</v>
      </c>
      <c r="H2493" s="1085">
        <f>121.9-51</f>
        <v>70.900000000000006</v>
      </c>
      <c r="I2493" s="1097" t="s">
        <v>503</v>
      </c>
      <c r="J2493" s="1067" t="e">
        <f>168.49*F2493</f>
        <v>#VALUE!</v>
      </c>
      <c r="K2493" s="1112">
        <v>1687581.16</v>
      </c>
    </row>
    <row r="2494" spans="1:11" ht="45" x14ac:dyDescent="0.2">
      <c r="A2494" s="1061" t="s">
        <v>9397</v>
      </c>
      <c r="B2494" s="1061" t="s">
        <v>9455</v>
      </c>
      <c r="C2494" s="1061" t="s">
        <v>5828</v>
      </c>
      <c r="F2494" s="786" t="s">
        <v>9454</v>
      </c>
      <c r="G2494" s="1085" t="s">
        <v>15321</v>
      </c>
      <c r="H2494" s="1085">
        <v>51</v>
      </c>
      <c r="I2494" s="1097" t="s">
        <v>503</v>
      </c>
      <c r="J2494" s="1067" t="e">
        <f>168.49*F2494</f>
        <v>#VALUE!</v>
      </c>
      <c r="K2494" s="1112">
        <v>1068483.6599999999</v>
      </c>
    </row>
    <row r="2495" spans="1:11" ht="22.5" x14ac:dyDescent="0.2">
      <c r="A2495" s="1072" t="s">
        <v>2097</v>
      </c>
      <c r="B2495" s="1061" t="s">
        <v>281</v>
      </c>
      <c r="C2495" s="1061" t="s">
        <v>5830</v>
      </c>
      <c r="F2495" s="786"/>
      <c r="G2495" s="1085" t="s">
        <v>15321</v>
      </c>
      <c r="H2495" s="1085">
        <v>26.8</v>
      </c>
      <c r="I2495" s="1097" t="s">
        <v>503</v>
      </c>
      <c r="J2495" s="1067">
        <f>168.49*F2495</f>
        <v>0</v>
      </c>
      <c r="K2495" s="1067"/>
    </row>
    <row r="2496" spans="1:11" ht="22.5" x14ac:dyDescent="0.2">
      <c r="A2496" s="1072" t="s">
        <v>2098</v>
      </c>
      <c r="B2496" s="1061" t="s">
        <v>281</v>
      </c>
      <c r="C2496" s="1061" t="s">
        <v>5828</v>
      </c>
      <c r="F2496" s="786"/>
      <c r="G2496" s="1085" t="s">
        <v>15321</v>
      </c>
      <c r="H2496" s="1085">
        <f>61.8+8.9</f>
        <v>70.7</v>
      </c>
      <c r="I2496" s="1097" t="s">
        <v>503</v>
      </c>
      <c r="J2496" s="1067">
        <f>168.49*F2496</f>
        <v>0</v>
      </c>
      <c r="K2496" s="1067"/>
    </row>
    <row r="2497" spans="1:11" ht="22.5" x14ac:dyDescent="0.2">
      <c r="A2497" s="1072" t="s">
        <v>15121</v>
      </c>
      <c r="B2497" s="1061" t="s">
        <v>15186</v>
      </c>
      <c r="C2497" s="1061" t="s">
        <v>5828</v>
      </c>
      <c r="F2497" s="786" t="s">
        <v>15286</v>
      </c>
      <c r="G2497" s="1084" t="s">
        <v>137</v>
      </c>
      <c r="H2497" s="1085">
        <f>182-182</f>
        <v>0</v>
      </c>
      <c r="I2497" s="1097" t="s">
        <v>503</v>
      </c>
      <c r="J2497" s="1067">
        <f>158998.51-158998.51</f>
        <v>0</v>
      </c>
      <c r="K2497" s="1067">
        <f>3813020.12-3813020.12</f>
        <v>0</v>
      </c>
    </row>
    <row r="2498" spans="1:11" ht="22.5" x14ac:dyDescent="0.2">
      <c r="A2498" s="1072" t="s">
        <v>2099</v>
      </c>
      <c r="B2498" s="1061" t="s">
        <v>281</v>
      </c>
      <c r="C2498" s="1061" t="s">
        <v>5828</v>
      </c>
      <c r="F2498" s="786"/>
      <c r="G2498" s="1084" t="s">
        <v>137</v>
      </c>
      <c r="H2498" s="1088">
        <v>15.7</v>
      </c>
      <c r="I2498" s="1097" t="s">
        <v>503</v>
      </c>
      <c r="J2498" s="1067">
        <f>168.49*F2498</f>
        <v>0</v>
      </c>
      <c r="K2498" s="850"/>
    </row>
    <row r="2499" spans="1:11" ht="33.75" x14ac:dyDescent="0.2">
      <c r="A2499" s="1072" t="s">
        <v>2100</v>
      </c>
      <c r="B2499" s="1061" t="s">
        <v>3756</v>
      </c>
      <c r="C2499" s="1061" t="s">
        <v>5828</v>
      </c>
      <c r="F2499" s="786"/>
      <c r="G2499" s="1084" t="s">
        <v>137</v>
      </c>
      <c r="H2499" s="1085">
        <f>45.1-10.7</f>
        <v>34.400000000000006</v>
      </c>
      <c r="I2499" s="1097" t="s">
        <v>503</v>
      </c>
      <c r="J2499" s="1067">
        <f>168.49*F2499</f>
        <v>0</v>
      </c>
      <c r="K2499" s="1067"/>
    </row>
    <row r="2500" spans="1:11" ht="22.5" x14ac:dyDescent="0.2">
      <c r="A2500" s="1061" t="s">
        <v>6530</v>
      </c>
      <c r="B2500" s="1061" t="s">
        <v>281</v>
      </c>
      <c r="C2500" s="1061" t="s">
        <v>5828</v>
      </c>
      <c r="F2500" s="786"/>
      <c r="G2500" s="1084" t="s">
        <v>137</v>
      </c>
      <c r="H2500" s="1085">
        <v>10.7</v>
      </c>
      <c r="I2500" s="1097" t="s">
        <v>503</v>
      </c>
      <c r="J2500" s="1067">
        <f>168.49*F2500</f>
        <v>0</v>
      </c>
      <c r="K2500" s="1067"/>
    </row>
    <row r="2501" spans="1:11" ht="22.5" x14ac:dyDescent="0.2">
      <c r="A2501" s="1072" t="s">
        <v>2101</v>
      </c>
      <c r="B2501" s="1061" t="s">
        <v>281</v>
      </c>
      <c r="C2501" s="1061" t="s">
        <v>5828</v>
      </c>
      <c r="F2501" s="786"/>
      <c r="G2501" s="1084" t="s">
        <v>137</v>
      </c>
      <c r="H2501" s="1085">
        <v>50.9</v>
      </c>
      <c r="I2501" s="1097" t="s">
        <v>503</v>
      </c>
      <c r="J2501" s="1067">
        <f>168.49*F2501</f>
        <v>0</v>
      </c>
      <c r="K2501" s="1067"/>
    </row>
    <row r="2502" spans="1:11" ht="22.5" x14ac:dyDescent="0.2">
      <c r="A2502" s="1072" t="s">
        <v>2102</v>
      </c>
      <c r="B2502" s="1061" t="s">
        <v>281</v>
      </c>
      <c r="C2502" s="1061" t="s">
        <v>5828</v>
      </c>
      <c r="F2502" s="786"/>
      <c r="G2502" s="1084" t="s">
        <v>137</v>
      </c>
      <c r="H2502" s="1085">
        <v>19</v>
      </c>
      <c r="I2502" s="1097" t="s">
        <v>503</v>
      </c>
      <c r="J2502" s="1067">
        <v>3201.28</v>
      </c>
      <c r="K2502" s="1067"/>
    </row>
    <row r="2503" spans="1:11" ht="33.75" x14ac:dyDescent="0.2">
      <c r="A2503" s="1072" t="s">
        <v>3836</v>
      </c>
      <c r="B2503" s="1061" t="s">
        <v>3750</v>
      </c>
      <c r="C2503" s="1061" t="s">
        <v>5828</v>
      </c>
      <c r="F2503" s="786" t="s">
        <v>5188</v>
      </c>
      <c r="G2503" s="1084" t="s">
        <v>512</v>
      </c>
      <c r="H2503" s="1085">
        <v>17.399999999999999</v>
      </c>
      <c r="I2503" s="1097" t="s">
        <v>503</v>
      </c>
      <c r="J2503" s="1067" t="e">
        <f>168.49*F2503</f>
        <v>#VALUE!</v>
      </c>
      <c r="K2503" s="1067"/>
    </row>
    <row r="2504" spans="1:11" ht="22.5" x14ac:dyDescent="0.2">
      <c r="A2504" s="1072" t="s">
        <v>2103</v>
      </c>
      <c r="B2504" s="1061" t="s">
        <v>281</v>
      </c>
      <c r="C2504" s="1061" t="s">
        <v>5829</v>
      </c>
      <c r="F2504" s="786"/>
      <c r="G2504" s="1084" t="s">
        <v>137</v>
      </c>
      <c r="H2504" s="1085">
        <f>50-31.4+31.4</f>
        <v>50</v>
      </c>
      <c r="I2504" s="1097" t="s">
        <v>521</v>
      </c>
      <c r="J2504" s="1067">
        <f>885300/517.3*F2504</f>
        <v>0</v>
      </c>
      <c r="K2504" s="1067"/>
    </row>
    <row r="2505" spans="1:11" ht="22.5" x14ac:dyDescent="0.2">
      <c r="A2505" s="1061" t="s">
        <v>6531</v>
      </c>
      <c r="B2505" s="1061" t="s">
        <v>281</v>
      </c>
      <c r="C2505" s="1061" t="s">
        <v>5829</v>
      </c>
      <c r="F2505" s="786"/>
      <c r="G2505" s="1084" t="s">
        <v>137</v>
      </c>
      <c r="H2505" s="1105">
        <f>31.4-31.4</f>
        <v>0</v>
      </c>
      <c r="I2505" s="1097" t="s">
        <v>521</v>
      </c>
      <c r="J2505" s="1067">
        <f>885300/517.3*F2505</f>
        <v>0</v>
      </c>
      <c r="K2505" s="1067"/>
    </row>
    <row r="2506" spans="1:11" ht="22.5" x14ac:dyDescent="0.2">
      <c r="A2506" s="1072" t="s">
        <v>15122</v>
      </c>
      <c r="B2506" s="1061" t="s">
        <v>281</v>
      </c>
      <c r="C2506" s="1061" t="s">
        <v>15217</v>
      </c>
      <c r="F2506" s="786"/>
      <c r="G2506" s="1091" t="s">
        <v>15321</v>
      </c>
      <c r="H2506" s="1087">
        <f>17-17</f>
        <v>0</v>
      </c>
      <c r="I2506" s="1097" t="s">
        <v>521</v>
      </c>
      <c r="J2506" s="1067">
        <f>25904.9-25904.9</f>
        <v>0</v>
      </c>
      <c r="K2506" s="894"/>
    </row>
    <row r="2507" spans="1:11" ht="22.5" x14ac:dyDescent="0.2">
      <c r="A2507" s="1072" t="s">
        <v>15123</v>
      </c>
      <c r="B2507" s="1061" t="s">
        <v>281</v>
      </c>
      <c r="C2507" s="1061" t="s">
        <v>15217</v>
      </c>
      <c r="F2507" s="786"/>
      <c r="G2507" s="1091" t="s">
        <v>15321</v>
      </c>
      <c r="H2507" s="1087">
        <f>47.9-47.9</f>
        <v>0</v>
      </c>
      <c r="I2507" s="1097" t="s">
        <v>521</v>
      </c>
      <c r="J2507" s="1067"/>
      <c r="K2507" s="894"/>
    </row>
    <row r="2508" spans="1:11" ht="22.5" x14ac:dyDescent="0.2">
      <c r="A2508" s="1072" t="s">
        <v>2104</v>
      </c>
      <c r="B2508" s="1061" t="s">
        <v>281</v>
      </c>
      <c r="C2508" s="1061" t="s">
        <v>5827</v>
      </c>
      <c r="F2508" s="786" t="s">
        <v>8972</v>
      </c>
      <c r="G2508" s="1091" t="s">
        <v>137</v>
      </c>
      <c r="H2508" s="1101">
        <v>31.7</v>
      </c>
      <c r="I2508" s="1097" t="s">
        <v>3394</v>
      </c>
      <c r="J2508" s="1067">
        <v>56707.92</v>
      </c>
      <c r="K2508" s="1067">
        <v>602595.13</v>
      </c>
    </row>
    <row r="2509" spans="1:11" ht="22.5" x14ac:dyDescent="0.2">
      <c r="A2509" s="1072" t="s">
        <v>15124</v>
      </c>
      <c r="B2509" s="1061" t="s">
        <v>15187</v>
      </c>
      <c r="C2509" s="1061" t="s">
        <v>15218</v>
      </c>
      <c r="F2509" s="786" t="s">
        <v>15287</v>
      </c>
      <c r="G2509" s="1091" t="s">
        <v>137</v>
      </c>
      <c r="H2509" s="1088">
        <f>93.8-93.8</f>
        <v>0</v>
      </c>
      <c r="I2509" s="1097" t="s">
        <v>3394</v>
      </c>
      <c r="J2509" s="1067">
        <f>167799.88-167799.88</f>
        <v>0</v>
      </c>
      <c r="K2509" s="1067">
        <f>1783073.28 -1783073.28</f>
        <v>0</v>
      </c>
    </row>
    <row r="2510" spans="1:11" ht="33.75" x14ac:dyDescent="0.2">
      <c r="A2510" s="1072" t="s">
        <v>2105</v>
      </c>
      <c r="B2510" s="1061" t="s">
        <v>15188</v>
      </c>
      <c r="C2510" s="1061" t="s">
        <v>280</v>
      </c>
      <c r="F2510" s="786" t="s">
        <v>4406</v>
      </c>
      <c r="G2510" s="1091" t="s">
        <v>15326</v>
      </c>
      <c r="H2510" s="1085">
        <f>1023.7-2</f>
        <v>1021.7</v>
      </c>
      <c r="I2510" s="1097">
        <v>1993</v>
      </c>
      <c r="J2510" s="1067">
        <v>697472.32</v>
      </c>
      <c r="K2510" s="1279">
        <f>397880.73/1935.5*1023.7</f>
        <v>210442.0063554637</v>
      </c>
    </row>
    <row r="2511" spans="1:11" ht="22.5" x14ac:dyDescent="0.2">
      <c r="A2511" s="1061" t="s">
        <v>6532</v>
      </c>
      <c r="B2511" s="1061" t="s">
        <v>281</v>
      </c>
      <c r="C2511" s="1061" t="s">
        <v>280</v>
      </c>
      <c r="F2511" s="786"/>
      <c r="G2511" s="1091" t="s">
        <v>15326</v>
      </c>
      <c r="H2511" s="1085">
        <v>2</v>
      </c>
      <c r="I2511" s="1097">
        <v>1993</v>
      </c>
      <c r="J2511" s="1067"/>
      <c r="K2511" s="1279"/>
    </row>
    <row r="2512" spans="1:11" ht="22.5" x14ac:dyDescent="0.2">
      <c r="A2512" s="1072" t="s">
        <v>15125</v>
      </c>
      <c r="B2512" s="1061" t="s">
        <v>15189</v>
      </c>
      <c r="C2512" s="1061" t="s">
        <v>5422</v>
      </c>
      <c r="F2512" s="786" t="s">
        <v>15288</v>
      </c>
      <c r="G2512" s="1091" t="s">
        <v>137</v>
      </c>
      <c r="H2512" s="1085">
        <f>210.3-210.3</f>
        <v>0</v>
      </c>
      <c r="I2512" s="1097" t="s">
        <v>76</v>
      </c>
      <c r="J2512" s="1067">
        <f>301802.73-301802.73</f>
        <v>0</v>
      </c>
      <c r="K2512" s="1067">
        <f>735517.94-735517.94</f>
        <v>0</v>
      </c>
    </row>
    <row r="2513" spans="1:11" ht="22.5" x14ac:dyDescent="0.2">
      <c r="A2513" s="1072" t="s">
        <v>2106</v>
      </c>
      <c r="B2513" s="1061" t="s">
        <v>281</v>
      </c>
      <c r="C2513" s="1061" t="s">
        <v>5762</v>
      </c>
      <c r="F2513" s="786" t="s">
        <v>5503</v>
      </c>
      <c r="G2513" s="1091" t="s">
        <v>15321</v>
      </c>
      <c r="H2513" s="1085">
        <v>244.3</v>
      </c>
      <c r="I2513" s="1097" t="s">
        <v>64</v>
      </c>
      <c r="J2513" s="1067">
        <v>1237385.6399999999</v>
      </c>
      <c r="K2513" s="1067">
        <v>4892696.26</v>
      </c>
    </row>
    <row r="2514" spans="1:11" ht="22.5" x14ac:dyDescent="0.2">
      <c r="A2514" s="1072" t="s">
        <v>15126</v>
      </c>
      <c r="B2514" s="1061" t="s">
        <v>15184</v>
      </c>
      <c r="C2514" s="1061" t="s">
        <v>5762</v>
      </c>
      <c r="F2514" s="786" t="s">
        <v>15289</v>
      </c>
      <c r="G2514" s="1091" t="s">
        <v>137</v>
      </c>
      <c r="H2514" s="1085">
        <f>50.7-50.7</f>
        <v>0</v>
      </c>
      <c r="I2514" s="1097" t="s">
        <v>64</v>
      </c>
      <c r="J2514" s="1067" t="e">
        <f>24606888/4936.9*F2514</f>
        <v>#VALUE!</v>
      </c>
      <c r="K2514" s="1067">
        <f>19902.29-19902.29</f>
        <v>0</v>
      </c>
    </row>
    <row r="2515" spans="1:11" ht="22.5" x14ac:dyDescent="0.2">
      <c r="A2515" s="1072" t="s">
        <v>2107</v>
      </c>
      <c r="B2515" s="1061" t="s">
        <v>281</v>
      </c>
      <c r="C2515" s="1061" t="s">
        <v>5762</v>
      </c>
      <c r="F2515" s="786" t="s">
        <v>5504</v>
      </c>
      <c r="G2515" s="1091" t="s">
        <v>15321</v>
      </c>
      <c r="H2515" s="1085">
        <f>60.1</f>
        <v>60.1</v>
      </c>
      <c r="I2515" s="1097" t="s">
        <v>64</v>
      </c>
      <c r="J2515" s="1067">
        <f>24606888/4936.9*60.1</f>
        <v>299555.18013328209</v>
      </c>
      <c r="K2515" s="1067">
        <v>23592.26</v>
      </c>
    </row>
    <row r="2516" spans="1:11" ht="22.5" x14ac:dyDescent="0.2">
      <c r="A2516" s="1072" t="s">
        <v>2108</v>
      </c>
      <c r="B2516" s="1061" t="s">
        <v>281</v>
      </c>
      <c r="C2516" s="1061" t="s">
        <v>5762</v>
      </c>
      <c r="F2516" s="786" t="s">
        <v>5505</v>
      </c>
      <c r="G2516" s="1091" t="s">
        <v>15321</v>
      </c>
      <c r="H2516" s="1085">
        <f>67.5</f>
        <v>67.5</v>
      </c>
      <c r="I2516" s="1097" t="s">
        <v>64</v>
      </c>
      <c r="J2516" s="1067">
        <f>24606888/4936.9*67.5</f>
        <v>336438.84623954311</v>
      </c>
      <c r="K2516" s="1067">
        <v>26497.13</v>
      </c>
    </row>
    <row r="2517" spans="1:11" ht="22.5" x14ac:dyDescent="0.2">
      <c r="A2517" s="1072" t="s">
        <v>15127</v>
      </c>
      <c r="B2517" s="1061" t="s">
        <v>281</v>
      </c>
      <c r="C2517" s="1061" t="s">
        <v>5762</v>
      </c>
      <c r="F2517" s="786"/>
      <c r="G2517" s="1091" t="s">
        <v>137</v>
      </c>
      <c r="H2517" s="1085">
        <f>6-6</f>
        <v>0</v>
      </c>
      <c r="I2517" s="1097" t="s">
        <v>64</v>
      </c>
      <c r="J2517" s="1067">
        <f>2475121.66/4936.9*F2517</f>
        <v>0</v>
      </c>
      <c r="K2517" s="1067"/>
    </row>
    <row r="2518" spans="1:11" ht="22.5" x14ac:dyDescent="0.2">
      <c r="A2518" s="1072" t="s">
        <v>15128</v>
      </c>
      <c r="B2518" s="1061" t="s">
        <v>281</v>
      </c>
      <c r="C2518" s="1061" t="s">
        <v>5762</v>
      </c>
      <c r="F2518" s="786"/>
      <c r="G2518" s="1091" t="s">
        <v>15321</v>
      </c>
      <c r="H2518" s="1088">
        <f>8-8</f>
        <v>0</v>
      </c>
      <c r="I2518" s="1097" t="s">
        <v>64</v>
      </c>
      <c r="J2518" s="1067">
        <f>2475121.66/4936.9*F2518</f>
        <v>0</v>
      </c>
      <c r="K2518" s="1067"/>
    </row>
    <row r="2519" spans="1:11" ht="22.5" x14ac:dyDescent="0.2">
      <c r="A2519" s="1072" t="s">
        <v>15129</v>
      </c>
      <c r="B2519" s="1061" t="s">
        <v>281</v>
      </c>
      <c r="C2519" s="1061" t="s">
        <v>5763</v>
      </c>
      <c r="F2519" s="786"/>
      <c r="G2519" s="1091" t="s">
        <v>137</v>
      </c>
      <c r="H2519" s="1085">
        <f>(96-18.8-29.3-33.7)-14.2</f>
        <v>0</v>
      </c>
      <c r="I2519" s="1097" t="s">
        <v>473</v>
      </c>
      <c r="J2519" s="1067">
        <f>104668.58-104668.58</f>
        <v>0</v>
      </c>
      <c r="K2519" s="1067"/>
    </row>
    <row r="2520" spans="1:11" ht="22.5" x14ac:dyDescent="0.2">
      <c r="A2520" s="1061" t="s">
        <v>10876</v>
      </c>
      <c r="B2520" s="1061" t="s">
        <v>281</v>
      </c>
      <c r="C2520" s="1061" t="s">
        <v>5763</v>
      </c>
      <c r="F2520" s="786" t="s">
        <v>10874</v>
      </c>
      <c r="G2520" s="1091" t="s">
        <v>137</v>
      </c>
      <c r="H2520" s="1278">
        <f>(18.8+29.3)-48.1</f>
        <v>0</v>
      </c>
      <c r="I2520" s="1097" t="s">
        <v>473</v>
      </c>
      <c r="J2520" s="1067">
        <f>(29412.64+75255.94)-(29412.64+75255.94)</f>
        <v>0</v>
      </c>
      <c r="K2520" s="1067"/>
    </row>
    <row r="2521" spans="1:11" ht="22.5" x14ac:dyDescent="0.2">
      <c r="A2521" s="1061" t="s">
        <v>15130</v>
      </c>
      <c r="B2521" s="1061" t="s">
        <v>281</v>
      </c>
      <c r="C2521" s="1061" t="s">
        <v>5763</v>
      </c>
      <c r="F2521" s="786"/>
      <c r="G2521" s="1091" t="s">
        <v>137</v>
      </c>
      <c r="H2521" s="1278"/>
      <c r="I2521" s="1097" t="s">
        <v>473</v>
      </c>
      <c r="J2521" s="1067"/>
      <c r="K2521" s="1067"/>
    </row>
    <row r="2522" spans="1:11" ht="22.5" x14ac:dyDescent="0.2">
      <c r="A2522" s="1061" t="s">
        <v>15131</v>
      </c>
      <c r="B2522" s="1061" t="s">
        <v>281</v>
      </c>
      <c r="C2522" s="1061" t="s">
        <v>5763</v>
      </c>
      <c r="F2522" s="786" t="s">
        <v>15290</v>
      </c>
      <c r="G2522" s="1091" t="s">
        <v>137</v>
      </c>
      <c r="H2522" s="1085">
        <f>33.7-33.7</f>
        <v>0</v>
      </c>
      <c r="I2522" s="1097" t="s">
        <v>473</v>
      </c>
      <c r="J2522" s="1067">
        <f>39269-39269</f>
        <v>0</v>
      </c>
      <c r="K2522" s="1067"/>
    </row>
    <row r="2523" spans="1:11" ht="22.5" x14ac:dyDescent="0.2">
      <c r="A2523" s="1072" t="s">
        <v>2109</v>
      </c>
      <c r="B2523" s="1061" t="s">
        <v>281</v>
      </c>
      <c r="C2523" s="1061" t="s">
        <v>5763</v>
      </c>
      <c r="F2523" s="786" t="s">
        <v>6212</v>
      </c>
      <c r="G2523" s="1091" t="s">
        <v>137</v>
      </c>
      <c r="H2523" s="1085">
        <v>22.3</v>
      </c>
      <c r="I2523" s="1097" t="s">
        <v>473</v>
      </c>
      <c r="J2523" s="1067">
        <v>57276.7</v>
      </c>
      <c r="K2523" s="1067"/>
    </row>
    <row r="2524" spans="1:11" ht="22.5" x14ac:dyDescent="0.2">
      <c r="A2524" s="1072" t="s">
        <v>2110</v>
      </c>
      <c r="B2524" s="1061" t="s">
        <v>281</v>
      </c>
      <c r="C2524" s="1061" t="s">
        <v>5764</v>
      </c>
      <c r="F2524" s="786" t="s">
        <v>5951</v>
      </c>
      <c r="G2524" s="1091" t="s">
        <v>137</v>
      </c>
      <c r="H2524" s="1085">
        <v>42</v>
      </c>
      <c r="I2524" s="1097" t="s">
        <v>502</v>
      </c>
      <c r="J2524" s="1067">
        <v>134579.74</v>
      </c>
      <c r="K2524" s="1067">
        <v>36327.480000000003</v>
      </c>
    </row>
    <row r="2525" spans="1:11" ht="22.5" x14ac:dyDescent="0.2">
      <c r="A2525" s="1072" t="s">
        <v>2111</v>
      </c>
      <c r="B2525" s="1061" t="s">
        <v>281</v>
      </c>
      <c r="C2525" s="1061" t="s">
        <v>5765</v>
      </c>
      <c r="F2525" s="786" t="s">
        <v>8967</v>
      </c>
      <c r="G2525" s="1091" t="s">
        <v>137</v>
      </c>
      <c r="H2525" s="1085">
        <f>32.5-32.5</f>
        <v>0</v>
      </c>
      <c r="I2525" s="1097" t="s">
        <v>62</v>
      </c>
      <c r="J2525" s="1067">
        <f>85243.92-85243.92</f>
        <v>0</v>
      </c>
      <c r="K2525" s="1067">
        <f>178719.13-178719.13</f>
        <v>0</v>
      </c>
    </row>
    <row r="2526" spans="1:11" ht="22.5" x14ac:dyDescent="0.2">
      <c r="A2526" s="1072" t="s">
        <v>15132</v>
      </c>
      <c r="B2526" s="1061" t="s">
        <v>281</v>
      </c>
      <c r="C2526" s="1061" t="s">
        <v>15219</v>
      </c>
      <c r="F2526" s="786" t="s">
        <v>15291</v>
      </c>
      <c r="G2526" s="1091" t="s">
        <v>137</v>
      </c>
      <c r="H2526" s="1085">
        <f>34.6-34.6</f>
        <v>0</v>
      </c>
      <c r="I2526" s="1097" t="s">
        <v>3757</v>
      </c>
      <c r="J2526" s="1067">
        <f>85114-85114</f>
        <v>0</v>
      </c>
      <c r="K2526" s="1067"/>
    </row>
    <row r="2527" spans="1:11" ht="22.5" x14ac:dyDescent="0.2">
      <c r="A2527" s="1072" t="s">
        <v>2112</v>
      </c>
      <c r="B2527" s="1061" t="s">
        <v>281</v>
      </c>
      <c r="C2527" s="1061" t="s">
        <v>5766</v>
      </c>
      <c r="F2527" s="786" t="s">
        <v>5574</v>
      </c>
      <c r="G2527" s="1091" t="s">
        <v>137</v>
      </c>
      <c r="H2527" s="1085">
        <f>208.8-73.15</f>
        <v>135.65</v>
      </c>
      <c r="I2527" s="1097" t="s">
        <v>3757</v>
      </c>
      <c r="J2527" s="1067" t="e">
        <f>358608.77-J2528</f>
        <v>#VALUE!</v>
      </c>
      <c r="K2527" s="1067"/>
    </row>
    <row r="2528" spans="1:11" ht="22.5" x14ac:dyDescent="0.2">
      <c r="A2528" s="1061" t="s">
        <v>6533</v>
      </c>
      <c r="B2528" s="1061" t="s">
        <v>281</v>
      </c>
      <c r="C2528" s="1061" t="s">
        <v>5766</v>
      </c>
      <c r="F2528" s="786" t="s">
        <v>5574</v>
      </c>
      <c r="G2528" s="1091" t="s">
        <v>137</v>
      </c>
      <c r="H2528" s="1088">
        <v>73.150000000000006</v>
      </c>
      <c r="I2528" s="1097" t="s">
        <v>3757</v>
      </c>
      <c r="J2528" s="1067" t="e">
        <f>358608.77/208.8*F2528</f>
        <v>#VALUE!</v>
      </c>
      <c r="K2528" s="1067"/>
    </row>
    <row r="2529" spans="1:11" ht="33.75" x14ac:dyDescent="0.2">
      <c r="A2529" s="1270" t="s">
        <v>15133</v>
      </c>
      <c r="B2529" s="1272" t="s">
        <v>15190</v>
      </c>
      <c r="C2529" s="1061" t="s">
        <v>15220</v>
      </c>
      <c r="F2529" s="786" t="s">
        <v>15292</v>
      </c>
      <c r="G2529" s="1091" t="s">
        <v>137</v>
      </c>
      <c r="H2529" s="1085">
        <f>389.3-389.3</f>
        <v>0</v>
      </c>
      <c r="I2529" s="1098">
        <v>1962</v>
      </c>
      <c r="J2529" s="1067">
        <f>835981.08-835981.08</f>
        <v>0</v>
      </c>
      <c r="K2529" s="1067">
        <f>139583.52-139583.52</f>
        <v>0</v>
      </c>
    </row>
    <row r="2530" spans="1:11" ht="22.5" x14ac:dyDescent="0.2">
      <c r="A2530" s="1270"/>
      <c r="B2530" s="1272"/>
      <c r="C2530" s="1061" t="s">
        <v>15221</v>
      </c>
      <c r="F2530" s="1061"/>
      <c r="G2530" s="1091"/>
      <c r="H2530" s="1085"/>
      <c r="I2530" s="1097" t="s">
        <v>3476</v>
      </c>
      <c r="J2530" s="1067">
        <f>767598-767598</f>
        <v>0</v>
      </c>
      <c r="K2530" s="1067"/>
    </row>
    <row r="2531" spans="1:11" ht="22.5" x14ac:dyDescent="0.2">
      <c r="A2531" s="1072" t="s">
        <v>15134</v>
      </c>
      <c r="B2531" s="1061" t="s">
        <v>281</v>
      </c>
      <c r="C2531" s="1061" t="s">
        <v>15222</v>
      </c>
      <c r="F2531" s="786"/>
      <c r="G2531" s="1091" t="s">
        <v>15330</v>
      </c>
      <c r="H2531" s="1085">
        <f>1338.8-1338.8</f>
        <v>0</v>
      </c>
      <c r="I2531" s="1097"/>
      <c r="J2531" s="1067">
        <v>0</v>
      </c>
      <c r="K2531" s="1067"/>
    </row>
    <row r="2532" spans="1:11" ht="22.5" x14ac:dyDescent="0.2">
      <c r="A2532" s="1061" t="s">
        <v>15135</v>
      </c>
      <c r="B2532" s="1061" t="s">
        <v>281</v>
      </c>
      <c r="C2532" s="1061" t="s">
        <v>15222</v>
      </c>
      <c r="F2532" s="786"/>
      <c r="G2532" s="1091"/>
      <c r="H2532" s="1085">
        <f>90.6-90.6</f>
        <v>0</v>
      </c>
      <c r="I2532" s="1097"/>
      <c r="J2532" s="1067"/>
      <c r="K2532" s="1067"/>
    </row>
    <row r="2533" spans="1:11" ht="22.5" x14ac:dyDescent="0.2">
      <c r="A2533" s="1072" t="s">
        <v>15136</v>
      </c>
      <c r="B2533" s="1061" t="s">
        <v>281</v>
      </c>
      <c r="C2533" s="1061" t="s">
        <v>12999</v>
      </c>
      <c r="F2533" s="786" t="s">
        <v>13000</v>
      </c>
      <c r="G2533" s="1091" t="s">
        <v>137</v>
      </c>
      <c r="H2533" s="1085">
        <f>240.6-240.6</f>
        <v>0</v>
      </c>
      <c r="I2533" s="1097" t="s">
        <v>3757</v>
      </c>
      <c r="J2533" s="1067">
        <f>617072.96-617072.96</f>
        <v>0</v>
      </c>
      <c r="K2533" s="1121">
        <f>1323071.43-1323071.43</f>
        <v>0</v>
      </c>
    </row>
    <row r="2534" spans="1:11" ht="33.75" x14ac:dyDescent="0.2">
      <c r="A2534" s="1072" t="s">
        <v>2113</v>
      </c>
      <c r="B2534" s="1061" t="s">
        <v>2278</v>
      </c>
      <c r="C2534" s="1061" t="s">
        <v>6473</v>
      </c>
      <c r="F2534" s="786" t="s">
        <v>2665</v>
      </c>
      <c r="G2534" s="1091" t="s">
        <v>137</v>
      </c>
      <c r="H2534" s="1085">
        <f>72.6-31</f>
        <v>41.599999999999994</v>
      </c>
      <c r="I2534" s="1097" t="s">
        <v>473</v>
      </c>
      <c r="J2534" s="1067">
        <f>261936.68-J2535</f>
        <v>261936.68</v>
      </c>
      <c r="K2534" s="1122">
        <v>62794.64</v>
      </c>
    </row>
    <row r="2535" spans="1:11" ht="33.75" x14ac:dyDescent="0.2">
      <c r="A2535" s="1061" t="s">
        <v>9192</v>
      </c>
      <c r="B2535" s="1061" t="s">
        <v>2278</v>
      </c>
      <c r="C2535" s="1061" t="s">
        <v>6473</v>
      </c>
      <c r="F2535" s="786"/>
      <c r="G2535" s="1091" t="s">
        <v>137</v>
      </c>
      <c r="H2535" s="1085">
        <v>31</v>
      </c>
      <c r="I2535" s="1097" t="s">
        <v>473</v>
      </c>
      <c r="J2535" s="1067">
        <f>261936.68/72.6*F2535</f>
        <v>0</v>
      </c>
      <c r="K2535" s="1067"/>
    </row>
    <row r="2536" spans="1:11" ht="22.5" x14ac:dyDescent="0.2">
      <c r="A2536" s="1072" t="s">
        <v>2114</v>
      </c>
      <c r="B2536" s="1061" t="s">
        <v>281</v>
      </c>
      <c r="C2536" s="1061" t="s">
        <v>5767</v>
      </c>
      <c r="F2536" s="786" t="s">
        <v>8973</v>
      </c>
      <c r="G2536" s="1091" t="s">
        <v>137</v>
      </c>
      <c r="H2536" s="1085">
        <f>31.3-31.3</f>
        <v>0</v>
      </c>
      <c r="I2536" s="1097" t="s">
        <v>4252</v>
      </c>
      <c r="J2536" s="1067">
        <f>101158.48-101158.48</f>
        <v>0</v>
      </c>
      <c r="K2536" s="1067"/>
    </row>
    <row r="2537" spans="1:11" ht="33.75" x14ac:dyDescent="0.2">
      <c r="A2537" s="1072" t="s">
        <v>15137</v>
      </c>
      <c r="B2537" s="1061" t="s">
        <v>281</v>
      </c>
      <c r="C2537" s="1061" t="s">
        <v>15223</v>
      </c>
      <c r="F2537" s="786" t="s">
        <v>15293</v>
      </c>
      <c r="G2537" s="1091" t="s">
        <v>137</v>
      </c>
      <c r="H2537" s="1085">
        <f>182.9-182.9</f>
        <v>0</v>
      </c>
      <c r="I2537" s="1097">
        <v>1958</v>
      </c>
      <c r="J2537" s="1067">
        <f>397753-397753</f>
        <v>0</v>
      </c>
      <c r="K2537" s="1067"/>
    </row>
    <row r="2538" spans="1:11" ht="22.5" x14ac:dyDescent="0.2">
      <c r="A2538" s="1072" t="s">
        <v>2115</v>
      </c>
      <c r="B2538" s="1061" t="s">
        <v>281</v>
      </c>
      <c r="C2538" s="1061" t="s">
        <v>5767</v>
      </c>
      <c r="F2538" s="786" t="s">
        <v>6169</v>
      </c>
      <c r="G2538" s="1084" t="s">
        <v>15321</v>
      </c>
      <c r="H2538" s="1085">
        <v>91</v>
      </c>
      <c r="I2538" s="1097" t="s">
        <v>4252</v>
      </c>
      <c r="J2538" s="1067" t="e">
        <f>4816516/1490.3*F2538</f>
        <v>#VALUE!</v>
      </c>
      <c r="K2538" s="1067"/>
    </row>
    <row r="2539" spans="1:11" ht="22.5" x14ac:dyDescent="0.2">
      <c r="A2539" s="1072" t="s">
        <v>2116</v>
      </c>
      <c r="B2539" s="1061" t="s">
        <v>281</v>
      </c>
      <c r="C2539" s="1061" t="s">
        <v>5767</v>
      </c>
      <c r="F2539" s="786"/>
      <c r="G2539" s="1084" t="s">
        <v>15321</v>
      </c>
      <c r="H2539" s="1085">
        <f>92.8</f>
        <v>92.8</v>
      </c>
      <c r="I2539" s="1097" t="s">
        <v>4252</v>
      </c>
      <c r="J2539" s="1067">
        <f>4816516/1490.3*F2539</f>
        <v>0</v>
      </c>
      <c r="K2539" s="1067"/>
    </row>
    <row r="2540" spans="1:11" ht="22.5" x14ac:dyDescent="0.2">
      <c r="A2540" s="1072" t="s">
        <v>2117</v>
      </c>
      <c r="B2540" s="1061" t="s">
        <v>281</v>
      </c>
      <c r="C2540" s="1061" t="s">
        <v>5768</v>
      </c>
      <c r="F2540" s="786"/>
      <c r="G2540" s="1084" t="s">
        <v>15321</v>
      </c>
      <c r="H2540" s="1085">
        <v>55.6</v>
      </c>
      <c r="I2540" s="1097" t="s">
        <v>66</v>
      </c>
      <c r="J2540" s="1067"/>
      <c r="K2540" s="1067"/>
    </row>
    <row r="2541" spans="1:11" ht="33.75" x14ac:dyDescent="0.2">
      <c r="A2541" s="1072" t="s">
        <v>6534</v>
      </c>
      <c r="B2541" s="1061" t="s">
        <v>281</v>
      </c>
      <c r="C2541" s="1061" t="s">
        <v>15224</v>
      </c>
      <c r="F2541" s="786" t="s">
        <v>5916</v>
      </c>
      <c r="G2541" s="1085" t="s">
        <v>137</v>
      </c>
      <c r="H2541" s="1085">
        <f>203</f>
        <v>203</v>
      </c>
      <c r="I2541" s="1097" t="s">
        <v>160</v>
      </c>
      <c r="J2541" s="1067">
        <v>1316003</v>
      </c>
      <c r="K2541" s="1067">
        <v>3206985.88</v>
      </c>
    </row>
    <row r="2542" spans="1:11" ht="22.5" x14ac:dyDescent="0.2">
      <c r="A2542" s="1072" t="s">
        <v>2118</v>
      </c>
      <c r="B2542" s="1061" t="s">
        <v>281</v>
      </c>
      <c r="C2542" s="1061" t="s">
        <v>5769</v>
      </c>
      <c r="F2542" s="786" t="s">
        <v>5952</v>
      </c>
      <c r="G2542" s="1084" t="s">
        <v>15321</v>
      </c>
      <c r="H2542" s="1085">
        <v>208.9</v>
      </c>
      <c r="I2542" s="1099">
        <v>1989</v>
      </c>
      <c r="J2542" s="1067">
        <v>1355585.76</v>
      </c>
      <c r="K2542" s="1067">
        <v>78893.17</v>
      </c>
    </row>
    <row r="2543" spans="1:11" ht="56.25" x14ac:dyDescent="0.2">
      <c r="A2543" s="1072" t="s">
        <v>15138</v>
      </c>
      <c r="B2543" s="1061" t="s">
        <v>281</v>
      </c>
      <c r="C2543" s="1061" t="s">
        <v>13109</v>
      </c>
      <c r="F2543" s="786" t="s">
        <v>13207</v>
      </c>
      <c r="G2543" s="1084" t="s">
        <v>15321</v>
      </c>
      <c r="H2543" s="1085">
        <v>12.6</v>
      </c>
      <c r="I2543" s="1099">
        <v>1989</v>
      </c>
      <c r="J2543" s="1067">
        <f>31461400*12.6/4848.3</f>
        <v>81763.430480787079</v>
      </c>
      <c r="K2543" s="1067">
        <v>4758.5200000000004</v>
      </c>
    </row>
    <row r="2544" spans="1:11" ht="56.25" x14ac:dyDescent="0.2">
      <c r="A2544" s="1072" t="s">
        <v>2119</v>
      </c>
      <c r="B2544" s="1061" t="s">
        <v>281</v>
      </c>
      <c r="C2544" s="1061" t="s">
        <v>13110</v>
      </c>
      <c r="F2544" s="786" t="s">
        <v>13137</v>
      </c>
      <c r="G2544" s="1084" t="s">
        <v>15321</v>
      </c>
      <c r="H2544" s="1085">
        <f>9.1</f>
        <v>9.1</v>
      </c>
      <c r="I2544" s="1099">
        <v>1989</v>
      </c>
      <c r="J2544" s="1067">
        <f>31461400*9.1/4848.3</f>
        <v>59051.366458346223</v>
      </c>
      <c r="K2544" s="1067">
        <v>3436.71</v>
      </c>
    </row>
    <row r="2545" spans="1:11" ht="56.25" x14ac:dyDescent="0.2">
      <c r="A2545" s="1072" t="s">
        <v>13135</v>
      </c>
      <c r="B2545" s="1061" t="s">
        <v>281</v>
      </c>
      <c r="C2545" s="1061" t="s">
        <v>13111</v>
      </c>
      <c r="F2545" s="786" t="s">
        <v>13208</v>
      </c>
      <c r="G2545" s="1084" t="s">
        <v>15321</v>
      </c>
      <c r="H2545" s="1103">
        <f>19+2.9</f>
        <v>21.9</v>
      </c>
      <c r="I2545" s="1099">
        <v>1989</v>
      </c>
      <c r="J2545" s="1067">
        <f>31461400*21.9/4848.3</f>
        <v>142112.62916898707</v>
      </c>
      <c r="K2545" s="1067">
        <v>8270.75</v>
      </c>
    </row>
    <row r="2546" spans="1:11" ht="56.25" x14ac:dyDescent="0.2">
      <c r="A2546" s="1072" t="s">
        <v>4710</v>
      </c>
      <c r="B2546" s="1061" t="s">
        <v>281</v>
      </c>
      <c r="C2546" s="1061" t="s">
        <v>13108</v>
      </c>
      <c r="F2546" s="786" t="s">
        <v>13138</v>
      </c>
      <c r="G2546" s="1085" t="s">
        <v>137</v>
      </c>
      <c r="H2546" s="1101">
        <f>8.3+4.4</f>
        <v>12.700000000000001</v>
      </c>
      <c r="I2546" s="1099">
        <v>1989</v>
      </c>
      <c r="J2546" s="1067">
        <v>84359.08</v>
      </c>
      <c r="K2546" s="1067">
        <v>4796.28</v>
      </c>
    </row>
    <row r="2547" spans="1:11" ht="22.5" x14ac:dyDescent="0.2">
      <c r="A2547" s="1072" t="s">
        <v>15139</v>
      </c>
      <c r="B2547" s="1061" t="s">
        <v>281</v>
      </c>
      <c r="C2547" s="1061" t="s">
        <v>5769</v>
      </c>
      <c r="F2547" s="786"/>
      <c r="G2547" s="1091" t="s">
        <v>15331</v>
      </c>
      <c r="H2547" s="1085">
        <f>902.3-486.5-66.6-25-72.5-251.7</f>
        <v>0</v>
      </c>
      <c r="I2547" s="1097" t="s">
        <v>161</v>
      </c>
      <c r="J2547" s="1067">
        <f>88252.59-88252.59</f>
        <v>0</v>
      </c>
      <c r="K2547" s="1067"/>
    </row>
    <row r="2548" spans="1:11" ht="22.5" x14ac:dyDescent="0.2">
      <c r="A2548" s="1061" t="s">
        <v>15140</v>
      </c>
      <c r="B2548" s="1061" t="s">
        <v>281</v>
      </c>
      <c r="C2548" s="1061" t="s">
        <v>5769</v>
      </c>
      <c r="F2548" s="786" t="s">
        <v>15294</v>
      </c>
      <c r="G2548" s="1091" t="s">
        <v>512</v>
      </c>
      <c r="H2548" s="1085">
        <f>66.6-66.6</f>
        <v>0</v>
      </c>
      <c r="I2548" s="1097" t="s">
        <v>161</v>
      </c>
      <c r="J2548" s="1067">
        <f>432178.13-432178.13</f>
        <v>0</v>
      </c>
      <c r="K2548" s="1067"/>
    </row>
    <row r="2549" spans="1:11" ht="22.5" x14ac:dyDescent="0.2">
      <c r="A2549" s="1061" t="s">
        <v>15141</v>
      </c>
      <c r="B2549" s="1061" t="s">
        <v>281</v>
      </c>
      <c r="C2549" s="1061" t="s">
        <v>5769</v>
      </c>
      <c r="F2549" s="786" t="s">
        <v>15295</v>
      </c>
      <c r="G2549" s="1091" t="s">
        <v>512</v>
      </c>
      <c r="H2549" s="1085">
        <f>25-25</f>
        <v>0</v>
      </c>
      <c r="I2549" s="1097" t="s">
        <v>161</v>
      </c>
      <c r="J2549" s="1067">
        <f>1044754.76-1044754.76</f>
        <v>0</v>
      </c>
      <c r="K2549" s="1067"/>
    </row>
    <row r="2550" spans="1:11" ht="22.5" x14ac:dyDescent="0.2">
      <c r="A2550" s="1061" t="s">
        <v>6535</v>
      </c>
      <c r="B2550" s="1061" t="s">
        <v>281</v>
      </c>
      <c r="C2550" s="1061" t="s">
        <v>5769</v>
      </c>
      <c r="F2550" s="786" t="s">
        <v>15296</v>
      </c>
      <c r="G2550" s="1091" t="s">
        <v>512</v>
      </c>
      <c r="H2550" s="1085">
        <v>72.5</v>
      </c>
      <c r="I2550" s="1097" t="s">
        <v>161</v>
      </c>
      <c r="J2550" s="1067">
        <v>470464.86</v>
      </c>
      <c r="K2550" s="1067">
        <v>1362268.48</v>
      </c>
    </row>
    <row r="2551" spans="1:11" ht="22.5" x14ac:dyDescent="0.2">
      <c r="A2551" s="1072" t="s">
        <v>15142</v>
      </c>
      <c r="B2551" s="1061" t="s">
        <v>281</v>
      </c>
      <c r="C2551" s="1061" t="s">
        <v>15225</v>
      </c>
      <c r="F2551" s="786"/>
      <c r="G2551" s="1091" t="s">
        <v>137</v>
      </c>
      <c r="H2551" s="1085">
        <f>123-123</f>
        <v>0</v>
      </c>
      <c r="I2551" s="1097" t="s">
        <v>3710</v>
      </c>
      <c r="J2551" s="1067">
        <v>0</v>
      </c>
      <c r="K2551" s="1067"/>
    </row>
    <row r="2552" spans="1:11" ht="22.5" x14ac:dyDescent="0.2">
      <c r="A2552" s="1072" t="s">
        <v>6456</v>
      </c>
      <c r="B2552" s="1061" t="s">
        <v>281</v>
      </c>
      <c r="C2552" s="1061" t="s">
        <v>5770</v>
      </c>
      <c r="F2552" s="786"/>
      <c r="G2552" s="1091" t="s">
        <v>137</v>
      </c>
      <c r="H2552" s="1085">
        <f>10.3-10.3</f>
        <v>0</v>
      </c>
      <c r="I2552" s="1098">
        <v>1933</v>
      </c>
      <c r="J2552" s="1067">
        <f>8659.31-8659.31</f>
        <v>0</v>
      </c>
      <c r="K2552" s="1067"/>
    </row>
    <row r="2553" spans="1:11" ht="22.5" x14ac:dyDescent="0.2">
      <c r="A2553" s="1072" t="s">
        <v>2120</v>
      </c>
      <c r="B2553" s="1061" t="s">
        <v>281</v>
      </c>
      <c r="C2553" s="1061" t="s">
        <v>5770</v>
      </c>
      <c r="F2553" s="786"/>
      <c r="G2553" s="1091" t="s">
        <v>137</v>
      </c>
      <c r="H2553" s="1085">
        <f>27.5-27.5</f>
        <v>0</v>
      </c>
      <c r="I2553" s="1097" t="s">
        <v>3710</v>
      </c>
      <c r="J2553" s="1067">
        <f>23119-23119</f>
        <v>0</v>
      </c>
      <c r="K2553" s="1067"/>
    </row>
    <row r="2554" spans="1:11" ht="22.5" x14ac:dyDescent="0.2">
      <c r="A2554" s="1072" t="s">
        <v>5573</v>
      </c>
      <c r="B2554" s="1061" t="s">
        <v>281</v>
      </c>
      <c r="C2554" s="1061" t="s">
        <v>5770</v>
      </c>
      <c r="F2554" s="786"/>
      <c r="G2554" s="1084" t="s">
        <v>15321</v>
      </c>
      <c r="H2554" s="1085">
        <f>14.2-14.2</f>
        <v>0</v>
      </c>
      <c r="I2554" s="1098">
        <v>1933</v>
      </c>
      <c r="J2554" s="1067">
        <f>11938.09-11938.09</f>
        <v>0</v>
      </c>
      <c r="K2554" s="1067"/>
    </row>
    <row r="2555" spans="1:11" ht="22.5" x14ac:dyDescent="0.2">
      <c r="A2555" s="1072" t="s">
        <v>2121</v>
      </c>
      <c r="B2555" s="1061" t="s">
        <v>281</v>
      </c>
      <c r="C2555" s="1061" t="s">
        <v>5771</v>
      </c>
      <c r="F2555" s="786" t="s">
        <v>8955</v>
      </c>
      <c r="G2555" s="1084" t="s">
        <v>15321</v>
      </c>
      <c r="H2555" s="1106">
        <v>44.1</v>
      </c>
      <c r="I2555" s="1097" t="s">
        <v>18</v>
      </c>
      <c r="J2555" s="1067" t="e">
        <f>3396900/1077.2*F2555</f>
        <v>#VALUE!</v>
      </c>
      <c r="K2555" s="894">
        <v>17338.8</v>
      </c>
    </row>
    <row r="2556" spans="1:11" ht="22.5" x14ac:dyDescent="0.2">
      <c r="A2556" s="1072" t="s">
        <v>2122</v>
      </c>
      <c r="B2556" s="1061" t="s">
        <v>281</v>
      </c>
      <c r="C2556" s="1061" t="s">
        <v>5772</v>
      </c>
      <c r="F2556" s="786" t="s">
        <v>9248</v>
      </c>
      <c r="G2556" s="1084" t="s">
        <v>15321</v>
      </c>
      <c r="H2556" s="1107">
        <v>56.2</v>
      </c>
      <c r="I2556" s="1097" t="s">
        <v>18</v>
      </c>
      <c r="J2556" s="1067" t="e">
        <f>3396900/1077.2*F2556</f>
        <v>#VALUE!</v>
      </c>
      <c r="K2556" s="894">
        <v>419762.86</v>
      </c>
    </row>
    <row r="2557" spans="1:11" ht="22.5" x14ac:dyDescent="0.2">
      <c r="A2557" s="1072" t="s">
        <v>5529</v>
      </c>
      <c r="B2557" s="1061" t="s">
        <v>3108</v>
      </c>
      <c r="C2557" s="1061" t="s">
        <v>5773</v>
      </c>
      <c r="F2557" s="786" t="s">
        <v>6477</v>
      </c>
      <c r="G2557" s="1084" t="s">
        <v>15321</v>
      </c>
      <c r="H2557" s="1108">
        <f>171.5-171.5</f>
        <v>0</v>
      </c>
      <c r="I2557" s="1097" t="s">
        <v>66</v>
      </c>
      <c r="J2557" s="1067">
        <f>389824.16-389824.16</f>
        <v>0</v>
      </c>
      <c r="K2557" s="894">
        <f>67428.65-67428.65</f>
        <v>0</v>
      </c>
    </row>
    <row r="2558" spans="1:11" ht="33.75" x14ac:dyDescent="0.2">
      <c r="A2558" s="1072" t="s">
        <v>15143</v>
      </c>
      <c r="B2558" s="1061" t="s">
        <v>15191</v>
      </c>
      <c r="C2558" s="1061" t="s">
        <v>5773</v>
      </c>
      <c r="F2558" s="786" t="s">
        <v>15297</v>
      </c>
      <c r="G2558" s="1084" t="s">
        <v>15321</v>
      </c>
      <c r="H2558" s="1085">
        <f>88.6-88.6</f>
        <v>0</v>
      </c>
      <c r="I2558" s="1097" t="s">
        <v>66</v>
      </c>
      <c r="J2558" s="1067">
        <f>224127.44-224127.44</f>
        <v>0</v>
      </c>
      <c r="K2558" s="1067">
        <f>41282.85 -41282.85</f>
        <v>0</v>
      </c>
    </row>
    <row r="2559" spans="1:11" ht="22.5" x14ac:dyDescent="0.2">
      <c r="A2559" s="1072" t="s">
        <v>5530</v>
      </c>
      <c r="B2559" s="1061" t="s">
        <v>281</v>
      </c>
      <c r="C2559" s="1061" t="s">
        <v>5773</v>
      </c>
      <c r="F2559" s="786"/>
      <c r="G2559" s="1084" t="s">
        <v>15321</v>
      </c>
      <c r="H2559" s="1085">
        <v>76.400000000000006</v>
      </c>
      <c r="I2559" s="1097" t="s">
        <v>66</v>
      </c>
      <c r="J2559" s="1067">
        <f>265613.78/105*76.4</f>
        <v>193265.64563809527</v>
      </c>
      <c r="K2559" s="1067"/>
    </row>
    <row r="2560" spans="1:11" ht="22.5" x14ac:dyDescent="0.2">
      <c r="A2560" s="1072" t="s">
        <v>5531</v>
      </c>
      <c r="B2560" s="1061" t="s">
        <v>281</v>
      </c>
      <c r="C2560" s="1061" t="s">
        <v>5774</v>
      </c>
      <c r="F2560" s="786" t="s">
        <v>15298</v>
      </c>
      <c r="G2560" s="1092" t="s">
        <v>15320</v>
      </c>
      <c r="H2560" s="1087">
        <v>62</v>
      </c>
      <c r="I2560" s="1097" t="s">
        <v>38</v>
      </c>
      <c r="J2560" s="1067" t="e">
        <f>21274080/3675.3*F2560</f>
        <v>#VALUE!</v>
      </c>
      <c r="K2560" s="894"/>
    </row>
    <row r="2561" spans="1:11" ht="22.5" x14ac:dyDescent="0.2">
      <c r="A2561" s="1072" t="s">
        <v>5532</v>
      </c>
      <c r="B2561" s="1061" t="s">
        <v>281</v>
      </c>
      <c r="C2561" s="1061" t="s">
        <v>5774</v>
      </c>
      <c r="F2561" s="786"/>
      <c r="G2561" s="1092" t="s">
        <v>15320</v>
      </c>
      <c r="H2561" s="1087">
        <v>24</v>
      </c>
      <c r="I2561" s="1097" t="s">
        <v>38</v>
      </c>
      <c r="J2561" s="1067">
        <f>21274080/3675.3*F2561</f>
        <v>0</v>
      </c>
      <c r="K2561" s="894"/>
    </row>
    <row r="2562" spans="1:11" ht="22.5" x14ac:dyDescent="0.2">
      <c r="A2562" s="1072" t="s">
        <v>5533</v>
      </c>
      <c r="B2562" s="1061" t="s">
        <v>281</v>
      </c>
      <c r="C2562" s="1061" t="s">
        <v>5774</v>
      </c>
      <c r="F2562" s="786"/>
      <c r="G2562" s="1092" t="s">
        <v>15320</v>
      </c>
      <c r="H2562" s="1087">
        <v>15</v>
      </c>
      <c r="I2562" s="1097" t="s">
        <v>38</v>
      </c>
      <c r="J2562" s="1067">
        <f>21274080/3675.3*F2562</f>
        <v>0</v>
      </c>
      <c r="K2562" s="894"/>
    </row>
    <row r="2563" spans="1:11" ht="22.5" x14ac:dyDescent="0.2">
      <c r="A2563" s="1072" t="s">
        <v>5534</v>
      </c>
      <c r="B2563" s="1061" t="s">
        <v>281</v>
      </c>
      <c r="C2563" s="1061" t="s">
        <v>5774</v>
      </c>
      <c r="F2563" s="786" t="s">
        <v>9238</v>
      </c>
      <c r="G2563" s="1084" t="s">
        <v>15321</v>
      </c>
      <c r="H2563" s="1087">
        <v>12.3</v>
      </c>
      <c r="I2563" s="1097" t="s">
        <v>38</v>
      </c>
      <c r="J2563" s="1067" t="e">
        <f>21274080/3675.3*F2563</f>
        <v>#VALUE!</v>
      </c>
      <c r="K2563" s="894">
        <v>91869.81</v>
      </c>
    </row>
    <row r="2564" spans="1:11" ht="22.5" x14ac:dyDescent="0.2">
      <c r="A2564" s="1072" t="s">
        <v>5535</v>
      </c>
      <c r="B2564" s="1061" t="s">
        <v>15192</v>
      </c>
      <c r="C2564" s="1061" t="s">
        <v>5775</v>
      </c>
      <c r="F2564" s="786" t="s">
        <v>8103</v>
      </c>
      <c r="G2564" s="1088" t="s">
        <v>137</v>
      </c>
      <c r="H2564" s="1088">
        <f>355.2-54.51-19.4</f>
        <v>281.29000000000002</v>
      </c>
      <c r="I2564" s="1097" t="s">
        <v>163</v>
      </c>
      <c r="J2564" s="1067">
        <v>778388.28</v>
      </c>
      <c r="K2564" s="1280">
        <v>2653020.77</v>
      </c>
    </row>
    <row r="2565" spans="1:11" ht="22.5" x14ac:dyDescent="0.2">
      <c r="A2565" s="1061" t="s">
        <v>6536</v>
      </c>
      <c r="B2565" s="1061" t="s">
        <v>15192</v>
      </c>
      <c r="C2565" s="1061" t="s">
        <v>5775</v>
      </c>
      <c r="F2565" s="786" t="s">
        <v>8103</v>
      </c>
      <c r="G2565" s="1088" t="s">
        <v>137</v>
      </c>
      <c r="H2565" s="1088">
        <f>54.51-18.6-0.31</f>
        <v>35.599999999999994</v>
      </c>
      <c r="I2565" s="1097" t="s">
        <v>163</v>
      </c>
      <c r="J2565" s="1067">
        <f>3559128/1299.2*35.6</f>
        <v>97525.366995073884</v>
      </c>
      <c r="K2565" s="1280"/>
    </row>
    <row r="2566" spans="1:11" ht="22.5" x14ac:dyDescent="0.2">
      <c r="A2566" s="1061" t="s">
        <v>6537</v>
      </c>
      <c r="B2566" s="1061" t="s">
        <v>15192</v>
      </c>
      <c r="C2566" s="1061" t="s">
        <v>5775</v>
      </c>
      <c r="F2566" s="786" t="s">
        <v>8103</v>
      </c>
      <c r="G2566" s="1088" t="s">
        <v>137</v>
      </c>
      <c r="H2566" s="1088">
        <v>18.600000000000001</v>
      </c>
      <c r="I2566" s="1097" t="s">
        <v>163</v>
      </c>
      <c r="J2566" s="1067">
        <f>3559128/1299.2*18.6</f>
        <v>50954.264778325123</v>
      </c>
      <c r="K2566" s="1280"/>
    </row>
    <row r="2567" spans="1:11" ht="22.5" x14ac:dyDescent="0.2">
      <c r="A2567" s="1061" t="s">
        <v>10885</v>
      </c>
      <c r="B2567" s="1061" t="s">
        <v>15193</v>
      </c>
      <c r="C2567" s="1061" t="s">
        <v>5775</v>
      </c>
      <c r="F2567" s="786" t="s">
        <v>8103</v>
      </c>
      <c r="G2567" s="1088" t="s">
        <v>137</v>
      </c>
      <c r="H2567" s="1088">
        <v>19.399999999999999</v>
      </c>
      <c r="I2567" s="1097" t="s">
        <v>163</v>
      </c>
      <c r="J2567" s="1067">
        <f>(19.4*149328.87)/54.51</f>
        <v>53145.84623004953</v>
      </c>
      <c r="K2567" s="1280"/>
    </row>
    <row r="2568" spans="1:11" ht="22.5" x14ac:dyDescent="0.2">
      <c r="A2568" s="1072" t="s">
        <v>5536</v>
      </c>
      <c r="B2568" s="1061" t="s">
        <v>15193</v>
      </c>
      <c r="C2568" s="1061" t="s">
        <v>5775</v>
      </c>
      <c r="F2568" s="786" t="s">
        <v>8104</v>
      </c>
      <c r="G2568" s="1088" t="s">
        <v>137</v>
      </c>
      <c r="H2568" s="1088">
        <v>148.4</v>
      </c>
      <c r="I2568" s="1097" t="s">
        <v>163</v>
      </c>
      <c r="J2568" s="1067">
        <v>406535.13</v>
      </c>
      <c r="K2568" s="1067">
        <v>1108412.96</v>
      </c>
    </row>
    <row r="2569" spans="1:11" ht="33.75" x14ac:dyDescent="0.2">
      <c r="A2569" s="1072" t="s">
        <v>5537</v>
      </c>
      <c r="B2569" s="1061" t="s">
        <v>15193</v>
      </c>
      <c r="C2569" s="1061" t="s">
        <v>15226</v>
      </c>
      <c r="F2569" s="786" t="s">
        <v>5790</v>
      </c>
      <c r="G2569" s="1084" t="s">
        <v>15321</v>
      </c>
      <c r="H2569" s="1088">
        <v>46.3</v>
      </c>
      <c r="I2569" s="1097" t="s">
        <v>488</v>
      </c>
      <c r="J2569" s="1067">
        <v>18402.05</v>
      </c>
      <c r="K2569" s="1067">
        <v>443585.95</v>
      </c>
    </row>
    <row r="2570" spans="1:11" ht="22.5" x14ac:dyDescent="0.2">
      <c r="A2570" s="1072" t="s">
        <v>15144</v>
      </c>
      <c r="B2570" s="1061" t="s">
        <v>281</v>
      </c>
      <c r="C2570" s="1061" t="s">
        <v>5776</v>
      </c>
      <c r="F2570" s="786" t="s">
        <v>15299</v>
      </c>
      <c r="G2570" s="1091" t="s">
        <v>15332</v>
      </c>
      <c r="H2570" s="1085">
        <f>88.7-88.7</f>
        <v>0</v>
      </c>
      <c r="I2570" s="1097" t="s">
        <v>488</v>
      </c>
      <c r="J2570" s="1067">
        <f>35254.05-35254.05</f>
        <v>0</v>
      </c>
      <c r="K2570" s="1112">
        <f>1677419.42-1677419.42</f>
        <v>0</v>
      </c>
    </row>
    <row r="2571" spans="1:11" ht="22.5" x14ac:dyDescent="0.2">
      <c r="A2571" s="1072" t="s">
        <v>15145</v>
      </c>
      <c r="B2571" s="1061" t="s">
        <v>281</v>
      </c>
      <c r="C2571" s="1061" t="s">
        <v>5776</v>
      </c>
      <c r="F2571" s="786"/>
      <c r="G2571" s="1091" t="s">
        <v>15332</v>
      </c>
      <c r="H2571" s="1085">
        <f>20-20</f>
        <v>0</v>
      </c>
      <c r="I2571" s="1097" t="s">
        <v>488</v>
      </c>
      <c r="J2571" s="1067"/>
      <c r="K2571" s="1067"/>
    </row>
    <row r="2572" spans="1:11" ht="22.5" x14ac:dyDescent="0.2">
      <c r="A2572" s="1072" t="s">
        <v>15146</v>
      </c>
      <c r="B2572" s="1061" t="s">
        <v>281</v>
      </c>
      <c r="C2572" s="1061" t="s">
        <v>15227</v>
      </c>
      <c r="F2572" s="786" t="s">
        <v>15300</v>
      </c>
      <c r="G2572" s="1084" t="s">
        <v>15321</v>
      </c>
      <c r="H2572" s="1085">
        <f>(65.8-28.2-14.4)-23.2</f>
        <v>0</v>
      </c>
      <c r="I2572" s="1097" t="s">
        <v>3338</v>
      </c>
      <c r="J2572" s="1067">
        <f>32729.02/65.8*23.2-11539.72</f>
        <v>-4.7416413362952881E-3</v>
      </c>
      <c r="K2572" s="1067">
        <f>145594.62-145594.62</f>
        <v>0</v>
      </c>
    </row>
    <row r="2573" spans="1:11" ht="33.75" x14ac:dyDescent="0.2">
      <c r="A2573" s="1072" t="s">
        <v>5538</v>
      </c>
      <c r="B2573" s="1061" t="s">
        <v>281</v>
      </c>
      <c r="C2573" s="1061" t="s">
        <v>15228</v>
      </c>
      <c r="F2573" s="786" t="s">
        <v>5609</v>
      </c>
      <c r="G2573" s="1084" t="s">
        <v>15321</v>
      </c>
      <c r="H2573" s="1085">
        <f>60-27.8</f>
        <v>32.200000000000003</v>
      </c>
      <c r="I2573" s="1097" t="s">
        <v>36</v>
      </c>
      <c r="J2573" s="1067" t="e">
        <f>692004/1417.1*F2573</f>
        <v>#VALUE!</v>
      </c>
      <c r="K2573" s="1281">
        <v>662935.19999999995</v>
      </c>
    </row>
    <row r="2574" spans="1:11" ht="33.75" x14ac:dyDescent="0.2">
      <c r="A2574" s="1061" t="s">
        <v>6538</v>
      </c>
      <c r="B2574" s="1061" t="s">
        <v>281</v>
      </c>
      <c r="C2574" s="1061" t="s">
        <v>15228</v>
      </c>
      <c r="F2574" s="786" t="s">
        <v>5609</v>
      </c>
      <c r="G2574" s="1084" t="s">
        <v>15321</v>
      </c>
      <c r="H2574" s="1085">
        <v>27.8</v>
      </c>
      <c r="I2574" s="1097" t="s">
        <v>36</v>
      </c>
      <c r="J2574" s="1067" t="e">
        <f>692004/1417.1*F2574</f>
        <v>#VALUE!</v>
      </c>
      <c r="K2574" s="1281"/>
    </row>
    <row r="2575" spans="1:11" ht="33.75" x14ac:dyDescent="0.2">
      <c r="A2575" s="1072" t="s">
        <v>5539</v>
      </c>
      <c r="B2575" s="1061" t="s">
        <v>281</v>
      </c>
      <c r="C2575" s="1061" t="s">
        <v>15229</v>
      </c>
      <c r="F2575" s="786" t="s">
        <v>8968</v>
      </c>
      <c r="G2575" s="1084" t="s">
        <v>15321</v>
      </c>
      <c r="H2575" s="1088">
        <f>101.8-57.75</f>
        <v>44.05</v>
      </c>
      <c r="I2575" s="1097" t="s">
        <v>3757</v>
      </c>
      <c r="J2575" s="1067" t="e">
        <f>42089.2-J2576</f>
        <v>#VALUE!</v>
      </c>
      <c r="K2575" s="1067"/>
    </row>
    <row r="2576" spans="1:11" ht="33.75" x14ac:dyDescent="0.2">
      <c r="A2576" s="1061" t="s">
        <v>9649</v>
      </c>
      <c r="B2576" s="1061" t="s">
        <v>281</v>
      </c>
      <c r="C2576" s="1061" t="s">
        <v>15229</v>
      </c>
      <c r="F2576" s="786" t="s">
        <v>8968</v>
      </c>
      <c r="G2576" s="1084" t="s">
        <v>15321</v>
      </c>
      <c r="H2576" s="1088">
        <v>57.75</v>
      </c>
      <c r="I2576" s="1097" t="s">
        <v>3757</v>
      </c>
      <c r="J2576" s="1067" t="e">
        <f>42089.2/101.8*F2576</f>
        <v>#VALUE!</v>
      </c>
      <c r="K2576" s="1067"/>
    </row>
    <row r="2577" spans="1:11" ht="67.5" x14ac:dyDescent="0.2">
      <c r="A2577" s="1072" t="s">
        <v>2123</v>
      </c>
      <c r="B2577" s="1061" t="s">
        <v>281</v>
      </c>
      <c r="C2577" s="1061" t="s">
        <v>15230</v>
      </c>
      <c r="F2577" s="786" t="s">
        <v>8969</v>
      </c>
      <c r="G2577" s="1085" t="s">
        <v>137</v>
      </c>
      <c r="H2577" s="1085">
        <v>31</v>
      </c>
      <c r="I2577" s="1097" t="s">
        <v>3477</v>
      </c>
      <c r="J2577" s="1067">
        <v>18279.439999999999</v>
      </c>
      <c r="K2577" s="1067">
        <v>236145.6</v>
      </c>
    </row>
    <row r="2578" spans="1:11" ht="33.75" x14ac:dyDescent="0.2">
      <c r="A2578" s="1068" t="s">
        <v>2124</v>
      </c>
      <c r="B2578" s="1069" t="s">
        <v>281</v>
      </c>
      <c r="C2578" s="1069" t="s">
        <v>15231</v>
      </c>
      <c r="F2578" s="786" t="s">
        <v>8971</v>
      </c>
      <c r="G2578" s="1085" t="s">
        <v>137</v>
      </c>
      <c r="H2578" s="1085">
        <v>21.4</v>
      </c>
      <c r="I2578" s="1095" t="s">
        <v>3477</v>
      </c>
      <c r="J2578" s="1067" t="e">
        <f>12206.44/20.7*F2578</f>
        <v>#VALUE!</v>
      </c>
      <c r="K2578" s="1067">
        <v>204836.95</v>
      </c>
    </row>
    <row r="2579" spans="1:11" ht="33.75" x14ac:dyDescent="0.2">
      <c r="A2579" s="1068" t="s">
        <v>2125</v>
      </c>
      <c r="B2579" s="1069" t="s">
        <v>281</v>
      </c>
      <c r="C2579" s="1069" t="s">
        <v>15232</v>
      </c>
      <c r="F2579" s="786" t="s">
        <v>8970</v>
      </c>
      <c r="G2579" s="1085" t="s">
        <v>137</v>
      </c>
      <c r="H2579" s="1101">
        <v>14.1</v>
      </c>
      <c r="I2579" s="1095" t="s">
        <v>3477</v>
      </c>
      <c r="J2579" s="1067">
        <v>8314.5300000000007</v>
      </c>
      <c r="K2579" s="1067">
        <v>134962.66</v>
      </c>
    </row>
    <row r="2580" spans="1:11" ht="22.5" x14ac:dyDescent="0.2">
      <c r="A2580" s="1068" t="s">
        <v>15147</v>
      </c>
      <c r="B2580" s="1069" t="s">
        <v>281</v>
      </c>
      <c r="C2580" s="1078" t="s">
        <v>14255</v>
      </c>
      <c r="F2580" s="786" t="s">
        <v>14256</v>
      </c>
      <c r="G2580" s="1091" t="s">
        <v>15321</v>
      </c>
      <c r="H2580" s="1085">
        <f>502.2-502.2</f>
        <v>0</v>
      </c>
      <c r="I2580" s="1095" t="s">
        <v>67</v>
      </c>
      <c r="J2580" s="1067">
        <f>302593.12-302593.12</f>
        <v>0</v>
      </c>
      <c r="K2580" s="1067">
        <f>4806968-4806968</f>
        <v>0</v>
      </c>
    </row>
    <row r="2581" spans="1:11" ht="33.75" x14ac:dyDescent="0.2">
      <c r="A2581" s="1068" t="s">
        <v>2126</v>
      </c>
      <c r="B2581" s="1069" t="s">
        <v>281</v>
      </c>
      <c r="C2581" s="1078" t="s">
        <v>15233</v>
      </c>
      <c r="F2581" s="1081" t="s">
        <v>9239</v>
      </c>
      <c r="G2581" s="1085" t="s">
        <v>137</v>
      </c>
      <c r="H2581" s="1085">
        <v>73.900000000000006</v>
      </c>
      <c r="I2581" s="1095" t="s">
        <v>67</v>
      </c>
      <c r="J2581" s="1067">
        <v>44141</v>
      </c>
      <c r="K2581" s="1067">
        <v>707357.5</v>
      </c>
    </row>
    <row r="2582" spans="1:11" ht="22.5" x14ac:dyDescent="0.2">
      <c r="A2582" s="1068" t="s">
        <v>4177</v>
      </c>
      <c r="B2582" s="1069" t="s">
        <v>15194</v>
      </c>
      <c r="C2582" s="1078" t="s">
        <v>5675</v>
      </c>
      <c r="F2582" s="786" t="s">
        <v>6210</v>
      </c>
      <c r="G2582" s="1085" t="s">
        <v>15321</v>
      </c>
      <c r="H2582" s="1085">
        <v>160.4</v>
      </c>
      <c r="I2582" s="1095">
        <v>1970</v>
      </c>
      <c r="J2582" s="1067">
        <v>60268.23</v>
      </c>
      <c r="K2582" s="1067">
        <v>2284436.0499999998</v>
      </c>
    </row>
    <row r="2583" spans="1:11" ht="22.5" x14ac:dyDescent="0.2">
      <c r="A2583" s="1068" t="s">
        <v>2127</v>
      </c>
      <c r="B2583" s="1069" t="s">
        <v>5950</v>
      </c>
      <c r="C2583" s="1078" t="s">
        <v>15234</v>
      </c>
      <c r="F2583" s="786" t="s">
        <v>5634</v>
      </c>
      <c r="G2583" s="1085" t="s">
        <v>15321</v>
      </c>
      <c r="H2583" s="1085">
        <f>216.9-85.05-7.8</f>
        <v>124.05000000000003</v>
      </c>
      <c r="I2583" s="1095" t="s">
        <v>2862</v>
      </c>
      <c r="J2583" s="1067">
        <f>1501100/3995*216.9-31957.09-2930.81</f>
        <v>46611.121276595746</v>
      </c>
      <c r="K2583" s="1281">
        <v>3089115.83</v>
      </c>
    </row>
    <row r="2584" spans="1:11" ht="22.5" x14ac:dyDescent="0.2">
      <c r="A2584" s="1069" t="s">
        <v>6539</v>
      </c>
      <c r="B2584" s="1069" t="s">
        <v>281</v>
      </c>
      <c r="C2584" s="1078" t="s">
        <v>15234</v>
      </c>
      <c r="F2584" s="786" t="s">
        <v>5634</v>
      </c>
      <c r="G2584" s="1085" t="s">
        <v>15321</v>
      </c>
      <c r="H2584" s="1088">
        <v>85.05</v>
      </c>
      <c r="I2584" s="1095" t="s">
        <v>2862</v>
      </c>
      <c r="J2584" s="1067" t="e">
        <f>1501100/3995*F2584</f>
        <v>#VALUE!</v>
      </c>
      <c r="K2584" s="1281"/>
    </row>
    <row r="2585" spans="1:11" ht="22.5" x14ac:dyDescent="0.2">
      <c r="A2585" s="1069" t="s">
        <v>6540</v>
      </c>
      <c r="B2585" s="1069" t="s">
        <v>281</v>
      </c>
      <c r="C2585" s="1078" t="s">
        <v>15234</v>
      </c>
      <c r="F2585" s="786" t="s">
        <v>5634</v>
      </c>
      <c r="G2585" s="1085" t="s">
        <v>15321</v>
      </c>
      <c r="H2585" s="1085">
        <v>7.8</v>
      </c>
      <c r="I2585" s="1095" t="s">
        <v>2862</v>
      </c>
      <c r="J2585" s="1067" t="e">
        <f>1501100/3995*F2585</f>
        <v>#VALUE!</v>
      </c>
      <c r="K2585" s="1281"/>
    </row>
    <row r="2586" spans="1:11" ht="33.75" x14ac:dyDescent="0.2">
      <c r="A2586" s="1068" t="s">
        <v>2128</v>
      </c>
      <c r="B2586" s="1069" t="s">
        <v>281</v>
      </c>
      <c r="C2586" s="1078" t="s">
        <v>15235</v>
      </c>
      <c r="F2586" s="786" t="s">
        <v>15301</v>
      </c>
      <c r="G2586" s="1091" t="s">
        <v>137</v>
      </c>
      <c r="H2586" s="1085">
        <v>6.3</v>
      </c>
      <c r="I2586" s="1095" t="s">
        <v>2862</v>
      </c>
      <c r="J2586" s="1067">
        <v>2254.4699999999998</v>
      </c>
      <c r="K2586" s="1067">
        <v>39536.47</v>
      </c>
    </row>
    <row r="2587" spans="1:11" ht="33.75" x14ac:dyDescent="0.2">
      <c r="A2587" s="1068" t="s">
        <v>6543</v>
      </c>
      <c r="B2587" s="1069" t="s">
        <v>281</v>
      </c>
      <c r="C2587" s="1078" t="s">
        <v>15236</v>
      </c>
      <c r="F2587" s="786" t="s">
        <v>5249</v>
      </c>
      <c r="G2587" s="1091" t="s">
        <v>15320</v>
      </c>
      <c r="H2587" s="1085">
        <f>411.1-163.7-50-54.3</f>
        <v>143.10000000000002</v>
      </c>
      <c r="I2587" s="1095" t="s">
        <v>159</v>
      </c>
      <c r="J2587" s="1067">
        <f>814443.15-324311.22-99056.57-107575.44</f>
        <v>283499.92000000004</v>
      </c>
      <c r="K2587" s="1281">
        <v>3934975.21</v>
      </c>
    </row>
    <row r="2588" spans="1:11" ht="33.75" x14ac:dyDescent="0.2">
      <c r="A2588" s="1069" t="s">
        <v>8307</v>
      </c>
      <c r="B2588" s="1069" t="s">
        <v>281</v>
      </c>
      <c r="C2588" s="1078" t="s">
        <v>15236</v>
      </c>
      <c r="F2588" s="786" t="s">
        <v>5249</v>
      </c>
      <c r="G2588" s="1091" t="s">
        <v>15320</v>
      </c>
      <c r="H2588" s="1085">
        <v>163.69999999999999</v>
      </c>
      <c r="I2588" s="1095" t="s">
        <v>159</v>
      </c>
      <c r="J2588" s="1067" t="e">
        <f>814443.15/411.1*F2588</f>
        <v>#VALUE!</v>
      </c>
      <c r="K2588" s="1281"/>
    </row>
    <row r="2589" spans="1:11" ht="45" x14ac:dyDescent="0.2">
      <c r="A2589" s="1069" t="s">
        <v>8308</v>
      </c>
      <c r="B2589" s="1069" t="s">
        <v>9504</v>
      </c>
      <c r="C2589" s="1078" t="s">
        <v>15237</v>
      </c>
      <c r="F2589" s="786" t="s">
        <v>9503</v>
      </c>
      <c r="G2589" s="1084" t="s">
        <v>15321</v>
      </c>
      <c r="H2589" s="1085">
        <v>50</v>
      </c>
      <c r="I2589" s="1095" t="s">
        <v>159</v>
      </c>
      <c r="J2589" s="1067" t="e">
        <f>814443.15/411.1*F2589</f>
        <v>#VALUE!</v>
      </c>
      <c r="K2589" s="1281"/>
    </row>
    <row r="2590" spans="1:11" ht="33.75" x14ac:dyDescent="0.2">
      <c r="A2590" s="1069" t="s">
        <v>9879</v>
      </c>
      <c r="B2590" s="1069" t="s">
        <v>281</v>
      </c>
      <c r="C2590" s="1078" t="s">
        <v>15236</v>
      </c>
      <c r="F2590" s="786" t="s">
        <v>5249</v>
      </c>
      <c r="G2590" s="1091" t="s">
        <v>15320</v>
      </c>
      <c r="H2590" s="1085">
        <v>54.3</v>
      </c>
      <c r="I2590" s="1095" t="s">
        <v>159</v>
      </c>
      <c r="J2590" s="1067" t="e">
        <f>814443.15/411.1*F2590</f>
        <v>#VALUE!</v>
      </c>
      <c r="K2590" s="1281"/>
    </row>
    <row r="2591" spans="1:11" ht="22.5" x14ac:dyDescent="0.2">
      <c r="A2591" s="1068" t="s">
        <v>6544</v>
      </c>
      <c r="B2591" s="1069" t="s">
        <v>281</v>
      </c>
      <c r="C2591" s="1078" t="s">
        <v>5751</v>
      </c>
      <c r="F2591" s="786"/>
      <c r="G2591" s="1091"/>
      <c r="H2591" s="1085">
        <f>173.4-173.4</f>
        <v>0</v>
      </c>
      <c r="I2591" s="1095"/>
      <c r="J2591" s="1067"/>
      <c r="K2591" s="1067"/>
    </row>
    <row r="2592" spans="1:11" ht="22.5" x14ac:dyDescent="0.2">
      <c r="A2592" s="1068" t="s">
        <v>15148</v>
      </c>
      <c r="B2592" s="1069" t="s">
        <v>281</v>
      </c>
      <c r="C2592" s="1078" t="s">
        <v>15238</v>
      </c>
      <c r="F2592" s="786"/>
      <c r="G2592" s="1091"/>
      <c r="H2592" s="1085">
        <f>100-100</f>
        <v>0</v>
      </c>
      <c r="I2592" s="1095"/>
      <c r="J2592" s="1067">
        <f>334647.21-334647.21</f>
        <v>0</v>
      </c>
      <c r="K2592" s="1067"/>
    </row>
    <row r="2593" spans="1:11" ht="22.5" x14ac:dyDescent="0.2">
      <c r="A2593" s="1068" t="s">
        <v>15149</v>
      </c>
      <c r="B2593" s="1069" t="s">
        <v>281</v>
      </c>
      <c r="C2593" s="1078" t="s">
        <v>15239</v>
      </c>
      <c r="F2593" s="786"/>
      <c r="G2593" s="1091"/>
      <c r="H2593" s="1085">
        <f>117.6-117.6</f>
        <v>0</v>
      </c>
      <c r="I2593" s="1095"/>
      <c r="J2593" s="1067">
        <v>0</v>
      </c>
      <c r="K2593" s="1067"/>
    </row>
    <row r="2594" spans="1:11" ht="22.5" x14ac:dyDescent="0.2">
      <c r="A2594" s="1068" t="s">
        <v>15150</v>
      </c>
      <c r="B2594" s="1069" t="s">
        <v>281</v>
      </c>
      <c r="C2594" s="1078" t="s">
        <v>15240</v>
      </c>
      <c r="F2594" s="786"/>
      <c r="G2594" s="1091" t="s">
        <v>15320</v>
      </c>
      <c r="H2594" s="1085">
        <f>61.4-61.4</f>
        <v>0</v>
      </c>
      <c r="I2594" s="1095"/>
      <c r="J2594" s="1067">
        <v>0</v>
      </c>
      <c r="K2594" s="1067"/>
    </row>
    <row r="2595" spans="1:11" ht="22.5" x14ac:dyDescent="0.2">
      <c r="A2595" s="1068" t="s">
        <v>15151</v>
      </c>
      <c r="B2595" s="1069" t="s">
        <v>281</v>
      </c>
      <c r="C2595" s="1078" t="s">
        <v>15240</v>
      </c>
      <c r="F2595" s="786"/>
      <c r="G2595" s="1091" t="s">
        <v>15320</v>
      </c>
      <c r="H2595" s="1085">
        <f>51.2-51.2</f>
        <v>0</v>
      </c>
      <c r="I2595" s="1095"/>
      <c r="J2595" s="1067">
        <v>0</v>
      </c>
      <c r="K2595" s="1067"/>
    </row>
    <row r="2596" spans="1:11" ht="22.5" x14ac:dyDescent="0.2">
      <c r="A2596" s="1068" t="s">
        <v>15152</v>
      </c>
      <c r="B2596" s="1069" t="s">
        <v>281</v>
      </c>
      <c r="C2596" s="1078" t="s">
        <v>15241</v>
      </c>
      <c r="F2596" s="786"/>
      <c r="G2596" s="1091" t="s">
        <v>15321</v>
      </c>
      <c r="H2596" s="1085">
        <f>111.8-111.8</f>
        <v>0</v>
      </c>
      <c r="I2596" s="1095"/>
      <c r="J2596" s="1067">
        <v>0</v>
      </c>
      <c r="K2596" s="1067"/>
    </row>
    <row r="2597" spans="1:11" ht="22.5" x14ac:dyDescent="0.2">
      <c r="A2597" s="1068" t="s">
        <v>15153</v>
      </c>
      <c r="B2597" s="1069" t="s">
        <v>281</v>
      </c>
      <c r="C2597" s="1078" t="s">
        <v>15242</v>
      </c>
      <c r="F2597" s="786"/>
      <c r="G2597" s="1091"/>
      <c r="H2597" s="1085">
        <f>143.6-143.6</f>
        <v>0</v>
      </c>
      <c r="I2597" s="1095"/>
      <c r="J2597" s="1067">
        <v>0</v>
      </c>
      <c r="K2597" s="1067"/>
    </row>
    <row r="2598" spans="1:11" ht="22.5" x14ac:dyDescent="0.2">
      <c r="A2598" s="1068" t="s">
        <v>6545</v>
      </c>
      <c r="B2598" s="1069" t="s">
        <v>281</v>
      </c>
      <c r="C2598" s="1078" t="s">
        <v>5752</v>
      </c>
      <c r="F2598" s="854" t="s">
        <v>5997</v>
      </c>
      <c r="G2598" s="1091" t="s">
        <v>137</v>
      </c>
      <c r="H2598" s="1085">
        <v>250.2</v>
      </c>
      <c r="I2598" s="1095" t="s">
        <v>159</v>
      </c>
      <c r="J2598" s="1067">
        <v>555581.16</v>
      </c>
      <c r="K2598" s="1067"/>
    </row>
    <row r="2599" spans="1:11" ht="22.5" x14ac:dyDescent="0.2">
      <c r="A2599" s="1068" t="s">
        <v>15154</v>
      </c>
      <c r="B2599" s="1069" t="s">
        <v>281</v>
      </c>
      <c r="C2599" s="1078" t="s">
        <v>15243</v>
      </c>
      <c r="F2599" s="786"/>
      <c r="G2599" s="1091"/>
      <c r="H2599" s="1085">
        <f>74.5-74.5</f>
        <v>0</v>
      </c>
      <c r="I2599" s="1095"/>
      <c r="J2599" s="1067">
        <v>0</v>
      </c>
      <c r="K2599" s="1067"/>
    </row>
    <row r="2600" spans="1:11" ht="22.5" x14ac:dyDescent="0.2">
      <c r="A2600" s="1068" t="s">
        <v>2129</v>
      </c>
      <c r="B2600" s="1069" t="s">
        <v>281</v>
      </c>
      <c r="C2600" s="1078" t="s">
        <v>5753</v>
      </c>
      <c r="F2600" s="786" t="s">
        <v>9241</v>
      </c>
      <c r="G2600" s="1091" t="s">
        <v>137</v>
      </c>
      <c r="H2600" s="1085">
        <f>348.1-328.1</f>
        <v>20</v>
      </c>
      <c r="I2600" s="1095" t="s">
        <v>70</v>
      </c>
      <c r="J2600" s="1067">
        <f>13456-13456</f>
        <v>0</v>
      </c>
      <c r="K2600" s="1280">
        <v>3213321.54</v>
      </c>
    </row>
    <row r="2601" spans="1:11" ht="22.5" x14ac:dyDescent="0.2">
      <c r="A2601" s="1068" t="s">
        <v>2130</v>
      </c>
      <c r="B2601" s="1069" t="s">
        <v>281</v>
      </c>
      <c r="C2601" s="1078" t="s">
        <v>5753</v>
      </c>
      <c r="F2601" s="786" t="s">
        <v>9241</v>
      </c>
      <c r="G2601" s="1091" t="s">
        <v>137</v>
      </c>
      <c r="H2601" s="1085">
        <f>348.1-20</f>
        <v>328.1</v>
      </c>
      <c r="I2601" s="1095" t="s">
        <v>70</v>
      </c>
      <c r="J2601" s="1067">
        <f>726141.43-726141.43</f>
        <v>0</v>
      </c>
      <c r="K2601" s="1280"/>
    </row>
    <row r="2602" spans="1:11" ht="22.5" x14ac:dyDescent="0.2">
      <c r="A2602" s="1073" t="s">
        <v>15155</v>
      </c>
      <c r="B2602" s="1074" t="s">
        <v>281</v>
      </c>
      <c r="C2602" s="1078" t="s">
        <v>5753</v>
      </c>
      <c r="F2602" s="1081" t="s">
        <v>15302</v>
      </c>
      <c r="G2602" s="1091" t="s">
        <v>137</v>
      </c>
      <c r="H2602" s="1085">
        <f>7.4-7.4</f>
        <v>0</v>
      </c>
      <c r="I2602" s="1095" t="s">
        <v>70</v>
      </c>
      <c r="J2602" s="1067">
        <f>16377.58-16377.58</f>
        <v>0</v>
      </c>
      <c r="K2602" s="1067">
        <f>68309.62-68309.62</f>
        <v>0</v>
      </c>
    </row>
    <row r="2603" spans="1:11" ht="22.5" x14ac:dyDescent="0.2">
      <c r="A2603" s="1068" t="s">
        <v>2131</v>
      </c>
      <c r="B2603" s="1069" t="s">
        <v>281</v>
      </c>
      <c r="C2603" s="1078" t="s">
        <v>5754</v>
      </c>
      <c r="F2603" s="854" t="s">
        <v>5508</v>
      </c>
      <c r="G2603" s="1091" t="s">
        <v>137</v>
      </c>
      <c r="H2603" s="1087">
        <f>156.3-10.2</f>
        <v>146.10000000000002</v>
      </c>
      <c r="I2603" s="1096" t="s">
        <v>160</v>
      </c>
      <c r="J2603" s="921">
        <v>348999.72</v>
      </c>
      <c r="K2603" s="894"/>
    </row>
    <row r="2604" spans="1:11" ht="22.5" x14ac:dyDescent="0.2">
      <c r="A2604" s="1069" t="s">
        <v>8309</v>
      </c>
      <c r="B2604" s="1069" t="s">
        <v>281</v>
      </c>
      <c r="C2604" s="1078" t="s">
        <v>5754</v>
      </c>
      <c r="F2604" s="786" t="s">
        <v>5508</v>
      </c>
      <c r="G2604" s="1091" t="s">
        <v>137</v>
      </c>
      <c r="H2604" s="1087">
        <v>10.199999999999999</v>
      </c>
      <c r="I2604" s="1096" t="s">
        <v>160</v>
      </c>
      <c r="J2604" s="921">
        <v>69341</v>
      </c>
      <c r="K2604" s="894"/>
    </row>
    <row r="2605" spans="1:11" ht="22.5" x14ac:dyDescent="0.2">
      <c r="A2605" s="1068" t="s">
        <v>15156</v>
      </c>
      <c r="B2605" s="1069" t="s">
        <v>281</v>
      </c>
      <c r="C2605" s="1078" t="s">
        <v>15244</v>
      </c>
      <c r="F2605" s="786"/>
      <c r="G2605" s="1091" t="s">
        <v>137</v>
      </c>
      <c r="H2605" s="1085">
        <f>74.1-74.1</f>
        <v>0</v>
      </c>
      <c r="I2605" s="1095"/>
      <c r="J2605" s="1067">
        <f>4853700/2484*F2605</f>
        <v>0</v>
      </c>
      <c r="K2605" s="1067"/>
    </row>
    <row r="2606" spans="1:11" ht="22.5" x14ac:dyDescent="0.2">
      <c r="A2606" s="1068" t="s">
        <v>2132</v>
      </c>
      <c r="B2606" s="1069" t="s">
        <v>281</v>
      </c>
      <c r="C2606" s="1078" t="s">
        <v>5755</v>
      </c>
      <c r="F2606" s="786" t="s">
        <v>9240</v>
      </c>
      <c r="G2606" s="1091" t="s">
        <v>137</v>
      </c>
      <c r="H2606" s="1087">
        <v>32</v>
      </c>
      <c r="I2606" s="1095" t="s">
        <v>66</v>
      </c>
      <c r="J2606" s="1067">
        <v>90464.5</v>
      </c>
      <c r="K2606" s="1067">
        <v>270386.56</v>
      </c>
    </row>
    <row r="2607" spans="1:11" ht="33.75" x14ac:dyDescent="0.2">
      <c r="A2607" s="1068" t="s">
        <v>15157</v>
      </c>
      <c r="B2607" s="1069" t="s">
        <v>15191</v>
      </c>
      <c r="C2607" s="1078" t="s">
        <v>5756</v>
      </c>
      <c r="F2607" s="786" t="s">
        <v>15303</v>
      </c>
      <c r="G2607" s="1091" t="s">
        <v>137</v>
      </c>
      <c r="H2607" s="1085">
        <f>94-94</f>
        <v>0</v>
      </c>
      <c r="I2607" s="1095" t="s">
        <v>70</v>
      </c>
      <c r="J2607" s="1067">
        <f>204875.36-204875.36</f>
        <v>0</v>
      </c>
      <c r="K2607" s="1067">
        <f>492570.99 -492570.99</f>
        <v>0</v>
      </c>
    </row>
    <row r="2608" spans="1:11" ht="22.5" x14ac:dyDescent="0.2">
      <c r="A2608" s="1068" t="s">
        <v>15158</v>
      </c>
      <c r="B2608" s="1069" t="s">
        <v>281</v>
      </c>
      <c r="C2608" s="1078" t="s">
        <v>5756</v>
      </c>
      <c r="F2608" s="786" t="s">
        <v>15304</v>
      </c>
      <c r="G2608" s="1091" t="s">
        <v>137</v>
      </c>
      <c r="H2608" s="1085">
        <f>73.2-73.2</f>
        <v>0</v>
      </c>
      <c r="I2608" s="1095" t="s">
        <v>70</v>
      </c>
      <c r="J2608" s="1067" t="e">
        <f>225580.85/103.5*F2608</f>
        <v>#VALUE!</v>
      </c>
      <c r="K2608" s="1067">
        <f>618509.26-618509.26</f>
        <v>0</v>
      </c>
    </row>
    <row r="2609" spans="1:11" ht="22.5" x14ac:dyDescent="0.2">
      <c r="A2609" s="1068" t="s">
        <v>15159</v>
      </c>
      <c r="B2609" s="1069" t="s">
        <v>281</v>
      </c>
      <c r="C2609" s="1069" t="s">
        <v>5756</v>
      </c>
      <c r="F2609" s="786"/>
      <c r="G2609" s="1091" t="s">
        <v>137</v>
      </c>
      <c r="H2609" s="1085">
        <f>40.3-40.3</f>
        <v>0</v>
      </c>
      <c r="I2609" s="1095" t="s">
        <v>70</v>
      </c>
      <c r="J2609" s="1067">
        <v>0</v>
      </c>
      <c r="K2609" s="1067"/>
    </row>
    <row r="2610" spans="1:11" ht="22.5" x14ac:dyDescent="0.2">
      <c r="A2610" s="1068" t="s">
        <v>15160</v>
      </c>
      <c r="B2610" s="1069" t="s">
        <v>281</v>
      </c>
      <c r="C2610" s="1069" t="s">
        <v>5756</v>
      </c>
      <c r="F2610" s="786" t="s">
        <v>15305</v>
      </c>
      <c r="G2610" s="1091" t="s">
        <v>137</v>
      </c>
      <c r="H2610" s="1085">
        <f>225.8-225.8</f>
        <v>0</v>
      </c>
      <c r="I2610" s="1095" t="s">
        <v>70</v>
      </c>
      <c r="J2610" s="1067">
        <f>492137-492137</f>
        <v>0</v>
      </c>
      <c r="K2610" s="1067"/>
    </row>
    <row r="2611" spans="1:11" ht="22.5" x14ac:dyDescent="0.2">
      <c r="A2611" s="1073" t="s">
        <v>2133</v>
      </c>
      <c r="B2611" s="1074" t="s">
        <v>281</v>
      </c>
      <c r="C2611" s="1078" t="s">
        <v>5756</v>
      </c>
      <c r="F2611" s="786" t="s">
        <v>5581</v>
      </c>
      <c r="G2611" s="1091" t="s">
        <v>137</v>
      </c>
      <c r="H2611" s="1085">
        <v>152.4</v>
      </c>
      <c r="I2611" s="1095" t="s">
        <v>70</v>
      </c>
      <c r="J2611" s="1067">
        <v>381418</v>
      </c>
      <c r="K2611" s="1067">
        <v>31328.87</v>
      </c>
    </row>
    <row r="2612" spans="1:11" ht="22.5" x14ac:dyDescent="0.2">
      <c r="A2612" s="1068" t="s">
        <v>2134</v>
      </c>
      <c r="B2612" s="1069" t="s">
        <v>281</v>
      </c>
      <c r="C2612" s="850" t="s">
        <v>5757</v>
      </c>
      <c r="F2612" s="854"/>
      <c r="G2612" s="1092" t="s">
        <v>15320</v>
      </c>
      <c r="H2612" s="1087">
        <f>28.1</f>
        <v>28.1</v>
      </c>
      <c r="I2612" s="1096" t="s">
        <v>73</v>
      </c>
      <c r="J2612" s="921">
        <f>9973000/2718.8*F2612</f>
        <v>0</v>
      </c>
      <c r="K2612" s="894"/>
    </row>
    <row r="2613" spans="1:11" ht="22.5" x14ac:dyDescent="0.2">
      <c r="A2613" s="1068" t="s">
        <v>2135</v>
      </c>
      <c r="B2613" s="1074" t="s">
        <v>281</v>
      </c>
      <c r="C2613" s="850" t="s">
        <v>5757</v>
      </c>
      <c r="F2613" s="854"/>
      <c r="G2613" s="1092" t="s">
        <v>15320</v>
      </c>
      <c r="H2613" s="1087">
        <v>15.9</v>
      </c>
      <c r="I2613" s="1096" t="s">
        <v>73</v>
      </c>
      <c r="J2613" s="1111">
        <v>58323.78</v>
      </c>
      <c r="K2613" s="894"/>
    </row>
    <row r="2614" spans="1:11" ht="22.5" x14ac:dyDescent="0.2">
      <c r="A2614" s="1068" t="s">
        <v>2136</v>
      </c>
      <c r="B2614" s="1074" t="s">
        <v>281</v>
      </c>
      <c r="C2614" s="850" t="s">
        <v>5757</v>
      </c>
      <c r="F2614" s="854"/>
      <c r="G2614" s="1092" t="s">
        <v>15320</v>
      </c>
      <c r="H2614" s="1087">
        <v>30</v>
      </c>
      <c r="I2614" s="1096" t="s">
        <v>73</v>
      </c>
      <c r="J2614" s="1111">
        <v>110044.87</v>
      </c>
      <c r="K2614" s="894"/>
    </row>
    <row r="2615" spans="1:11" ht="22.5" x14ac:dyDescent="0.2">
      <c r="A2615" s="1068" t="s">
        <v>15161</v>
      </c>
      <c r="B2615" s="1074" t="s">
        <v>281</v>
      </c>
      <c r="C2615" s="1078" t="s">
        <v>15245</v>
      </c>
      <c r="F2615" s="786"/>
      <c r="G2615" s="1091"/>
      <c r="H2615" s="1085">
        <v>9.4</v>
      </c>
      <c r="I2615" s="1096" t="s">
        <v>2657</v>
      </c>
      <c r="J2615" s="1112" t="e">
        <f>19796400/5492/F2615</f>
        <v>#DIV/0!</v>
      </c>
      <c r="K2615" s="1067"/>
    </row>
    <row r="2616" spans="1:11" ht="22.5" x14ac:dyDescent="0.2">
      <c r="A2616" s="1068" t="s">
        <v>15162</v>
      </c>
      <c r="B2616" s="1074" t="s">
        <v>281</v>
      </c>
      <c r="C2616" s="1078" t="s">
        <v>15246</v>
      </c>
      <c r="F2616" s="786"/>
      <c r="G2616" s="1091"/>
      <c r="H2616" s="1085">
        <v>265.10000000000002</v>
      </c>
      <c r="I2616" s="1096">
        <v>1980</v>
      </c>
      <c r="J2616" s="1067">
        <f>13173500/4633.6*F2616</f>
        <v>0</v>
      </c>
      <c r="K2616" s="1067"/>
    </row>
    <row r="2617" spans="1:11" ht="33.75" x14ac:dyDescent="0.2">
      <c r="A2617" s="1068" t="s">
        <v>15163</v>
      </c>
      <c r="B2617" s="1069" t="s">
        <v>281</v>
      </c>
      <c r="C2617" s="1078" t="s">
        <v>15247</v>
      </c>
      <c r="F2617" s="786" t="s">
        <v>15306</v>
      </c>
      <c r="G2617" s="1091" t="s">
        <v>15321</v>
      </c>
      <c r="H2617" s="1085">
        <f>302.8-302.8</f>
        <v>0</v>
      </c>
      <c r="I2617" s="1095">
        <v>1992</v>
      </c>
      <c r="J2617" s="1067">
        <f>1126573-1126573</f>
        <v>0</v>
      </c>
      <c r="K2617" s="1067">
        <v>639961.74</v>
      </c>
    </row>
    <row r="2618" spans="1:11" ht="22.5" x14ac:dyDescent="0.2">
      <c r="A2618" s="1068" t="s">
        <v>2137</v>
      </c>
      <c r="B2618" s="1069" t="s">
        <v>281</v>
      </c>
      <c r="C2618" s="1078" t="s">
        <v>5758</v>
      </c>
      <c r="F2618" s="786"/>
      <c r="G2618" s="1092" t="s">
        <v>15320</v>
      </c>
      <c r="H2618" s="1085">
        <v>247</v>
      </c>
      <c r="I2618" s="1095" t="s">
        <v>75</v>
      </c>
      <c r="J2618" s="1067">
        <v>78642</v>
      </c>
      <c r="K2618" s="1067"/>
    </row>
    <row r="2619" spans="1:11" ht="22.5" x14ac:dyDescent="0.2">
      <c r="A2619" s="1072" t="s">
        <v>2138</v>
      </c>
      <c r="B2619" s="1061" t="s">
        <v>2575</v>
      </c>
      <c r="C2619" s="1078" t="s">
        <v>5963</v>
      </c>
      <c r="F2619" s="786" t="s">
        <v>6223</v>
      </c>
      <c r="G2619" s="1091" t="s">
        <v>512</v>
      </c>
      <c r="H2619" s="1085">
        <v>268.10000000000002</v>
      </c>
      <c r="I2619" s="1095" t="s">
        <v>165</v>
      </c>
      <c r="J2619" s="1067">
        <v>3014183.41</v>
      </c>
      <c r="K2619" s="1067"/>
    </row>
    <row r="2620" spans="1:11" ht="22.5" x14ac:dyDescent="0.2">
      <c r="A2620" s="1068" t="s">
        <v>2139</v>
      </c>
      <c r="B2620" s="1069" t="s">
        <v>2278</v>
      </c>
      <c r="C2620" s="1078" t="s">
        <v>5963</v>
      </c>
      <c r="F2620" s="1081" t="s">
        <v>15307</v>
      </c>
      <c r="G2620" s="1091"/>
      <c r="H2620" s="1085">
        <f>(815-428.5-268.1)-118.4</f>
        <v>0</v>
      </c>
      <c r="I2620" s="1095" t="s">
        <v>165</v>
      </c>
      <c r="J2620" s="1067">
        <f>2070245.23-2070245.23</f>
        <v>0</v>
      </c>
      <c r="K2620" s="1067">
        <f>1000430.27-1000430.27</f>
        <v>0</v>
      </c>
    </row>
    <row r="2621" spans="1:11" ht="22.5" x14ac:dyDescent="0.2">
      <c r="A2621" s="1068" t="s">
        <v>2706</v>
      </c>
      <c r="B2621" s="1069" t="s">
        <v>281</v>
      </c>
      <c r="C2621" s="1078" t="s">
        <v>5759</v>
      </c>
      <c r="F2621" s="786" t="s">
        <v>5506</v>
      </c>
      <c r="G2621" s="1091" t="s">
        <v>137</v>
      </c>
      <c r="H2621" s="1088">
        <f>369.18</f>
        <v>369.18</v>
      </c>
      <c r="I2621" s="1095" t="s">
        <v>502</v>
      </c>
      <c r="J2621" s="1067" t="e">
        <f t="shared" ref="J2621:J2626" si="31">6805200/3386.6*F2621</f>
        <v>#VALUE!</v>
      </c>
      <c r="K2621" s="1280">
        <v>3428839.56</v>
      </c>
    </row>
    <row r="2622" spans="1:11" ht="22.5" x14ac:dyDescent="0.2">
      <c r="A2622" s="1071" t="s">
        <v>8310</v>
      </c>
      <c r="B2622" s="1069" t="s">
        <v>281</v>
      </c>
      <c r="C2622" s="1078" t="s">
        <v>5759</v>
      </c>
      <c r="F2622" s="786" t="s">
        <v>5506</v>
      </c>
      <c r="G2622" s="1091" t="s">
        <v>137</v>
      </c>
      <c r="H2622" s="1088">
        <v>11.8</v>
      </c>
      <c r="I2622" s="1095" t="s">
        <v>502</v>
      </c>
      <c r="J2622" s="1067" t="e">
        <f t="shared" si="31"/>
        <v>#VALUE!</v>
      </c>
      <c r="K2622" s="1280"/>
    </row>
    <row r="2623" spans="1:11" ht="22.5" x14ac:dyDescent="0.2">
      <c r="A2623" s="1069" t="s">
        <v>8311</v>
      </c>
      <c r="B2623" s="1069" t="s">
        <v>281</v>
      </c>
      <c r="C2623" s="1078" t="s">
        <v>5759</v>
      </c>
      <c r="F2623" s="786" t="s">
        <v>5506</v>
      </c>
      <c r="G2623" s="1091" t="s">
        <v>137</v>
      </c>
      <c r="H2623" s="1088">
        <v>10.9</v>
      </c>
      <c r="I2623" s="1095" t="s">
        <v>502</v>
      </c>
      <c r="J2623" s="1067" t="e">
        <f t="shared" si="31"/>
        <v>#VALUE!</v>
      </c>
      <c r="K2623" s="1280"/>
    </row>
    <row r="2624" spans="1:11" ht="22.5" x14ac:dyDescent="0.2">
      <c r="A2624" s="1069" t="s">
        <v>8312</v>
      </c>
      <c r="B2624" s="1069" t="s">
        <v>281</v>
      </c>
      <c r="C2624" s="1078" t="s">
        <v>5759</v>
      </c>
      <c r="F2624" s="786" t="s">
        <v>5506</v>
      </c>
      <c r="G2624" s="1091" t="s">
        <v>137</v>
      </c>
      <c r="H2624" s="1088">
        <v>31.56</v>
      </c>
      <c r="I2624" s="1095" t="s">
        <v>502</v>
      </c>
      <c r="J2624" s="1067" t="e">
        <f t="shared" si="31"/>
        <v>#VALUE!</v>
      </c>
      <c r="K2624" s="1280"/>
    </row>
    <row r="2625" spans="1:11" ht="22.5" x14ac:dyDescent="0.2">
      <c r="A2625" s="1069" t="s">
        <v>8313</v>
      </c>
      <c r="B2625" s="1069" t="s">
        <v>281</v>
      </c>
      <c r="C2625" s="1078" t="s">
        <v>5759</v>
      </c>
      <c r="F2625" s="786" t="s">
        <v>5506</v>
      </c>
      <c r="G2625" s="1091" t="s">
        <v>137</v>
      </c>
      <c r="H2625" s="1088">
        <v>1</v>
      </c>
      <c r="I2625" s="1095" t="s">
        <v>502</v>
      </c>
      <c r="J2625" s="1067" t="e">
        <f t="shared" si="31"/>
        <v>#VALUE!</v>
      </c>
      <c r="K2625" s="1280"/>
    </row>
    <row r="2626" spans="1:11" ht="22.5" x14ac:dyDescent="0.2">
      <c r="A2626" s="1068" t="s">
        <v>2140</v>
      </c>
      <c r="B2626" s="1069" t="s">
        <v>281</v>
      </c>
      <c r="C2626" s="1078" t="s">
        <v>5759</v>
      </c>
      <c r="F2626" s="786" t="s">
        <v>5506</v>
      </c>
      <c r="G2626" s="1088" t="s">
        <v>137</v>
      </c>
      <c r="H2626" s="1088">
        <v>17.399999999999999</v>
      </c>
      <c r="I2626" s="1095" t="s">
        <v>502</v>
      </c>
      <c r="J2626" s="1067" t="e">
        <f t="shared" si="31"/>
        <v>#VALUE!</v>
      </c>
      <c r="K2626" s="1280"/>
    </row>
    <row r="2627" spans="1:11" ht="22.5" x14ac:dyDescent="0.2">
      <c r="A2627" s="1068" t="s">
        <v>2141</v>
      </c>
      <c r="B2627" s="1069" t="s">
        <v>281</v>
      </c>
      <c r="C2627" s="1078" t="s">
        <v>5759</v>
      </c>
      <c r="F2627" s="1081" t="s">
        <v>5575</v>
      </c>
      <c r="G2627" s="1088" t="s">
        <v>137</v>
      </c>
      <c r="H2627" s="1085">
        <f>116.5+32.98</f>
        <v>149.47999999999999</v>
      </c>
      <c r="I2627" s="1095" t="s">
        <v>502</v>
      </c>
      <c r="J2627" s="1067" t="e">
        <f>416759.72-J2628</f>
        <v>#VALUE!</v>
      </c>
      <c r="K2627" s="1067">
        <v>984376.07</v>
      </c>
    </row>
    <row r="2628" spans="1:11" ht="22.5" x14ac:dyDescent="0.2">
      <c r="A2628" s="1068" t="s">
        <v>2142</v>
      </c>
      <c r="B2628" s="1069" t="s">
        <v>281</v>
      </c>
      <c r="C2628" s="1078" t="s">
        <v>5759</v>
      </c>
      <c r="F2628" s="786" t="s">
        <v>5507</v>
      </c>
      <c r="G2628" s="1088" t="s">
        <v>137</v>
      </c>
      <c r="H2628" s="1088">
        <f>90.9-32.98-16.2</f>
        <v>41.720000000000013</v>
      </c>
      <c r="I2628" s="1095" t="s">
        <v>502</v>
      </c>
      <c r="J2628" s="1067" t="e">
        <f>6805200/3386.6*F2628</f>
        <v>#VALUE!</v>
      </c>
      <c r="K2628" s="1279">
        <v>1332684.8999999999</v>
      </c>
    </row>
    <row r="2629" spans="1:11" ht="22.5" x14ac:dyDescent="0.2">
      <c r="A2629" s="1069" t="s">
        <v>8314</v>
      </c>
      <c r="B2629" s="1069" t="s">
        <v>281</v>
      </c>
      <c r="C2629" s="1078" t="s">
        <v>5759</v>
      </c>
      <c r="F2629" s="786" t="s">
        <v>5507</v>
      </c>
      <c r="G2629" s="1085" t="s">
        <v>137</v>
      </c>
      <c r="H2629" s="1085">
        <v>16.2</v>
      </c>
      <c r="I2629" s="1095" t="s">
        <v>502</v>
      </c>
      <c r="J2629" s="1067" t="e">
        <f>6805200/3386.6*F2629</f>
        <v>#VALUE!</v>
      </c>
      <c r="K2629" s="1279"/>
    </row>
    <row r="2630" spans="1:11" ht="22.5" x14ac:dyDescent="0.2">
      <c r="A2630" s="1068" t="s">
        <v>15164</v>
      </c>
      <c r="B2630" s="1069" t="s">
        <v>281</v>
      </c>
      <c r="C2630" s="1078" t="s">
        <v>15248</v>
      </c>
      <c r="F2630" s="786"/>
      <c r="G2630" s="1085" t="s">
        <v>137</v>
      </c>
      <c r="H2630" s="1085">
        <f>208.3-208.3</f>
        <v>0</v>
      </c>
      <c r="I2630" s="1095"/>
      <c r="J2630" s="1067">
        <v>0</v>
      </c>
      <c r="K2630" s="1067"/>
    </row>
    <row r="2631" spans="1:11" ht="22.5" x14ac:dyDescent="0.2">
      <c r="A2631" s="1068" t="s">
        <v>15165</v>
      </c>
      <c r="B2631" s="1069" t="s">
        <v>281</v>
      </c>
      <c r="C2631" s="1078" t="s">
        <v>15248</v>
      </c>
      <c r="F2631" s="786"/>
      <c r="G2631" s="1091" t="s">
        <v>15320</v>
      </c>
      <c r="H2631" s="1085">
        <f>50-50</f>
        <v>0</v>
      </c>
      <c r="I2631" s="1095"/>
      <c r="J2631" s="1067">
        <v>0</v>
      </c>
      <c r="K2631" s="1067"/>
    </row>
    <row r="2632" spans="1:11" ht="22.5" x14ac:dyDescent="0.2">
      <c r="A2632" s="1068" t="s">
        <v>15166</v>
      </c>
      <c r="B2632" s="1069" t="s">
        <v>281</v>
      </c>
      <c r="C2632" s="1079" t="s">
        <v>15249</v>
      </c>
      <c r="F2632" s="854"/>
      <c r="G2632" s="1084" t="s">
        <v>15321</v>
      </c>
      <c r="H2632" s="1109">
        <v>30</v>
      </c>
      <c r="I2632" s="1096" t="s">
        <v>73</v>
      </c>
      <c r="J2632" s="1067" t="s">
        <v>15336</v>
      </c>
      <c r="K2632" s="894"/>
    </row>
    <row r="2633" spans="1:11" ht="33.75" x14ac:dyDescent="0.2">
      <c r="A2633" s="1068" t="s">
        <v>15167</v>
      </c>
      <c r="B2633" s="1069" t="s">
        <v>281</v>
      </c>
      <c r="C2633" s="1078" t="s">
        <v>15250</v>
      </c>
      <c r="F2633" s="1082"/>
      <c r="G2633" s="1084" t="s">
        <v>15321</v>
      </c>
      <c r="H2633" s="1085">
        <f>238-65.9-172.1</f>
        <v>0</v>
      </c>
      <c r="I2633" s="1095" t="s">
        <v>73</v>
      </c>
      <c r="J2633" s="1279">
        <f>550134.41-550134.41</f>
        <v>0</v>
      </c>
      <c r="K2633" s="1067"/>
    </row>
    <row r="2634" spans="1:11" ht="33.75" x14ac:dyDescent="0.2">
      <c r="A2634" s="1069" t="s">
        <v>15168</v>
      </c>
      <c r="B2634" s="1069" t="s">
        <v>281</v>
      </c>
      <c r="C2634" s="1078" t="s">
        <v>15250</v>
      </c>
      <c r="F2634" s="1082"/>
      <c r="G2634" s="1084" t="s">
        <v>15321</v>
      </c>
      <c r="H2634" s="1085">
        <f>238-172.1-65.9</f>
        <v>0</v>
      </c>
      <c r="I2634" s="1095" t="s">
        <v>73</v>
      </c>
      <c r="J2634" s="1279"/>
      <c r="K2634" s="1067"/>
    </row>
    <row r="2635" spans="1:11" ht="22.5" x14ac:dyDescent="0.2">
      <c r="A2635" s="1068" t="s">
        <v>5155</v>
      </c>
      <c r="B2635" s="1069" t="s">
        <v>281</v>
      </c>
      <c r="C2635" s="1078" t="s">
        <v>5760</v>
      </c>
      <c r="F2635" s="1081" t="s">
        <v>8297</v>
      </c>
      <c r="G2635" s="1084" t="s">
        <v>15321</v>
      </c>
      <c r="H2635" s="1085">
        <v>80</v>
      </c>
      <c r="I2635" s="1095" t="s">
        <v>473</v>
      </c>
      <c r="J2635" s="1067">
        <v>213892.3</v>
      </c>
      <c r="K2635" s="1067">
        <v>998066.65</v>
      </c>
    </row>
    <row r="2636" spans="1:11" ht="45" x14ac:dyDescent="0.2">
      <c r="A2636" s="1068" t="s">
        <v>2143</v>
      </c>
      <c r="B2636" s="1069" t="s">
        <v>501</v>
      </c>
      <c r="C2636" s="1078" t="s">
        <v>5761</v>
      </c>
      <c r="F2636" s="1081" t="s">
        <v>15308</v>
      </c>
      <c r="G2636" s="1091" t="s">
        <v>5987</v>
      </c>
      <c r="H2636" s="1085">
        <f>171.5-93.5</f>
        <v>78</v>
      </c>
      <c r="I2636" s="1095" t="s">
        <v>66</v>
      </c>
      <c r="J2636" s="1067">
        <v>133890.16</v>
      </c>
      <c r="K2636" s="1123">
        <v>371212.92</v>
      </c>
    </row>
    <row r="2637" spans="1:11" ht="22.5" x14ac:dyDescent="0.2">
      <c r="A2637" s="1073" t="s">
        <v>5479</v>
      </c>
      <c r="B2637" s="1074" t="s">
        <v>281</v>
      </c>
      <c r="C2637" s="1079" t="s">
        <v>5547</v>
      </c>
      <c r="F2637" s="1081" t="s">
        <v>6232</v>
      </c>
      <c r="G2637" s="1085" t="s">
        <v>137</v>
      </c>
      <c r="H2637" s="1087">
        <v>81.599999999999994</v>
      </c>
      <c r="I2637" s="1096" t="s">
        <v>66</v>
      </c>
      <c r="J2637" s="921">
        <v>6979.28</v>
      </c>
      <c r="K2637" s="921">
        <v>16774.509999999998</v>
      </c>
    </row>
    <row r="2638" spans="1:11" ht="22.5" x14ac:dyDescent="0.2">
      <c r="A2638" s="1070" t="s">
        <v>15169</v>
      </c>
      <c r="B2638" s="1074" t="s">
        <v>281</v>
      </c>
      <c r="C2638" s="1079" t="s">
        <v>5547</v>
      </c>
      <c r="F2638" s="1083"/>
      <c r="G2638" s="1085" t="s">
        <v>137</v>
      </c>
      <c r="H2638" s="1088">
        <f>17.36-17.36</f>
        <v>0</v>
      </c>
      <c r="I2638" s="1095" t="s">
        <v>66</v>
      </c>
      <c r="J2638" s="1067">
        <f>1484.81-1484.81</f>
        <v>0</v>
      </c>
      <c r="K2638" s="1067"/>
    </row>
    <row r="2639" spans="1:11" ht="22.5" x14ac:dyDescent="0.2">
      <c r="A2639" s="1069" t="s">
        <v>8315</v>
      </c>
      <c r="B2639" s="1074" t="s">
        <v>281</v>
      </c>
      <c r="C2639" s="1079" t="s">
        <v>15251</v>
      </c>
      <c r="F2639" s="1081" t="s">
        <v>6219</v>
      </c>
      <c r="G2639" s="1085" t="s">
        <v>137</v>
      </c>
      <c r="H2639" s="1087">
        <v>12.2</v>
      </c>
      <c r="I2639" s="1096" t="s">
        <v>66</v>
      </c>
      <c r="J2639" s="921" t="e">
        <f>163500/1911.6*F2639</f>
        <v>#VALUE!</v>
      </c>
      <c r="K2639" s="894">
        <v>2507.9499999999998</v>
      </c>
    </row>
    <row r="2640" spans="1:11" ht="33.75" x14ac:dyDescent="0.2">
      <c r="A2640" s="1069" t="s">
        <v>8316</v>
      </c>
      <c r="B2640" s="1074" t="s">
        <v>281</v>
      </c>
      <c r="C2640" s="1079" t="s">
        <v>6222</v>
      </c>
      <c r="F2640" s="1081" t="s">
        <v>6221</v>
      </c>
      <c r="G2640" s="1085" t="s">
        <v>137</v>
      </c>
      <c r="H2640" s="1088">
        <v>19.100000000000001</v>
      </c>
      <c r="I2640" s="1095" t="s">
        <v>66</v>
      </c>
      <c r="J2640" s="921" t="e">
        <f>163500/1911.6*F2640</f>
        <v>#VALUE!</v>
      </c>
      <c r="K2640" s="1067">
        <v>3926.39</v>
      </c>
    </row>
    <row r="2641" spans="1:11" ht="22.5" x14ac:dyDescent="0.2">
      <c r="A2641" s="1070" t="s">
        <v>15170</v>
      </c>
      <c r="B2641" s="1074" t="s">
        <v>281</v>
      </c>
      <c r="C2641" s="1079" t="s">
        <v>15252</v>
      </c>
      <c r="F2641" s="1081" t="s">
        <v>15309</v>
      </c>
      <c r="G2641" s="1085" t="s">
        <v>137</v>
      </c>
      <c r="H2641" s="1087">
        <f>17.1-17.1</f>
        <v>0</v>
      </c>
      <c r="I2641" s="1096" t="s">
        <v>66</v>
      </c>
      <c r="J2641" s="921">
        <f>1711.04-1711.04</f>
        <v>0</v>
      </c>
      <c r="K2641" s="894">
        <f>3515.25-3515.25</f>
        <v>0</v>
      </c>
    </row>
    <row r="2642" spans="1:11" ht="22.5" x14ac:dyDescent="0.2">
      <c r="A2642" s="1070" t="s">
        <v>3706</v>
      </c>
      <c r="B2642" s="1077" t="s">
        <v>281</v>
      </c>
      <c r="C2642" s="1078" t="s">
        <v>5430</v>
      </c>
      <c r="F2642" s="786" t="s">
        <v>11789</v>
      </c>
      <c r="G2642" s="1085" t="s">
        <v>15333</v>
      </c>
      <c r="H2642" s="1085">
        <v>9.4</v>
      </c>
      <c r="I2642" s="1095" t="s">
        <v>3105</v>
      </c>
      <c r="J2642" s="1067" t="e">
        <f>69234200/3132.3*F2642</f>
        <v>#VALUE!</v>
      </c>
      <c r="K2642" s="1120">
        <v>184076.91</v>
      </c>
    </row>
    <row r="2643" spans="1:11" ht="22.5" x14ac:dyDescent="0.2">
      <c r="A2643" s="1070" t="s">
        <v>15171</v>
      </c>
      <c r="B2643" s="1074" t="s">
        <v>281</v>
      </c>
      <c r="C2643" s="1078" t="s">
        <v>15253</v>
      </c>
      <c r="F2643" s="786"/>
      <c r="G2643" s="1085" t="s">
        <v>137</v>
      </c>
      <c r="H2643" s="1088">
        <f>20.84-20.84</f>
        <v>0</v>
      </c>
      <c r="I2643" s="1095" t="s">
        <v>67</v>
      </c>
      <c r="J2643" s="1067">
        <f>73936-73936</f>
        <v>0</v>
      </c>
      <c r="K2643" s="1067"/>
    </row>
    <row r="2644" spans="1:11" ht="22.5" x14ac:dyDescent="0.2">
      <c r="A2644" s="1070" t="s">
        <v>2144</v>
      </c>
      <c r="B2644" s="1069" t="s">
        <v>5933</v>
      </c>
      <c r="C2644" s="1078" t="s">
        <v>5546</v>
      </c>
      <c r="F2644" s="786" t="s">
        <v>15310</v>
      </c>
      <c r="G2644" s="1085" t="s">
        <v>137</v>
      </c>
      <c r="H2644" s="1088">
        <f>100.3-23.29-28.14</f>
        <v>48.86999999999999</v>
      </c>
      <c r="I2644" s="1095" t="s">
        <v>5423</v>
      </c>
      <c r="J2644" s="1067" t="e">
        <f>660604.72/810.3*F2644</f>
        <v>#VALUE!</v>
      </c>
      <c r="K2644" s="1122"/>
    </row>
    <row r="2645" spans="1:11" ht="22.5" x14ac:dyDescent="0.2">
      <c r="A2645" s="1069" t="s">
        <v>8317</v>
      </c>
      <c r="B2645" s="1069" t="s">
        <v>5932</v>
      </c>
      <c r="C2645" s="1078" t="s">
        <v>5546</v>
      </c>
      <c r="F2645" s="786" t="s">
        <v>15310</v>
      </c>
      <c r="G2645" s="1085" t="s">
        <v>137</v>
      </c>
      <c r="H2645" s="1088">
        <v>23.29</v>
      </c>
      <c r="I2645" s="1095" t="s">
        <v>5423</v>
      </c>
      <c r="J2645" s="1067">
        <v>16568</v>
      </c>
      <c r="K2645" s="1122">
        <v>1388551.19</v>
      </c>
    </row>
    <row r="2646" spans="1:11" ht="22.5" x14ac:dyDescent="0.2">
      <c r="A2646" s="1069" t="s">
        <v>8318</v>
      </c>
      <c r="B2646" s="1069" t="s">
        <v>5931</v>
      </c>
      <c r="C2646" s="1078" t="s">
        <v>5546</v>
      </c>
      <c r="F2646" s="786" t="s">
        <v>15310</v>
      </c>
      <c r="G2646" s="1085" t="s">
        <v>137</v>
      </c>
      <c r="H2646" s="1088">
        <v>28.14</v>
      </c>
      <c r="I2646" s="1095" t="s">
        <v>5423</v>
      </c>
      <c r="J2646" s="1067" t="e">
        <f>660604.72/810.3*F2646</f>
        <v>#VALUE!</v>
      </c>
      <c r="K2646" s="1122"/>
    </row>
    <row r="2647" spans="1:11" ht="33.75" x14ac:dyDescent="0.2">
      <c r="A2647" s="1073" t="s">
        <v>2145</v>
      </c>
      <c r="B2647" s="1074" t="s">
        <v>281</v>
      </c>
      <c r="C2647" s="811" t="s">
        <v>5544</v>
      </c>
      <c r="F2647" s="786" t="s">
        <v>450</v>
      </c>
      <c r="G2647" s="1093"/>
      <c r="H2647" s="1104">
        <v>38.6</v>
      </c>
      <c r="I2647" s="1094">
        <v>1982</v>
      </c>
      <c r="J2647" s="1110">
        <v>148630</v>
      </c>
      <c r="K2647" s="1067"/>
    </row>
    <row r="2648" spans="1:11" ht="22.5" x14ac:dyDescent="0.2">
      <c r="A2648" s="1068" t="s">
        <v>15172</v>
      </c>
      <c r="B2648" s="1069" t="s">
        <v>281</v>
      </c>
      <c r="C2648" s="1078" t="s">
        <v>15254</v>
      </c>
      <c r="F2648" s="786"/>
      <c r="G2648" s="1085" t="s">
        <v>137</v>
      </c>
      <c r="H2648" s="1085">
        <f>42-42</f>
        <v>0</v>
      </c>
      <c r="I2648" s="1095" t="s">
        <v>503</v>
      </c>
      <c r="J2648" s="1067">
        <v>0</v>
      </c>
      <c r="K2648" s="1067"/>
    </row>
    <row r="2649" spans="1:11" ht="22.5" x14ac:dyDescent="0.2">
      <c r="A2649" s="1068" t="s">
        <v>2146</v>
      </c>
      <c r="B2649" s="1069" t="s">
        <v>3079</v>
      </c>
      <c r="C2649" s="1078" t="s">
        <v>5545</v>
      </c>
      <c r="F2649" s="786"/>
      <c r="G2649" s="1085" t="s">
        <v>137</v>
      </c>
      <c r="H2649" s="1085">
        <f>55.4</f>
        <v>55.4</v>
      </c>
      <c r="I2649" s="1095" t="s">
        <v>502</v>
      </c>
      <c r="J2649" s="1067">
        <f>113309.24</f>
        <v>113309.24</v>
      </c>
      <c r="K2649" s="1067"/>
    </row>
    <row r="2650" spans="1:11" ht="33.75" x14ac:dyDescent="0.2">
      <c r="A2650" s="1073" t="s">
        <v>2147</v>
      </c>
      <c r="B2650" s="1074" t="s">
        <v>281</v>
      </c>
      <c r="C2650" s="1078" t="s">
        <v>15255</v>
      </c>
      <c r="F2650" s="786" t="s">
        <v>15311</v>
      </c>
      <c r="G2650" s="1085" t="s">
        <v>137</v>
      </c>
      <c r="H2650" s="1085">
        <v>25.4</v>
      </c>
      <c r="I2650" s="1095" t="s">
        <v>3477</v>
      </c>
      <c r="J2650" s="1067" t="e">
        <f>931.7*1000/1580*F2650</f>
        <v>#VALUE!</v>
      </c>
      <c r="K2650" s="1067">
        <v>159401</v>
      </c>
    </row>
    <row r="2651" spans="1:11" ht="22.5" x14ac:dyDescent="0.2">
      <c r="A2651" s="1073" t="s">
        <v>2148</v>
      </c>
      <c r="B2651" s="1074" t="s">
        <v>281</v>
      </c>
      <c r="C2651" s="1078" t="s">
        <v>5964</v>
      </c>
      <c r="F2651" s="786" t="s">
        <v>15312</v>
      </c>
      <c r="G2651" s="1084" t="s">
        <v>15321</v>
      </c>
      <c r="H2651" s="1085">
        <v>30.4</v>
      </c>
      <c r="I2651" s="1095" t="s">
        <v>64</v>
      </c>
      <c r="J2651" s="1067">
        <v>82005</v>
      </c>
      <c r="K2651" s="1067">
        <v>26294.18</v>
      </c>
    </row>
    <row r="2652" spans="1:11" ht="67.5" x14ac:dyDescent="0.2">
      <c r="A2652" s="1074" t="s">
        <v>8319</v>
      </c>
      <c r="B2652" s="1074" t="s">
        <v>9251</v>
      </c>
      <c r="C2652" s="977" t="s">
        <v>9250</v>
      </c>
      <c r="F2652" s="786" t="s">
        <v>9252</v>
      </c>
      <c r="G2652" s="1085" t="s">
        <v>137</v>
      </c>
      <c r="H2652" s="1085">
        <v>629.4</v>
      </c>
      <c r="I2652" s="1095" t="s">
        <v>8262</v>
      </c>
      <c r="J2652" s="1067">
        <v>36943936.899999999</v>
      </c>
      <c r="K2652" s="1285">
        <v>1993630.79</v>
      </c>
    </row>
    <row r="2653" spans="1:11" x14ac:dyDescent="0.2">
      <c r="A2653" s="1074" t="s">
        <v>15173</v>
      </c>
      <c r="B2653" s="816" t="s">
        <v>15195</v>
      </c>
      <c r="C2653" s="977"/>
      <c r="F2653" s="786"/>
      <c r="G2653" s="1091"/>
      <c r="H2653" s="1085"/>
      <c r="I2653" s="1095" t="s">
        <v>8262</v>
      </c>
      <c r="J2653" s="1067">
        <v>915548</v>
      </c>
      <c r="K2653" s="1285"/>
    </row>
    <row r="2654" spans="1:11" ht="45" x14ac:dyDescent="0.2">
      <c r="A2654" s="1271" t="s">
        <v>9249</v>
      </c>
      <c r="B2654" s="850" t="s">
        <v>15196</v>
      </c>
      <c r="C2654" s="850" t="s">
        <v>9798</v>
      </c>
      <c r="F2654" s="854" t="s">
        <v>15313</v>
      </c>
      <c r="G2654" s="1093" t="s">
        <v>15334</v>
      </c>
      <c r="H2654" s="1103">
        <f>894.4</f>
        <v>894.4</v>
      </c>
      <c r="I2654" s="1096" t="s">
        <v>5423</v>
      </c>
      <c r="J2654" s="1067">
        <f>8227129.39</f>
        <v>8227129.3899999997</v>
      </c>
      <c r="K2654" s="1067">
        <v>183861.81</v>
      </c>
    </row>
    <row r="2655" spans="1:11" ht="67.5" x14ac:dyDescent="0.2">
      <c r="A2655" s="1271"/>
      <c r="B2655" s="1074" t="s">
        <v>15197</v>
      </c>
      <c r="C2655" s="850"/>
      <c r="F2655" s="854"/>
      <c r="G2655" s="1091"/>
      <c r="H2655" s="1085"/>
      <c r="I2655" s="1095"/>
      <c r="J2655" s="1067"/>
      <c r="K2655" s="1067"/>
    </row>
    <row r="2656" spans="1:11" ht="33.75" x14ac:dyDescent="0.2">
      <c r="A2656" s="1070" t="s">
        <v>11555</v>
      </c>
      <c r="B2656" s="1074" t="s">
        <v>281</v>
      </c>
      <c r="C2656" s="977" t="s">
        <v>11556</v>
      </c>
      <c r="F2656" s="854" t="s">
        <v>11557</v>
      </c>
      <c r="G2656" s="1093" t="s">
        <v>137</v>
      </c>
      <c r="H2656" s="1085">
        <v>61</v>
      </c>
      <c r="I2656" s="1095"/>
      <c r="J2656" s="1067"/>
      <c r="K2656" s="1067">
        <v>944376.99</v>
      </c>
    </row>
    <row r="2657" spans="1:11" ht="22.5" x14ac:dyDescent="0.2">
      <c r="A2657" s="1070" t="s">
        <v>11767</v>
      </c>
      <c r="B2657" s="1074" t="s">
        <v>281</v>
      </c>
      <c r="C2657" s="1079" t="s">
        <v>11768</v>
      </c>
      <c r="F2657" s="854" t="s">
        <v>11769</v>
      </c>
      <c r="G2657" s="1084" t="s">
        <v>15321</v>
      </c>
      <c r="H2657" s="1085">
        <v>300</v>
      </c>
      <c r="I2657" s="1095" t="s">
        <v>36</v>
      </c>
      <c r="J2657" s="1067">
        <f>4415500/1570.6*300</f>
        <v>843403.7947281294</v>
      </c>
      <c r="K2657" s="1067">
        <v>117951</v>
      </c>
    </row>
    <row r="2658" spans="1:11" ht="22.5" x14ac:dyDescent="0.2">
      <c r="A2658" s="1070" t="s">
        <v>15174</v>
      </c>
      <c r="B2658" s="1074" t="s">
        <v>15198</v>
      </c>
      <c r="C2658" s="1079" t="s">
        <v>15256</v>
      </c>
      <c r="F2658" s="854" t="s">
        <v>15314</v>
      </c>
      <c r="G2658" s="1093" t="s">
        <v>137</v>
      </c>
      <c r="H2658" s="1085">
        <f>23.2-23.2</f>
        <v>0</v>
      </c>
      <c r="I2658" s="1095"/>
      <c r="J2658" s="1067">
        <f>8073-8073</f>
        <v>0</v>
      </c>
      <c r="K2658" s="1067">
        <f>22658.74-22658.74</f>
        <v>0</v>
      </c>
    </row>
    <row r="2659" spans="1:11" ht="33.75" x14ac:dyDescent="0.2">
      <c r="A2659" s="1070" t="s">
        <v>15175</v>
      </c>
      <c r="B2659" s="1074" t="s">
        <v>15199</v>
      </c>
      <c r="C2659" s="1079" t="s">
        <v>15257</v>
      </c>
      <c r="F2659" s="854" t="s">
        <v>15315</v>
      </c>
      <c r="G2659" s="1093" t="s">
        <v>137</v>
      </c>
      <c r="H2659" s="1085">
        <f>623.9-623.9</f>
        <v>0</v>
      </c>
      <c r="I2659" s="1095"/>
      <c r="J2659" s="1067">
        <f>75010-75010</f>
        <v>0</v>
      </c>
      <c r="K2659" s="1067">
        <f>609344.41-609344.41</f>
        <v>0</v>
      </c>
    </row>
    <row r="2660" spans="1:11" ht="22.5" x14ac:dyDescent="0.2">
      <c r="A2660" s="1070" t="s">
        <v>15176</v>
      </c>
      <c r="B2660" s="1074" t="s">
        <v>15200</v>
      </c>
      <c r="C2660" s="1079" t="s">
        <v>15258</v>
      </c>
      <c r="F2660" s="854" t="s">
        <v>15316</v>
      </c>
      <c r="G2660" s="1093" t="s">
        <v>137</v>
      </c>
      <c r="H2660" s="1085">
        <f>67.8-67.8</f>
        <v>0</v>
      </c>
      <c r="I2660" s="1095"/>
      <c r="J2660" s="1067">
        <f>152601-152601</f>
        <v>0</v>
      </c>
      <c r="K2660" s="1067">
        <f>66218.23-66218.23</f>
        <v>0</v>
      </c>
    </row>
    <row r="2661" spans="1:11" ht="33.75" x14ac:dyDescent="0.2">
      <c r="A2661" s="1070" t="s">
        <v>12994</v>
      </c>
      <c r="B2661" s="1074" t="s">
        <v>12995</v>
      </c>
      <c r="C2661" s="1079" t="s">
        <v>12996</v>
      </c>
      <c r="F2661" s="854" t="s">
        <v>12997</v>
      </c>
      <c r="G2661" s="1093" t="s">
        <v>137</v>
      </c>
      <c r="H2661" s="1085">
        <v>85.8</v>
      </c>
      <c r="I2661" s="1095" t="s">
        <v>159</v>
      </c>
      <c r="J2661" s="1067">
        <v>60828.77</v>
      </c>
      <c r="K2661" s="1067">
        <v>60828.77</v>
      </c>
    </row>
    <row r="2662" spans="1:11" ht="22.5" x14ac:dyDescent="0.2">
      <c r="A2662" s="1070" t="s">
        <v>12998</v>
      </c>
      <c r="B2662" s="1061" t="s">
        <v>281</v>
      </c>
      <c r="C2662" s="1061" t="s">
        <v>12999</v>
      </c>
      <c r="F2662" s="786" t="s">
        <v>13000</v>
      </c>
      <c r="G2662" s="1093" t="s">
        <v>137</v>
      </c>
      <c r="H2662" s="1085">
        <f>240.6</f>
        <v>240.6</v>
      </c>
      <c r="I2662" s="1097" t="s">
        <v>3757</v>
      </c>
      <c r="J2662" s="1067">
        <f>617072.96</f>
        <v>617072.96</v>
      </c>
      <c r="K2662" s="1067">
        <f>1323071.43</f>
        <v>1323071.43</v>
      </c>
    </row>
    <row r="2663" spans="1:11" ht="22.5" x14ac:dyDescent="0.2">
      <c r="A2663" s="1070" t="s">
        <v>13259</v>
      </c>
      <c r="B2663" s="1061" t="s">
        <v>281</v>
      </c>
      <c r="C2663" s="1061" t="s">
        <v>5762</v>
      </c>
      <c r="F2663" s="786" t="s">
        <v>13265</v>
      </c>
      <c r="G2663" s="1084" t="s">
        <v>15321</v>
      </c>
      <c r="H2663" s="1085">
        <v>42.2</v>
      </c>
      <c r="I2663" s="1097" t="s">
        <v>64</v>
      </c>
      <c r="J2663" s="1067">
        <f>24606888/4936.9*42.2</f>
        <v>210336.58238975881</v>
      </c>
      <c r="K2663" s="1067">
        <v>294050.02</v>
      </c>
    </row>
    <row r="2664" spans="1:11" ht="22.5" x14ac:dyDescent="0.2">
      <c r="A2664" s="1070" t="s">
        <v>14009</v>
      </c>
      <c r="B2664" s="1069" t="s">
        <v>281</v>
      </c>
      <c r="C2664" s="1078" t="s">
        <v>14010</v>
      </c>
      <c r="F2664" s="786" t="s">
        <v>14011</v>
      </c>
      <c r="G2664" s="1091" t="s">
        <v>137</v>
      </c>
      <c r="H2664" s="1085">
        <v>116</v>
      </c>
      <c r="I2664" s="1099">
        <v>1958</v>
      </c>
      <c r="J2664" s="1067">
        <v>213078.37</v>
      </c>
      <c r="K2664" s="1067">
        <v>79631.679999999993</v>
      </c>
    </row>
    <row r="2665" spans="1:11" ht="56.25" x14ac:dyDescent="0.2">
      <c r="A2665" s="1070" t="s">
        <v>14254</v>
      </c>
      <c r="B2665" s="1069" t="s">
        <v>281</v>
      </c>
      <c r="C2665" s="1078" t="s">
        <v>15259</v>
      </c>
      <c r="F2665" s="786" t="s">
        <v>14256</v>
      </c>
      <c r="G2665" s="1084" t="s">
        <v>15321</v>
      </c>
      <c r="H2665" s="1085">
        <v>502.2</v>
      </c>
      <c r="I2665" s="1095" t="s">
        <v>67</v>
      </c>
      <c r="J2665" s="1067">
        <v>302593.12</v>
      </c>
      <c r="K2665" s="1067">
        <v>4806968</v>
      </c>
    </row>
    <row r="2666" spans="1:11" ht="22.5" x14ac:dyDescent="0.2">
      <c r="A2666" s="1070" t="s">
        <v>14634</v>
      </c>
      <c r="B2666" s="1069" t="s">
        <v>281</v>
      </c>
      <c r="C2666" s="1078" t="s">
        <v>15260</v>
      </c>
      <c r="F2666" s="786" t="s">
        <v>15317</v>
      </c>
      <c r="G2666" s="1085"/>
      <c r="H2666" s="1085">
        <v>182</v>
      </c>
      <c r="I2666" s="1095" t="s">
        <v>503</v>
      </c>
      <c r="J2666" s="1067">
        <v>158998.51</v>
      </c>
      <c r="K2666" s="1067"/>
    </row>
    <row r="2667" spans="1:11" ht="33.75" x14ac:dyDescent="0.2">
      <c r="A2667" s="1076" t="s">
        <v>15177</v>
      </c>
      <c r="B2667" s="1075" t="s">
        <v>295</v>
      </c>
      <c r="C2667" s="1080" t="s">
        <v>15261</v>
      </c>
      <c r="F2667" s="1076" t="s">
        <v>15318</v>
      </c>
      <c r="G2667" s="884" t="s">
        <v>137</v>
      </c>
      <c r="H2667" s="1076">
        <v>34.799999999999997</v>
      </c>
      <c r="I2667" s="1076">
        <v>2024</v>
      </c>
      <c r="J2667" s="1076"/>
      <c r="K2667" s="1076">
        <v>0</v>
      </c>
    </row>
    <row r="2668" spans="1:11" ht="33.75" x14ac:dyDescent="0.2">
      <c r="A2668" s="1076" t="s">
        <v>15178</v>
      </c>
      <c r="B2668" s="1075" t="s">
        <v>295</v>
      </c>
      <c r="C2668" s="1080" t="s">
        <v>15262</v>
      </c>
      <c r="F2668" s="1076" t="s">
        <v>15319</v>
      </c>
      <c r="G2668" s="884" t="s">
        <v>512</v>
      </c>
      <c r="H2668" s="1076">
        <f>43.4-43.4</f>
        <v>0</v>
      </c>
      <c r="I2668" s="1076">
        <v>1979</v>
      </c>
      <c r="J2668" s="1076"/>
      <c r="K2668" s="884">
        <f>960924.17-960924.17</f>
        <v>0</v>
      </c>
    </row>
  </sheetData>
  <mergeCells count="1178">
    <mergeCell ref="A2529:A2530"/>
    <mergeCell ref="A2654:A2655"/>
    <mergeCell ref="B2529:B2530"/>
    <mergeCell ref="C2383:C2385"/>
    <mergeCell ref="F2367:F2368"/>
    <mergeCell ref="F2373:F2375"/>
    <mergeCell ref="F2383:F2385"/>
    <mergeCell ref="I2383:I2385"/>
    <mergeCell ref="H2520:H2521"/>
    <mergeCell ref="J2633:J2634"/>
    <mergeCell ref="K2367:K2368"/>
    <mergeCell ref="K2370:K2371"/>
    <mergeCell ref="K2373:K2375"/>
    <mergeCell ref="K2377:K2380"/>
    <mergeCell ref="K2383:K2385"/>
    <mergeCell ref="K2397:K2398"/>
    <mergeCell ref="K2404:K2405"/>
    <mergeCell ref="K2471:K2474"/>
    <mergeCell ref="K2476:K2477"/>
    <mergeCell ref="K2510:K2511"/>
    <mergeCell ref="K2564:K2567"/>
    <mergeCell ref="K2573:K2574"/>
    <mergeCell ref="K2583:K2585"/>
    <mergeCell ref="K2587:K2590"/>
    <mergeCell ref="K2600:K2601"/>
    <mergeCell ref="K2621:K2626"/>
    <mergeCell ref="K2628:K2629"/>
    <mergeCell ref="K2652:K2653"/>
    <mergeCell ref="I1837:I1845"/>
    <mergeCell ref="D1106:D1108"/>
    <mergeCell ref="I1106:I1108"/>
    <mergeCell ref="C1109:C1111"/>
    <mergeCell ref="D1109:D1111"/>
    <mergeCell ref="D1165:D1207"/>
    <mergeCell ref="C1118:C1119"/>
    <mergeCell ref="I1162:I1164"/>
    <mergeCell ref="I1405:I1406"/>
    <mergeCell ref="D1004:D1007"/>
    <mergeCell ref="I1004:I1007"/>
    <mergeCell ref="C1050:C1055"/>
    <mergeCell ref="D1050:D1055"/>
    <mergeCell ref="I1050:I1055"/>
    <mergeCell ref="I1037:I1038"/>
    <mergeCell ref="C1337:C1344"/>
    <mergeCell ref="D1337:D1344"/>
    <mergeCell ref="I1337:I1344"/>
    <mergeCell ref="C1374:C1376"/>
    <mergeCell ref="D1374:D1376"/>
    <mergeCell ref="I1374:I1376"/>
    <mergeCell ref="D1056:D1057"/>
    <mergeCell ref="I1056:I1057"/>
    <mergeCell ref="I1795:I1796"/>
    <mergeCell ref="C1792:C1794"/>
    <mergeCell ref="C1058:C1059"/>
    <mergeCell ref="C1436:C1440"/>
    <mergeCell ref="D1436:D1440"/>
    <mergeCell ref="D1441:D1443"/>
    <mergeCell ref="I1441:I1443"/>
    <mergeCell ref="C1399:C1400"/>
    <mergeCell ref="D1399:D1400"/>
    <mergeCell ref="I1399:I1400"/>
    <mergeCell ref="C1401:C1403"/>
    <mergeCell ref="D1401:D1403"/>
    <mergeCell ref="C426:C436"/>
    <mergeCell ref="D426:D436"/>
    <mergeCell ref="I426:I436"/>
    <mergeCell ref="C456:C467"/>
    <mergeCell ref="D456:D467"/>
    <mergeCell ref="I456:I467"/>
    <mergeCell ref="C1234:C1235"/>
    <mergeCell ref="D1234:D1235"/>
    <mergeCell ref="I1234:I1235"/>
    <mergeCell ref="D1039:D1042"/>
    <mergeCell ref="I1039:I1042"/>
    <mergeCell ref="C1154:C1161"/>
    <mergeCell ref="D1154:D1161"/>
    <mergeCell ref="I1154:I1161"/>
    <mergeCell ref="C1091:C1093"/>
    <mergeCell ref="D1091:D1093"/>
    <mergeCell ref="I1091:I1093"/>
    <mergeCell ref="C1131:C1139"/>
    <mergeCell ref="D1131:D1139"/>
    <mergeCell ref="I1131:I1139"/>
    <mergeCell ref="C1256:C1261"/>
    <mergeCell ref="C1037:C1038"/>
    <mergeCell ref="I1109:I1111"/>
    <mergeCell ref="I1228:I1232"/>
    <mergeCell ref="D1360:D1362"/>
    <mergeCell ref="C1360:C1362"/>
    <mergeCell ref="I1363:I1368"/>
    <mergeCell ref="D1272:D1329"/>
    <mergeCell ref="C1395:C1396"/>
    <mergeCell ref="D2091:D2096"/>
    <mergeCell ref="C2091:C2096"/>
    <mergeCell ref="I2091:I2096"/>
    <mergeCell ref="C1729:C1735"/>
    <mergeCell ref="D1729:D1735"/>
    <mergeCell ref="I1729:I1735"/>
    <mergeCell ref="C2248:C2255"/>
    <mergeCell ref="D2248:D2255"/>
    <mergeCell ref="I2248:I2255"/>
    <mergeCell ref="D1869:D1873"/>
    <mergeCell ref="I1869:I1873"/>
    <mergeCell ref="D1880:D1882"/>
    <mergeCell ref="I1880:I1882"/>
    <mergeCell ref="C1883:C1884"/>
    <mergeCell ref="C1938:C1957"/>
    <mergeCell ref="I1890:I1893"/>
    <mergeCell ref="C1894:C1896"/>
    <mergeCell ref="I1741:I1743"/>
    <mergeCell ref="D1987:D1990"/>
    <mergeCell ref="C1935:C1937"/>
    <mergeCell ref="D1935:D1937"/>
    <mergeCell ref="I1935:I1937"/>
    <mergeCell ref="I2044:I2048"/>
    <mergeCell ref="D2140:D2150"/>
    <mergeCell ref="D1924:D1926"/>
    <mergeCell ref="C1897:C1906"/>
    <mergeCell ref="D1897:D1906"/>
    <mergeCell ref="I1897:I1906"/>
    <mergeCell ref="I1814:I1815"/>
    <mergeCell ref="D1814:D1815"/>
    <mergeCell ref="I1924:I1926"/>
    <mergeCell ref="I1865:I1868"/>
    <mergeCell ref="D1395:D1396"/>
    <mergeCell ref="I1395:I1396"/>
    <mergeCell ref="C1236:C1255"/>
    <mergeCell ref="C1387:C1391"/>
    <mergeCell ref="D1387:D1391"/>
    <mergeCell ref="I1387:I1391"/>
    <mergeCell ref="D1363:D1368"/>
    <mergeCell ref="C1371:C1373"/>
    <mergeCell ref="D1371:D1373"/>
    <mergeCell ref="D1118:D1119"/>
    <mergeCell ref="D1210:D1211"/>
    <mergeCell ref="C1165:C1207"/>
    <mergeCell ref="I1165:I1207"/>
    <mergeCell ref="D1213:D1215"/>
    <mergeCell ref="C1378:C1379"/>
    <mergeCell ref="D1378:D1379"/>
    <mergeCell ref="I1378:I1379"/>
    <mergeCell ref="D1345:D1347"/>
    <mergeCell ref="D1330:D1336"/>
    <mergeCell ref="I1213:I1215"/>
    <mergeCell ref="D1256:D1261"/>
    <mergeCell ref="I1256:I1261"/>
    <mergeCell ref="C1147:C1151"/>
    <mergeCell ref="D1147:D1151"/>
    <mergeCell ref="I1147:I1151"/>
    <mergeCell ref="C1228:C1232"/>
    <mergeCell ref="D1228:D1232"/>
    <mergeCell ref="I1371:I1373"/>
    <mergeCell ref="I1360:I1362"/>
    <mergeCell ref="C1363:C1368"/>
    <mergeCell ref="D1236:D1255"/>
    <mergeCell ref="C1441:C1443"/>
    <mergeCell ref="I2140:I2150"/>
    <mergeCell ref="C2140:C2150"/>
    <mergeCell ref="C2105:C2116"/>
    <mergeCell ref="D2105:D2116"/>
    <mergeCell ref="I2105:I2116"/>
    <mergeCell ref="I1401:I1403"/>
    <mergeCell ref="C1449:C1452"/>
    <mergeCell ref="D1449:D1452"/>
    <mergeCell ref="C1446:C1448"/>
    <mergeCell ref="D1446:D1448"/>
    <mergeCell ref="I1446:I1448"/>
    <mergeCell ref="C1490:C1491"/>
    <mergeCell ref="D1089:D1090"/>
    <mergeCell ref="D1101:D1102"/>
    <mergeCell ref="I1101:I1102"/>
    <mergeCell ref="I1063:I1067"/>
    <mergeCell ref="C1089:C1090"/>
    <mergeCell ref="C1103:C1104"/>
    <mergeCell ref="C1145:C1146"/>
    <mergeCell ref="D1145:D1146"/>
    <mergeCell ref="I1145:I1146"/>
    <mergeCell ref="C1112:C1113"/>
    <mergeCell ref="C1094:C1096"/>
    <mergeCell ref="I1345:I1347"/>
    <mergeCell ref="C1345:C1347"/>
    <mergeCell ref="C1380:C1386"/>
    <mergeCell ref="D1380:D1386"/>
    <mergeCell ref="I1380:I1386"/>
    <mergeCell ref="C1405:C1406"/>
    <mergeCell ref="D1405:D1406"/>
    <mergeCell ref="C1162:C1164"/>
    <mergeCell ref="C1106:C1108"/>
    <mergeCell ref="C1008:C1036"/>
    <mergeCell ref="C1056:C1057"/>
    <mergeCell ref="I1118:I1119"/>
    <mergeCell ref="D1162:D1164"/>
    <mergeCell ref="C980:C981"/>
    <mergeCell ref="C995:C1002"/>
    <mergeCell ref="D995:D1002"/>
    <mergeCell ref="I995:I1002"/>
    <mergeCell ref="D1008:D1036"/>
    <mergeCell ref="I1043:I1044"/>
    <mergeCell ref="D1103:D1104"/>
    <mergeCell ref="D2205:D2206"/>
    <mergeCell ref="I2205:I2206"/>
    <mergeCell ref="C1407:C1408"/>
    <mergeCell ref="D1407:D1408"/>
    <mergeCell ref="I1407:I1408"/>
    <mergeCell ref="C1805:C1806"/>
    <mergeCell ref="D1805:D1806"/>
    <mergeCell ref="I1805:I1806"/>
    <mergeCell ref="D1798:D1804"/>
    <mergeCell ref="C1409:C1411"/>
    <mergeCell ref="D1409:D1411"/>
    <mergeCell ref="I1409:I1411"/>
    <mergeCell ref="I1397:I1398"/>
    <mergeCell ref="C1412:C1430"/>
    <mergeCell ref="D1412:D1430"/>
    <mergeCell ref="I1412:I1430"/>
    <mergeCell ref="C1432:C1435"/>
    <mergeCell ref="D1432:D1435"/>
    <mergeCell ref="I1432:I1435"/>
    <mergeCell ref="I1436:I1439"/>
    <mergeCell ref="D1112:D1113"/>
    <mergeCell ref="I1112:I1113"/>
    <mergeCell ref="I944:I945"/>
    <mergeCell ref="I946:I948"/>
    <mergeCell ref="I951:I955"/>
    <mergeCell ref="C951:C955"/>
    <mergeCell ref="I1058:I1059"/>
    <mergeCell ref="C1060:C1062"/>
    <mergeCell ref="I1094:I1096"/>
    <mergeCell ref="I961:I963"/>
    <mergeCell ref="I1008:I1036"/>
    <mergeCell ref="C1039:C1042"/>
    <mergeCell ref="C1004:C1007"/>
    <mergeCell ref="C1392:C1394"/>
    <mergeCell ref="D1392:D1394"/>
    <mergeCell ref="I1392:I1394"/>
    <mergeCell ref="C965:C966"/>
    <mergeCell ref="D1043:D1044"/>
    <mergeCell ref="C1043:C1044"/>
    <mergeCell ref="I1330:I1336"/>
    <mergeCell ref="I1272:I1329"/>
    <mergeCell ref="C1330:C1336"/>
    <mergeCell ref="D1094:D1096"/>
    <mergeCell ref="C1101:C1102"/>
    <mergeCell ref="C1210:C1211"/>
    <mergeCell ref="I1210:I1211"/>
    <mergeCell ref="C1272:C1329"/>
    <mergeCell ref="C988:C994"/>
    <mergeCell ref="D988:D994"/>
    <mergeCell ref="I988:I994"/>
    <mergeCell ref="I1236:I1255"/>
    <mergeCell ref="I1103:I1104"/>
    <mergeCell ref="D980:D981"/>
    <mergeCell ref="I980:I981"/>
    <mergeCell ref="C931:C943"/>
    <mergeCell ref="D931:D943"/>
    <mergeCell ref="I931:I943"/>
    <mergeCell ref="C958:C960"/>
    <mergeCell ref="D958:D960"/>
    <mergeCell ref="I958:I960"/>
    <mergeCell ref="C961:C963"/>
    <mergeCell ref="D961:D963"/>
    <mergeCell ref="C982:C987"/>
    <mergeCell ref="D982:D987"/>
    <mergeCell ref="I982:I987"/>
    <mergeCell ref="I1089:I1090"/>
    <mergeCell ref="D1060:D1062"/>
    <mergeCell ref="I1060:I1062"/>
    <mergeCell ref="C1063:C1067"/>
    <mergeCell ref="D1063:D1067"/>
    <mergeCell ref="D1058:D1059"/>
    <mergeCell ref="C978:C979"/>
    <mergeCell ref="D978:D979"/>
    <mergeCell ref="I978:I979"/>
    <mergeCell ref="D951:D955"/>
    <mergeCell ref="D1037:D1038"/>
    <mergeCell ref="C1045:C1049"/>
    <mergeCell ref="D1045:D1049"/>
    <mergeCell ref="I1045:I1049"/>
    <mergeCell ref="D946:D948"/>
    <mergeCell ref="C944:C945"/>
    <mergeCell ref="I772:I784"/>
    <mergeCell ref="C792:C793"/>
    <mergeCell ref="C975:C977"/>
    <mergeCell ref="D975:D977"/>
    <mergeCell ref="I975:I977"/>
    <mergeCell ref="C968:C974"/>
    <mergeCell ref="D968:D974"/>
    <mergeCell ref="I968:I974"/>
    <mergeCell ref="C813:C814"/>
    <mergeCell ref="D897:D899"/>
    <mergeCell ref="D965:D966"/>
    <mergeCell ref="I965:I966"/>
    <mergeCell ref="D803:D805"/>
    <mergeCell ref="I897:I899"/>
    <mergeCell ref="D902:D904"/>
    <mergeCell ref="I828:I830"/>
    <mergeCell ref="D889:D891"/>
    <mergeCell ref="I889:I891"/>
    <mergeCell ref="C892:C893"/>
    <mergeCell ref="D892:D893"/>
    <mergeCell ref="C889:C891"/>
    <mergeCell ref="D831:D833"/>
    <mergeCell ref="I831:I833"/>
    <mergeCell ref="C840:C842"/>
    <mergeCell ref="D944:D945"/>
    <mergeCell ref="I905:I909"/>
    <mergeCell ref="D824:D827"/>
    <mergeCell ref="C806:C807"/>
    <mergeCell ref="I789:I791"/>
    <mergeCell ref="C789:C791"/>
    <mergeCell ref="D862:D865"/>
    <mergeCell ref="I824:I827"/>
    <mergeCell ref="C58:C60"/>
    <mergeCell ref="D58:D60"/>
    <mergeCell ref="I58:I60"/>
    <mergeCell ref="C65:C68"/>
    <mergeCell ref="D65:D68"/>
    <mergeCell ref="I65:I68"/>
    <mergeCell ref="C69:C70"/>
    <mergeCell ref="D71:D72"/>
    <mergeCell ref="I71:I72"/>
    <mergeCell ref="D69:D70"/>
    <mergeCell ref="I69:I70"/>
    <mergeCell ref="C71:C72"/>
    <mergeCell ref="I73:I76"/>
    <mergeCell ref="D73:D76"/>
    <mergeCell ref="D77:D78"/>
    <mergeCell ref="I77:I78"/>
    <mergeCell ref="C79:C81"/>
    <mergeCell ref="D79:D81"/>
    <mergeCell ref="I79:I81"/>
    <mergeCell ref="C82:C83"/>
    <mergeCell ref="D82:D83"/>
    <mergeCell ref="I82:I83"/>
    <mergeCell ref="C84:C85"/>
    <mergeCell ref="D84:D85"/>
    <mergeCell ref="D279:D281"/>
    <mergeCell ref="I279:I281"/>
    <mergeCell ref="C299:C302"/>
    <mergeCell ref="C178:C179"/>
    <mergeCell ref="D178:D179"/>
    <mergeCell ref="D167:D168"/>
    <mergeCell ref="I167:I168"/>
    <mergeCell ref="I84:I85"/>
    <mergeCell ref="C86:C89"/>
    <mergeCell ref="I120:I121"/>
    <mergeCell ref="D86:D89"/>
    <mergeCell ref="I86:I89"/>
    <mergeCell ref="D99:D107"/>
    <mergeCell ref="I99:I107"/>
    <mergeCell ref="C108:C119"/>
    <mergeCell ref="D108:D119"/>
    <mergeCell ref="I108:I119"/>
    <mergeCell ref="D96:D98"/>
    <mergeCell ref="I96:I98"/>
    <mergeCell ref="C96:C98"/>
    <mergeCell ref="C90:C91"/>
    <mergeCell ref="C242:C244"/>
    <mergeCell ref="D197:D199"/>
    <mergeCell ref="C180:C185"/>
    <mergeCell ref="D180:D185"/>
    <mergeCell ref="D162:D163"/>
    <mergeCell ref="I162:I163"/>
    <mergeCell ref="C2:H2"/>
    <mergeCell ref="C6:C9"/>
    <mergeCell ref="D6:D9"/>
    <mergeCell ref="I6:I9"/>
    <mergeCell ref="C10:C11"/>
    <mergeCell ref="D10:D11"/>
    <mergeCell ref="I10:I11"/>
    <mergeCell ref="C12:C14"/>
    <mergeCell ref="D12:D14"/>
    <mergeCell ref="I12:I14"/>
    <mergeCell ref="C15:C49"/>
    <mergeCell ref="D15:D49"/>
    <mergeCell ref="I15:I49"/>
    <mergeCell ref="C50:C51"/>
    <mergeCell ref="D50:D51"/>
    <mergeCell ref="I50:I51"/>
    <mergeCell ref="C213:C214"/>
    <mergeCell ref="D213:D214"/>
    <mergeCell ref="I213:I214"/>
    <mergeCell ref="D164:D166"/>
    <mergeCell ref="I164:I166"/>
    <mergeCell ref="C167:C168"/>
    <mergeCell ref="D160:D161"/>
    <mergeCell ref="I160:I161"/>
    <mergeCell ref="C61:C64"/>
    <mergeCell ref="D61:D64"/>
    <mergeCell ref="C77:C78"/>
    <mergeCell ref="I61:I64"/>
    <mergeCell ref="C73:C76"/>
    <mergeCell ref="D125:D127"/>
    <mergeCell ref="I125:I127"/>
    <mergeCell ref="C197:C199"/>
    <mergeCell ref="C164:C166"/>
    <mergeCell ref="C210:C211"/>
    <mergeCell ref="D210:D211"/>
    <mergeCell ref="I210:I211"/>
    <mergeCell ref="C122:C124"/>
    <mergeCell ref="I353:I355"/>
    <mergeCell ref="C350:C352"/>
    <mergeCell ref="D350:D352"/>
    <mergeCell ref="I326:I330"/>
    <mergeCell ref="C306:C307"/>
    <mergeCell ref="I180:I185"/>
    <mergeCell ref="C186:C195"/>
    <mergeCell ref="I311:I312"/>
    <mergeCell ref="D347:D349"/>
    <mergeCell ref="I347:I349"/>
    <mergeCell ref="I336:I337"/>
    <mergeCell ref="C289:C294"/>
    <mergeCell ref="D242:D244"/>
    <mergeCell ref="I259:I260"/>
    <mergeCell ref="C286:C287"/>
    <mergeCell ref="D286:D287"/>
    <mergeCell ref="C231:C241"/>
    <mergeCell ref="I265:I278"/>
    <mergeCell ref="D128:D129"/>
    <mergeCell ref="I128:I129"/>
    <mergeCell ref="I197:I199"/>
    <mergeCell ref="C160:C161"/>
    <mergeCell ref="C162:C163"/>
    <mergeCell ref="C130:C159"/>
    <mergeCell ref="D130:D159"/>
    <mergeCell ref="I130:I159"/>
    <mergeCell ref="C128:C129"/>
    <mergeCell ref="D90:D91"/>
    <mergeCell ref="I90:I91"/>
    <mergeCell ref="C92:C95"/>
    <mergeCell ref="D92:D95"/>
    <mergeCell ref="I92:I95"/>
    <mergeCell ref="C120:C121"/>
    <mergeCell ref="D120:D121"/>
    <mergeCell ref="C99:C107"/>
    <mergeCell ref="D282:D285"/>
    <mergeCell ref="I282:I285"/>
    <mergeCell ref="C206:C209"/>
    <mergeCell ref="I242:I244"/>
    <mergeCell ref="C262:C264"/>
    <mergeCell ref="I231:I241"/>
    <mergeCell ref="C282:C285"/>
    <mergeCell ref="C279:C281"/>
    <mergeCell ref="I761:I762"/>
    <mergeCell ref="I178:I179"/>
    <mergeCell ref="C169:C171"/>
    <mergeCell ref="I175:I177"/>
    <mergeCell ref="D345:D346"/>
    <mergeCell ref="C336:C337"/>
    <mergeCell ref="D336:D337"/>
    <mergeCell ref="D311:D312"/>
    <mergeCell ref="D231:D241"/>
    <mergeCell ref="D326:D330"/>
    <mergeCell ref="C347:C349"/>
    <mergeCell ref="C761:C762"/>
    <mergeCell ref="D761:D762"/>
    <mergeCell ref="D122:D124"/>
    <mergeCell ref="I122:I124"/>
    <mergeCell ref="C125:C127"/>
    <mergeCell ref="I186:I195"/>
    <mergeCell ref="D186:D195"/>
    <mergeCell ref="D206:D209"/>
    <mergeCell ref="I206:I209"/>
    <mergeCell ref="C175:C177"/>
    <mergeCell ref="D175:D177"/>
    <mergeCell ref="C201:C205"/>
    <mergeCell ref="D201:D205"/>
    <mergeCell ref="I201:I205"/>
    <mergeCell ref="C259:C260"/>
    <mergeCell ref="D259:D260"/>
    <mergeCell ref="I286:I287"/>
    <mergeCell ref="C315:C318"/>
    <mergeCell ref="D331:D333"/>
    <mergeCell ref="I295:I298"/>
    <mergeCell ref="C381:C393"/>
    <mergeCell ref="D381:D393"/>
    <mergeCell ref="I381:I393"/>
    <mergeCell ref="I369:I380"/>
    <mergeCell ref="D366:D368"/>
    <mergeCell ref="I366:I368"/>
    <mergeCell ref="I322:I325"/>
    <mergeCell ref="I331:I333"/>
    <mergeCell ref="D363:D365"/>
    <mergeCell ref="I363:I365"/>
    <mergeCell ref="C320:C321"/>
    <mergeCell ref="D320:D321"/>
    <mergeCell ref="I320:I321"/>
    <mergeCell ref="C322:C325"/>
    <mergeCell ref="D322:D325"/>
    <mergeCell ref="D299:D302"/>
    <mergeCell ref="C295:C298"/>
    <mergeCell ref="D295:D298"/>
    <mergeCell ref="D289:D294"/>
    <mergeCell ref="D262:D264"/>
    <mergeCell ref="I262:I264"/>
    <mergeCell ref="C265:C278"/>
    <mergeCell ref="D265:D278"/>
    <mergeCell ref="F522:F523"/>
    <mergeCell ref="C394:C406"/>
    <mergeCell ref="D394:D406"/>
    <mergeCell ref="I394:I406"/>
    <mergeCell ref="K522:K523"/>
    <mergeCell ref="C526:C527"/>
    <mergeCell ref="D526:D527"/>
    <mergeCell ref="I526:I527"/>
    <mergeCell ref="D306:D307"/>
    <mergeCell ref="I306:I307"/>
    <mergeCell ref="C326:C330"/>
    <mergeCell ref="D315:D318"/>
    <mergeCell ref="I315:I318"/>
    <mergeCell ref="I342:I344"/>
    <mergeCell ref="C345:C346"/>
    <mergeCell ref="I345:I346"/>
    <mergeCell ref="C366:C368"/>
    <mergeCell ref="C363:C365"/>
    <mergeCell ref="C353:C355"/>
    <mergeCell ref="D353:D355"/>
    <mergeCell ref="C311:C312"/>
    <mergeCell ref="I308:I309"/>
    <mergeCell ref="C342:C344"/>
    <mergeCell ref="G522:G523"/>
    <mergeCell ref="D437:D442"/>
    <mergeCell ref="I437:I442"/>
    <mergeCell ref="C490:C493"/>
    <mergeCell ref="D490:D493"/>
    <mergeCell ref="I490:I493"/>
    <mergeCell ref="C369:C380"/>
    <mergeCell ref="D369:D380"/>
    <mergeCell ref="C407:C410"/>
    <mergeCell ref="D550:D555"/>
    <mergeCell ref="I550:I555"/>
    <mergeCell ref="C556:C560"/>
    <mergeCell ref="D556:D560"/>
    <mergeCell ref="I556:I560"/>
    <mergeCell ref="C561:C563"/>
    <mergeCell ref="D561:D563"/>
    <mergeCell ref="I561:I563"/>
    <mergeCell ref="D564:D568"/>
    <mergeCell ref="I564:I568"/>
    <mergeCell ref="C437:C442"/>
    <mergeCell ref="C536:C539"/>
    <mergeCell ref="D536:D539"/>
    <mergeCell ref="I536:I539"/>
    <mergeCell ref="C540:C541"/>
    <mergeCell ref="D540:D541"/>
    <mergeCell ref="I540:I541"/>
    <mergeCell ref="C532:C533"/>
    <mergeCell ref="D532:D533"/>
    <mergeCell ref="I532:I533"/>
    <mergeCell ref="C494:C496"/>
    <mergeCell ref="D494:D496"/>
    <mergeCell ref="I494:I496"/>
    <mergeCell ref="C497:C498"/>
    <mergeCell ref="D497:D498"/>
    <mergeCell ref="I497:I498"/>
    <mergeCell ref="C499:C502"/>
    <mergeCell ref="D499:D502"/>
    <mergeCell ref="I499:I502"/>
    <mergeCell ref="C515:C523"/>
    <mergeCell ref="D515:D523"/>
    <mergeCell ref="I515:I523"/>
    <mergeCell ref="C583:C591"/>
    <mergeCell ref="D583:D591"/>
    <mergeCell ref="I583:I591"/>
    <mergeCell ref="C592:C597"/>
    <mergeCell ref="D592:D597"/>
    <mergeCell ref="I592:I597"/>
    <mergeCell ref="C598:C602"/>
    <mergeCell ref="D598:D602"/>
    <mergeCell ref="I598:I602"/>
    <mergeCell ref="C603:C605"/>
    <mergeCell ref="D603:D605"/>
    <mergeCell ref="I603:I605"/>
    <mergeCell ref="C606:C608"/>
    <mergeCell ref="D606:D608"/>
    <mergeCell ref="I606:I608"/>
    <mergeCell ref="C542:C543"/>
    <mergeCell ref="D542:D543"/>
    <mergeCell ref="I542:I543"/>
    <mergeCell ref="C544:C545"/>
    <mergeCell ref="D544:D545"/>
    <mergeCell ref="I544:I545"/>
    <mergeCell ref="C570:C573"/>
    <mergeCell ref="D570:D573"/>
    <mergeCell ref="I570:I573"/>
    <mergeCell ref="C574:C582"/>
    <mergeCell ref="D574:D582"/>
    <mergeCell ref="I574:I582"/>
    <mergeCell ref="C564:C568"/>
    <mergeCell ref="C546:C549"/>
    <mergeCell ref="D546:D549"/>
    <mergeCell ref="I546:I549"/>
    <mergeCell ref="C550:C555"/>
    <mergeCell ref="C675:C713"/>
    <mergeCell ref="D675:D713"/>
    <mergeCell ref="I675:I713"/>
    <mergeCell ref="C715:C716"/>
    <mergeCell ref="D715:D716"/>
    <mergeCell ref="C609:C613"/>
    <mergeCell ref="D609:D613"/>
    <mergeCell ref="I609:I613"/>
    <mergeCell ref="C617:C618"/>
    <mergeCell ref="D617:D618"/>
    <mergeCell ref="I617:I618"/>
    <mergeCell ref="C619:C621"/>
    <mergeCell ref="D619:D621"/>
    <mergeCell ref="I619:I621"/>
    <mergeCell ref="D636:D641"/>
    <mergeCell ref="I636:I641"/>
    <mergeCell ref="C642:C645"/>
    <mergeCell ref="D642:D645"/>
    <mergeCell ref="I642:I645"/>
    <mergeCell ref="C625:C628"/>
    <mergeCell ref="D625:D628"/>
    <mergeCell ref="I625:I628"/>
    <mergeCell ref="C629:C631"/>
    <mergeCell ref="D629:D631"/>
    <mergeCell ref="I629:I631"/>
    <mergeCell ref="C632:C635"/>
    <mergeCell ref="D632:D635"/>
    <mergeCell ref="I632:I635"/>
    <mergeCell ref="C636:C641"/>
    <mergeCell ref="C622:C624"/>
    <mergeCell ref="D622:D624"/>
    <mergeCell ref="I622:I624"/>
    <mergeCell ref="C785:C788"/>
    <mergeCell ref="D785:D788"/>
    <mergeCell ref="I785:I788"/>
    <mergeCell ref="D792:D793"/>
    <mergeCell ref="D789:D791"/>
    <mergeCell ref="C772:C784"/>
    <mergeCell ref="D772:D784"/>
    <mergeCell ref="I763:I771"/>
    <mergeCell ref="C862:C865"/>
    <mergeCell ref="C646:C647"/>
    <mergeCell ref="D646:D647"/>
    <mergeCell ref="I646:I647"/>
    <mergeCell ref="C648:C653"/>
    <mergeCell ref="D648:D653"/>
    <mergeCell ref="I648:I653"/>
    <mergeCell ref="K650:K653"/>
    <mergeCell ref="C654:C668"/>
    <mergeCell ref="D654:D668"/>
    <mergeCell ref="I654:I668"/>
    <mergeCell ref="C725:C727"/>
    <mergeCell ref="D725:D727"/>
    <mergeCell ref="I725:I727"/>
    <mergeCell ref="C728:C730"/>
    <mergeCell ref="D728:D730"/>
    <mergeCell ref="I728:I730"/>
    <mergeCell ref="I715:I716"/>
    <mergeCell ref="C717:C720"/>
    <mergeCell ref="D717:D720"/>
    <mergeCell ref="I717:I720"/>
    <mergeCell ref="C721:C724"/>
    <mergeCell ref="D721:D724"/>
    <mergeCell ref="I721:I724"/>
    <mergeCell ref="C731:C734"/>
    <mergeCell ref="D731:D734"/>
    <mergeCell ref="I731:I734"/>
    <mergeCell ref="C735:C740"/>
    <mergeCell ref="D735:D740"/>
    <mergeCell ref="I735:I740"/>
    <mergeCell ref="C741:C742"/>
    <mergeCell ref="D741:D742"/>
    <mergeCell ref="I741:I742"/>
    <mergeCell ref="C743:C745"/>
    <mergeCell ref="D743:D745"/>
    <mergeCell ref="I743:I745"/>
    <mergeCell ref="C746:C751"/>
    <mergeCell ref="D746:D751"/>
    <mergeCell ref="I746:I751"/>
    <mergeCell ref="C752:C760"/>
    <mergeCell ref="D752:D760"/>
    <mergeCell ref="I752:I760"/>
    <mergeCell ref="D797:D802"/>
    <mergeCell ref="I797:I802"/>
    <mergeCell ref="C831:C833"/>
    <mergeCell ref="I840:I842"/>
    <mergeCell ref="C872:C873"/>
    <mergeCell ref="D872:D873"/>
    <mergeCell ref="I872:I873"/>
    <mergeCell ref="I880:I887"/>
    <mergeCell ref="C803:C805"/>
    <mergeCell ref="C808:C812"/>
    <mergeCell ref="D808:D812"/>
    <mergeCell ref="I808:I812"/>
    <mergeCell ref="I815:I817"/>
    <mergeCell ref="C824:C827"/>
    <mergeCell ref="D813:D814"/>
    <mergeCell ref="C877:C879"/>
    <mergeCell ref="C834:C839"/>
    <mergeCell ref="D834:D839"/>
    <mergeCell ref="I834:I839"/>
    <mergeCell ref="C763:C771"/>
    <mergeCell ref="D763:D771"/>
    <mergeCell ref="I892:I893"/>
    <mergeCell ref="D877:D879"/>
    <mergeCell ref="C894:C896"/>
    <mergeCell ref="D894:D896"/>
    <mergeCell ref="I902:I904"/>
    <mergeCell ref="I894:I896"/>
    <mergeCell ref="C902:C904"/>
    <mergeCell ref="C897:C899"/>
    <mergeCell ref="C905:C909"/>
    <mergeCell ref="D905:D909"/>
    <mergeCell ref="C911:C912"/>
    <mergeCell ref="D911:D912"/>
    <mergeCell ref="C900:C901"/>
    <mergeCell ref="D900:D901"/>
    <mergeCell ref="I900:I901"/>
    <mergeCell ref="C880:C887"/>
    <mergeCell ref="D806:D807"/>
    <mergeCell ref="I806:I807"/>
    <mergeCell ref="I870:I871"/>
    <mergeCell ref="D880:D887"/>
    <mergeCell ref="I877:I879"/>
    <mergeCell ref="C794:C796"/>
    <mergeCell ref="D794:D796"/>
    <mergeCell ref="I794:I796"/>
    <mergeCell ref="I792:I793"/>
    <mergeCell ref="I813:I814"/>
    <mergeCell ref="C828:C830"/>
    <mergeCell ref="D840:D842"/>
    <mergeCell ref="D828:D830"/>
    <mergeCell ref="C797:C802"/>
    <mergeCell ref="I1449:I1452"/>
    <mergeCell ref="C1453:C1454"/>
    <mergeCell ref="D1453:D1454"/>
    <mergeCell ref="I1453:I1454"/>
    <mergeCell ref="C1455:C1458"/>
    <mergeCell ref="D1455:D1458"/>
    <mergeCell ref="I1455:I1458"/>
    <mergeCell ref="C1459:C1463"/>
    <mergeCell ref="D1459:D1463"/>
    <mergeCell ref="I1459:I1463"/>
    <mergeCell ref="C1464:C1466"/>
    <mergeCell ref="D1464:D1466"/>
    <mergeCell ref="I1464:I1466"/>
    <mergeCell ref="C1467:C1468"/>
    <mergeCell ref="D1467:D1468"/>
    <mergeCell ref="I1467:I1468"/>
    <mergeCell ref="C1469:C1472"/>
    <mergeCell ref="D1469:D1472"/>
    <mergeCell ref="I1469:I1472"/>
    <mergeCell ref="C1473:C1474"/>
    <mergeCell ref="D1473:D1474"/>
    <mergeCell ref="I1473:I1474"/>
    <mergeCell ref="I1488:I1489"/>
    <mergeCell ref="C1527:C1531"/>
    <mergeCell ref="D1527:D1531"/>
    <mergeCell ref="I1527:I1531"/>
    <mergeCell ref="I1475:I1476"/>
    <mergeCell ref="C1477:C1478"/>
    <mergeCell ref="D1477:D1478"/>
    <mergeCell ref="I1477:I1478"/>
    <mergeCell ref="C1479:C1480"/>
    <mergeCell ref="D1479:D1480"/>
    <mergeCell ref="I1479:I1480"/>
    <mergeCell ref="C1481:C1484"/>
    <mergeCell ref="D1481:D1484"/>
    <mergeCell ref="I1481:I1484"/>
    <mergeCell ref="I1493:I1496"/>
    <mergeCell ref="D1488:D1489"/>
    <mergeCell ref="C1525:C1526"/>
    <mergeCell ref="D1525:D1526"/>
    <mergeCell ref="D1497:D1505"/>
    <mergeCell ref="I1497:I1505"/>
    <mergeCell ref="C1506:C1510"/>
    <mergeCell ref="D1506:D1510"/>
    <mergeCell ref="I1506:I1510"/>
    <mergeCell ref="C1511:C1519"/>
    <mergeCell ref="D1511:D1519"/>
    <mergeCell ref="I1511:I1519"/>
    <mergeCell ref="C1521:C1523"/>
    <mergeCell ref="D1490:D1491"/>
    <mergeCell ref="I1485:I1487"/>
    <mergeCell ref="C1534:C1535"/>
    <mergeCell ref="D1534:D1535"/>
    <mergeCell ref="I1534:I1535"/>
    <mergeCell ref="C1536:C1537"/>
    <mergeCell ref="D1536:D1537"/>
    <mergeCell ref="I1536:I1537"/>
    <mergeCell ref="I1490:I1491"/>
    <mergeCell ref="C1493:C1496"/>
    <mergeCell ref="C1475:C1476"/>
    <mergeCell ref="D1475:D1476"/>
    <mergeCell ref="C1497:C1505"/>
    <mergeCell ref="I1595:I1598"/>
    <mergeCell ref="C1568:C1570"/>
    <mergeCell ref="D1568:D1570"/>
    <mergeCell ref="I1568:I1570"/>
    <mergeCell ref="C1576:C1580"/>
    <mergeCell ref="D1576:D1580"/>
    <mergeCell ref="I1576:I1580"/>
    <mergeCell ref="C1557:C1558"/>
    <mergeCell ref="D1557:D1558"/>
    <mergeCell ref="I1557:I1558"/>
    <mergeCell ref="C1581:C1585"/>
    <mergeCell ref="D1581:D1585"/>
    <mergeCell ref="I1581:I1585"/>
    <mergeCell ref="C1586:C1594"/>
    <mergeCell ref="C1538:C1541"/>
    <mergeCell ref="C1554:C1555"/>
    <mergeCell ref="D1493:D1496"/>
    <mergeCell ref="C1488:C1489"/>
    <mergeCell ref="D1554:D1555"/>
    <mergeCell ref="I1832:I1836"/>
    <mergeCell ref="C1846:C1847"/>
    <mergeCell ref="D1846:D1847"/>
    <mergeCell ref="I1846:I1847"/>
    <mergeCell ref="I1559:I1562"/>
    <mergeCell ref="C1563:C1564"/>
    <mergeCell ref="D1563:D1564"/>
    <mergeCell ref="I1563:I1564"/>
    <mergeCell ref="D1595:D1598"/>
    <mergeCell ref="D1586:D1594"/>
    <mergeCell ref="C1637:C1681"/>
    <mergeCell ref="D1637:D1681"/>
    <mergeCell ref="I1637:I1681"/>
    <mergeCell ref="C1600:C1602"/>
    <mergeCell ref="D1600:D1602"/>
    <mergeCell ref="I1600:I1602"/>
    <mergeCell ref="C1603:C1606"/>
    <mergeCell ref="D1603:D1606"/>
    <mergeCell ref="I1603:I1606"/>
    <mergeCell ref="C1812:C1813"/>
    <mergeCell ref="D1812:D1813"/>
    <mergeCell ref="C1837:C1845"/>
    <mergeCell ref="C1819:C1821"/>
    <mergeCell ref="D1819:D1821"/>
    <mergeCell ref="C1685:C1686"/>
    <mergeCell ref="I1685:I1686"/>
    <mergeCell ref="C1814:C1815"/>
    <mergeCell ref="C1687:C1701"/>
    <mergeCell ref="C1722:C1726"/>
    <mergeCell ref="I1744:I1788"/>
    <mergeCell ref="D1622:D1625"/>
    <mergeCell ref="C1631:C1636"/>
    <mergeCell ref="D1907:D1911"/>
    <mergeCell ref="D1883:D1884"/>
    <mergeCell ref="I1883:I1884"/>
    <mergeCell ref="D1885:D1887"/>
    <mergeCell ref="I1885:I1887"/>
    <mergeCell ref="C1890:C1893"/>
    <mergeCell ref="C1888:C1889"/>
    <mergeCell ref="D1521:D1523"/>
    <mergeCell ref="I1521:I1523"/>
    <mergeCell ref="C1485:C1487"/>
    <mergeCell ref="D1485:D1487"/>
    <mergeCell ref="I1819:I1821"/>
    <mergeCell ref="C1737:C1740"/>
    <mergeCell ref="D1737:D1740"/>
    <mergeCell ref="I1737:I1740"/>
    <mergeCell ref="C1741:C1743"/>
    <mergeCell ref="I1812:I1813"/>
    <mergeCell ref="C1816:C1818"/>
    <mergeCell ref="D1792:D1794"/>
    <mergeCell ref="C1727:C1728"/>
    <mergeCell ref="D1727:D1728"/>
    <mergeCell ref="I1727:I1728"/>
    <mergeCell ref="I1682:I1684"/>
    <mergeCell ref="C1798:C1804"/>
    <mergeCell ref="C1549:C1551"/>
    <mergeCell ref="D1549:D1551"/>
    <mergeCell ref="I1549:I1551"/>
    <mergeCell ref="C1552:C1553"/>
    <mergeCell ref="D1552:D1553"/>
    <mergeCell ref="I1552:I1553"/>
    <mergeCell ref="C1865:C1868"/>
    <mergeCell ref="D1865:D1868"/>
    <mergeCell ref="D2131:D2139"/>
    <mergeCell ref="D1982:D1986"/>
    <mergeCell ref="I1982:I1986"/>
    <mergeCell ref="C1987:C1990"/>
    <mergeCell ref="C2004:C2021"/>
    <mergeCell ref="D2004:D2021"/>
    <mergeCell ref="I2004:I2021"/>
    <mergeCell ref="I1987:I1990"/>
    <mergeCell ref="C1991:C2003"/>
    <mergeCell ref="D1991:D2003"/>
    <mergeCell ref="I1991:I2003"/>
    <mergeCell ref="C1958:C1964"/>
    <mergeCell ref="I1554:I1555"/>
    <mergeCell ref="C1559:C1562"/>
    <mergeCell ref="D1559:D1562"/>
    <mergeCell ref="C1885:C1887"/>
    <mergeCell ref="I1888:I1889"/>
    <mergeCell ref="C1874:C1879"/>
    <mergeCell ref="D1874:D1879"/>
    <mergeCell ref="I1874:I1879"/>
    <mergeCell ref="C1880:C1882"/>
    <mergeCell ref="I1907:I1911"/>
    <mergeCell ref="C1924:C1926"/>
    <mergeCell ref="D1938:D1964"/>
    <mergeCell ref="I1920:I1923"/>
    <mergeCell ref="D1894:D1896"/>
    <mergeCell ref="I1894:I1896"/>
    <mergeCell ref="C1907:C1911"/>
    <mergeCell ref="D1920:D1923"/>
    <mergeCell ref="D1888:D1889"/>
    <mergeCell ref="C1920:C1923"/>
    <mergeCell ref="D1890:D1893"/>
    <mergeCell ref="C2162:C2191"/>
    <mergeCell ref="I1974:I1977"/>
    <mergeCell ref="C1969:C1973"/>
    <mergeCell ref="C1982:C1986"/>
    <mergeCell ref="C2235:C2244"/>
    <mergeCell ref="D2235:D2244"/>
    <mergeCell ref="I2235:I2244"/>
    <mergeCell ref="C2207:C2215"/>
    <mergeCell ref="D2207:D2215"/>
    <mergeCell ref="I2207:I2215"/>
    <mergeCell ref="C2198:C2202"/>
    <mergeCell ref="D2198:D2202"/>
    <mergeCell ref="I2198:I2202"/>
    <mergeCell ref="C2117:C2120"/>
    <mergeCell ref="D2117:D2120"/>
    <mergeCell ref="I2117:I2120"/>
    <mergeCell ref="C2121:C2124"/>
    <mergeCell ref="D2121:D2124"/>
    <mergeCell ref="I2121:I2124"/>
    <mergeCell ref="C2125:C2128"/>
    <mergeCell ref="C2031:C2033"/>
    <mergeCell ref="D2031:D2033"/>
    <mergeCell ref="I2086:I2090"/>
    <mergeCell ref="C2156:C2161"/>
    <mergeCell ref="D2156:D2161"/>
    <mergeCell ref="I2156:I2161"/>
    <mergeCell ref="C2192:C2197"/>
    <mergeCell ref="C2097:C2104"/>
    <mergeCell ref="D2097:D2104"/>
    <mergeCell ref="I2097:I2104"/>
    <mergeCell ref="I2031:I2033"/>
    <mergeCell ref="C2131:C2139"/>
    <mergeCell ref="C2226:C2234"/>
    <mergeCell ref="D2226:D2234"/>
    <mergeCell ref="I2226:I2234"/>
    <mergeCell ref="C2216:C2225"/>
    <mergeCell ref="D2216:D2225"/>
    <mergeCell ref="I2216:I2225"/>
    <mergeCell ref="C2022:C2030"/>
    <mergeCell ref="D2022:D2030"/>
    <mergeCell ref="I2022:I2030"/>
    <mergeCell ref="C2052:C2064"/>
    <mergeCell ref="D2052:D2064"/>
    <mergeCell ref="I2052:I2064"/>
    <mergeCell ref="C2044:C2048"/>
    <mergeCell ref="D2044:D2048"/>
    <mergeCell ref="C2034:C2038"/>
    <mergeCell ref="D2034:D2038"/>
    <mergeCell ref="C2086:C2090"/>
    <mergeCell ref="D2086:D2090"/>
    <mergeCell ref="I2125:I2128"/>
    <mergeCell ref="C2081:C2085"/>
    <mergeCell ref="D2081:D2085"/>
    <mergeCell ref="I2192:I2197"/>
    <mergeCell ref="I2049:I2051"/>
    <mergeCell ref="C2205:C2206"/>
    <mergeCell ref="C2039:C2043"/>
    <mergeCell ref="D2039:D2043"/>
    <mergeCell ref="I2039:I2043"/>
    <mergeCell ref="I2081:I2085"/>
    <mergeCell ref="D2125:D2128"/>
    <mergeCell ref="D2162:D2191"/>
    <mergeCell ref="D2192:D2197"/>
    <mergeCell ref="I2034:I2038"/>
    <mergeCell ref="C1617:C1621"/>
    <mergeCell ref="C1607:C1611"/>
    <mergeCell ref="D1607:D1611"/>
    <mergeCell ref="D1682:D1684"/>
    <mergeCell ref="C1702:C1703"/>
    <mergeCell ref="D1702:D1703"/>
    <mergeCell ref="I1702:I1703"/>
    <mergeCell ref="D1696:D1700"/>
    <mergeCell ref="C1704:C1706"/>
    <mergeCell ref="D1704:D1706"/>
    <mergeCell ref="I1704:I1706"/>
    <mergeCell ref="C1707:C1709"/>
    <mergeCell ref="D1707:D1709"/>
    <mergeCell ref="I1707:I1709"/>
    <mergeCell ref="D1627:D1630"/>
    <mergeCell ref="I1607:I1611"/>
    <mergeCell ref="C1627:C1630"/>
    <mergeCell ref="I1622:I1625"/>
    <mergeCell ref="I1687:I1701"/>
    <mergeCell ref="I1722:I1726"/>
    <mergeCell ref="C2049:C2051"/>
    <mergeCell ref="D2049:D2051"/>
    <mergeCell ref="C1848:C1854"/>
    <mergeCell ref="I1120:I1122"/>
    <mergeCell ref="C1397:C1398"/>
    <mergeCell ref="D1397:D1398"/>
    <mergeCell ref="I1631:I1636"/>
    <mergeCell ref="C1213:C1215"/>
    <mergeCell ref="C1532:C1533"/>
    <mergeCell ref="D1532:D1533"/>
    <mergeCell ref="I1532:I1533"/>
    <mergeCell ref="D1816:D1818"/>
    <mergeCell ref="I1816:I1818"/>
    <mergeCell ref="D1687:D1688"/>
    <mergeCell ref="C1795:C1796"/>
    <mergeCell ref="C1744:C1788"/>
    <mergeCell ref="D1795:D1796"/>
    <mergeCell ref="D1741:D1743"/>
    <mergeCell ref="I1586:I1594"/>
    <mergeCell ref="C1595:C1598"/>
    <mergeCell ref="I1627:I1630"/>
    <mergeCell ref="C1622:C1625"/>
    <mergeCell ref="C1715:C1716"/>
    <mergeCell ref="D1715:D1716"/>
    <mergeCell ref="D1689:D1695"/>
    <mergeCell ref="C1682:C1684"/>
    <mergeCell ref="I1715:I1716"/>
    <mergeCell ref="I1798:I1804"/>
    <mergeCell ref="D1538:D1541"/>
    <mergeCell ref="I1538:I1541"/>
    <mergeCell ref="D1631:D1636"/>
    <mergeCell ref="D1744:D1788"/>
    <mergeCell ref="I411:I413"/>
    <mergeCell ref="C308:C309"/>
    <mergeCell ref="D308:D309"/>
    <mergeCell ref="D169:D171"/>
    <mergeCell ref="C331:C333"/>
    <mergeCell ref="I350:I352"/>
    <mergeCell ref="C479:C489"/>
    <mergeCell ref="D479:D489"/>
    <mergeCell ref="I479:I489"/>
    <mergeCell ref="C503:C514"/>
    <mergeCell ref="D503:D514"/>
    <mergeCell ref="I503:I514"/>
    <mergeCell ref="C1613:C1616"/>
    <mergeCell ref="D1613:D1616"/>
    <mergeCell ref="C2267:C2269"/>
    <mergeCell ref="D2267:D2269"/>
    <mergeCell ref="I2267:I2269"/>
    <mergeCell ref="C1912:C1919"/>
    <mergeCell ref="D1912:D1919"/>
    <mergeCell ref="I1912:I1919"/>
    <mergeCell ref="C2065:C2070"/>
    <mergeCell ref="D2065:D2070"/>
    <mergeCell ref="I2065:I2070"/>
    <mergeCell ref="C1927:C1934"/>
    <mergeCell ref="D1927:D1934"/>
    <mergeCell ref="I1927:I1934"/>
    <mergeCell ref="I1822:I1831"/>
    <mergeCell ref="C1822:C1831"/>
    <mergeCell ref="D1822:D1831"/>
    <mergeCell ref="C2071:C2080"/>
    <mergeCell ref="D1722:D1726"/>
    <mergeCell ref="I2071:I2080"/>
    <mergeCell ref="I1542:I1543"/>
    <mergeCell ref="C1856:C1864"/>
    <mergeCell ref="D1856:D1864"/>
    <mergeCell ref="I1856:I1864"/>
    <mergeCell ref="D2151:D2155"/>
    <mergeCell ref="C2151:C2155"/>
    <mergeCell ref="C52:C57"/>
    <mergeCell ref="D52:D57"/>
    <mergeCell ref="I52:I57"/>
    <mergeCell ref="C216:C230"/>
    <mergeCell ref="D216:D230"/>
    <mergeCell ref="C245:C257"/>
    <mergeCell ref="D245:D257"/>
    <mergeCell ref="I216:I230"/>
    <mergeCell ref="I245:I257"/>
    <mergeCell ref="C414:C425"/>
    <mergeCell ref="D414:D425"/>
    <mergeCell ref="I414:I425"/>
    <mergeCell ref="C443:C455"/>
    <mergeCell ref="I443:I455"/>
    <mergeCell ref="D443:D455"/>
    <mergeCell ref="C468:C478"/>
    <mergeCell ref="D468:D478"/>
    <mergeCell ref="I468:I478"/>
    <mergeCell ref="D407:D410"/>
    <mergeCell ref="I169:I171"/>
    <mergeCell ref="I289:I294"/>
    <mergeCell ref="I299:I302"/>
    <mergeCell ref="D342:D344"/>
    <mergeCell ref="I407:I410"/>
    <mergeCell ref="I1792:I1794"/>
    <mergeCell ref="C411:C413"/>
    <mergeCell ref="D411:D413"/>
    <mergeCell ref="D1969:D1973"/>
    <mergeCell ref="I1969:I1973"/>
    <mergeCell ref="C1974:C1977"/>
    <mergeCell ref="D1974:D1977"/>
    <mergeCell ref="C1120:C1122"/>
    <mergeCell ref="D1120:D1122"/>
    <mergeCell ref="I2162:I2191"/>
    <mergeCell ref="C1348:C1359"/>
    <mergeCell ref="D1348:D1359"/>
    <mergeCell ref="I1348:I1359"/>
    <mergeCell ref="C2261:C2265"/>
    <mergeCell ref="D2261:D2265"/>
    <mergeCell ref="I2261:I2265"/>
    <mergeCell ref="C1216:C1227"/>
    <mergeCell ref="I1216:I1227"/>
    <mergeCell ref="D1216:D1227"/>
    <mergeCell ref="C1369:C1370"/>
    <mergeCell ref="D1369:D1370"/>
    <mergeCell ref="I1369:I1370"/>
    <mergeCell ref="C2257:C2260"/>
    <mergeCell ref="D2257:D2260"/>
    <mergeCell ref="I2257:I2260"/>
    <mergeCell ref="D1262:D1271"/>
    <mergeCell ref="C1262:C1271"/>
    <mergeCell ref="I1262:I1271"/>
    <mergeCell ref="D1848:D1854"/>
    <mergeCell ref="I1848:I1854"/>
    <mergeCell ref="C1542:C1543"/>
    <mergeCell ref="D1542:D1543"/>
    <mergeCell ref="I918:I930"/>
    <mergeCell ref="I2151:I2155"/>
    <mergeCell ref="C1071:C1080"/>
    <mergeCell ref="D1071:D1080"/>
    <mergeCell ref="I1071:I1080"/>
    <mergeCell ref="C1081:C1088"/>
    <mergeCell ref="D1081:D1088"/>
    <mergeCell ref="I1081:I1088"/>
    <mergeCell ref="C1128:C1130"/>
    <mergeCell ref="D1128:D1130"/>
    <mergeCell ref="I1128:I1130"/>
    <mergeCell ref="C1114:C1115"/>
    <mergeCell ref="D1114:D1115"/>
    <mergeCell ref="I1114:I1115"/>
    <mergeCell ref="C1965:C1968"/>
    <mergeCell ref="D1965:D1968"/>
    <mergeCell ref="I1965:I1968"/>
    <mergeCell ref="I1613:I1616"/>
    <mergeCell ref="D1837:D1845"/>
    <mergeCell ref="C1832:C1836"/>
    <mergeCell ref="D1832:D1836"/>
    <mergeCell ref="C1869:C1873"/>
    <mergeCell ref="I2131:I2139"/>
    <mergeCell ref="C1978:C1981"/>
    <mergeCell ref="D1978:D1981"/>
    <mergeCell ref="I1978:I1981"/>
    <mergeCell ref="I1938:I1964"/>
    <mergeCell ref="I1099:I1100"/>
    <mergeCell ref="D2071:D2080"/>
    <mergeCell ref="D1099:D1100"/>
    <mergeCell ref="C1099:C1100"/>
    <mergeCell ref="C1444:C1445"/>
    <mergeCell ref="D1444:D1445"/>
    <mergeCell ref="I1444:I1445"/>
    <mergeCell ref="C815:C818"/>
    <mergeCell ref="D815:D818"/>
    <mergeCell ref="C614:C616"/>
    <mergeCell ref="D614:D616"/>
    <mergeCell ref="I614:I616"/>
    <mergeCell ref="C819:C823"/>
    <mergeCell ref="D819:D823"/>
    <mergeCell ref="I819:I823"/>
    <mergeCell ref="C669:C674"/>
    <mergeCell ref="D669:D674"/>
    <mergeCell ref="I669:I674"/>
    <mergeCell ref="C843:C861"/>
    <mergeCell ref="D843:D861"/>
    <mergeCell ref="I843:I861"/>
    <mergeCell ref="C1140:C1141"/>
    <mergeCell ref="D1140:D1141"/>
    <mergeCell ref="I1140:I1141"/>
    <mergeCell ref="I911:I912"/>
    <mergeCell ref="C1068:C1070"/>
    <mergeCell ref="D1068:D1070"/>
    <mergeCell ref="I1068:I1070"/>
    <mergeCell ref="C913:C916"/>
    <mergeCell ref="D913:D916"/>
    <mergeCell ref="I913:I916"/>
    <mergeCell ref="C918:C930"/>
    <mergeCell ref="D918:D930"/>
    <mergeCell ref="I803:I805"/>
    <mergeCell ref="I862:I865"/>
    <mergeCell ref="C870:C871"/>
    <mergeCell ref="D870:D871"/>
    <mergeCell ref="C946:C948"/>
  </mergeCells>
  <phoneticPr fontId="58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89"/>
  <sheetViews>
    <sheetView zoomScale="94" zoomScaleNormal="94" workbookViewId="0">
      <pane xSplit="1" ySplit="5" topLeftCell="B678" activePane="bottomRight" state="frozen"/>
      <selection activeCell="I1849" activeCellId="5" sqref="C1844:C1848 C1868 F1868 L1879 B1854 I1849:I1860"/>
      <selection pane="topRight" activeCell="I1849" activeCellId="5" sqref="C1844:C1848 C1868 F1868 L1879 B1854 I1849:I1860"/>
      <selection pane="bottomLeft" activeCell="I1849" activeCellId="5" sqref="C1844:C1848 C1868 F1868 L1879 B1854 I1849:I1860"/>
      <selection pane="bottomRight" activeCell="D693" sqref="D693"/>
    </sheetView>
  </sheetViews>
  <sheetFormatPr defaultColWidth="9.140625" defaultRowHeight="11.25" x14ac:dyDescent="0.2"/>
  <cols>
    <col min="1" max="1" width="11.85546875" style="5" customWidth="1"/>
    <col min="2" max="2" width="43.85546875" style="4" customWidth="1"/>
    <col min="3" max="3" width="33.7109375" style="4" customWidth="1"/>
    <col min="4" max="4" width="29.42578125" style="5" customWidth="1"/>
    <col min="5" max="5" width="16.5703125" style="4" customWidth="1"/>
    <col min="6" max="6" width="11.7109375" style="4" customWidth="1"/>
    <col min="7" max="7" width="11.42578125" style="4" customWidth="1"/>
    <col min="8" max="8" width="17.28515625" style="4" customWidth="1"/>
    <col min="9" max="9" width="26.5703125" style="4" customWidth="1"/>
    <col min="10" max="10" width="29.140625" style="4" customWidth="1"/>
    <col min="11" max="11" width="9.140625" style="4"/>
    <col min="12" max="12" width="11.140625" style="4" customWidth="1"/>
    <col min="13" max="16384" width="9.140625" style="4"/>
  </cols>
  <sheetData>
    <row r="1" spans="1:10" x14ac:dyDescent="0.2">
      <c r="F1" s="5"/>
    </row>
    <row r="2" spans="1:10" ht="15" customHeight="1" x14ac:dyDescent="0.2">
      <c r="A2" s="7"/>
      <c r="B2" s="1315" t="s">
        <v>10095</v>
      </c>
      <c r="C2" s="1315"/>
      <c r="D2" s="1315"/>
      <c r="E2" s="1315"/>
      <c r="F2" s="1315"/>
      <c r="G2" s="85"/>
      <c r="H2" s="6"/>
    </row>
    <row r="3" spans="1:10" ht="8.25" customHeight="1" x14ac:dyDescent="0.2">
      <c r="A3" s="4"/>
      <c r="C3" s="124"/>
      <c r="I3" s="4" t="s">
        <v>361</v>
      </c>
    </row>
    <row r="4" spans="1:10" ht="84.75" customHeight="1" x14ac:dyDescent="0.2">
      <c r="A4" s="278" t="s">
        <v>10097</v>
      </c>
      <c r="B4" s="278" t="s">
        <v>10098</v>
      </c>
      <c r="C4" s="278" t="s">
        <v>10099</v>
      </c>
      <c r="D4" s="278" t="s">
        <v>10100</v>
      </c>
      <c r="E4" s="278" t="s">
        <v>10105</v>
      </c>
      <c r="F4" s="278" t="s">
        <v>10102</v>
      </c>
      <c r="G4" s="278" t="s">
        <v>10103</v>
      </c>
      <c r="H4" s="278" t="s">
        <v>10104</v>
      </c>
      <c r="I4" s="278" t="s">
        <v>10107</v>
      </c>
      <c r="J4" s="278" t="s">
        <v>10106</v>
      </c>
    </row>
    <row r="5" spans="1:10" s="13" customFormat="1" ht="12.7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10</v>
      </c>
      <c r="J5" s="9">
        <v>11</v>
      </c>
    </row>
    <row r="6" spans="1:10" ht="12.75" customHeight="1" x14ac:dyDescent="0.2">
      <c r="A6" s="281" t="s">
        <v>289</v>
      </c>
      <c r="B6" s="1324" t="s">
        <v>2655</v>
      </c>
      <c r="C6" s="1325"/>
      <c r="D6" s="282"/>
      <c r="E6" s="283"/>
      <c r="F6" s="284"/>
      <c r="G6" s="45"/>
      <c r="H6" s="45"/>
      <c r="I6" s="45"/>
      <c r="J6" s="45"/>
    </row>
    <row r="7" spans="1:10" ht="45.75" customHeight="1" x14ac:dyDescent="0.2">
      <c r="A7" s="556" t="s">
        <v>5172</v>
      </c>
      <c r="B7" s="556" t="s">
        <v>3759</v>
      </c>
      <c r="C7" s="556" t="s">
        <v>7729</v>
      </c>
      <c r="D7" s="553"/>
      <c r="E7" s="553"/>
      <c r="F7" s="107">
        <v>7.92</v>
      </c>
      <c r="G7" s="556" t="s">
        <v>3749</v>
      </c>
      <c r="H7" s="41"/>
      <c r="I7" s="556" t="s">
        <v>7923</v>
      </c>
      <c r="J7" s="556" t="s">
        <v>7923</v>
      </c>
    </row>
    <row r="8" spans="1:10" ht="56.25" customHeight="1" x14ac:dyDescent="0.2">
      <c r="A8" s="556" t="s">
        <v>2010</v>
      </c>
      <c r="B8" s="12" t="s">
        <v>465</v>
      </c>
      <c r="C8" s="12" t="s">
        <v>5548</v>
      </c>
      <c r="D8" s="12"/>
      <c r="E8" s="12" t="s">
        <v>3776</v>
      </c>
      <c r="F8" s="221">
        <v>24.6</v>
      </c>
      <c r="G8" s="12" t="s">
        <v>3055</v>
      </c>
      <c r="H8" s="144"/>
      <c r="I8" s="556" t="s">
        <v>3774</v>
      </c>
      <c r="J8" s="556" t="s">
        <v>3774</v>
      </c>
    </row>
    <row r="9" spans="1:10" s="67" customFormat="1" ht="33.75" customHeight="1" x14ac:dyDescent="0.2">
      <c r="A9" s="556" t="s">
        <v>6455</v>
      </c>
      <c r="B9" s="556" t="s">
        <v>6660</v>
      </c>
      <c r="C9" s="556" t="s">
        <v>6589</v>
      </c>
      <c r="D9" s="553" t="s">
        <v>6622</v>
      </c>
      <c r="E9" s="553" t="s">
        <v>6578</v>
      </c>
      <c r="F9" s="193">
        <v>58.88</v>
      </c>
      <c r="G9" s="47" t="s">
        <v>82</v>
      </c>
      <c r="H9" s="41">
        <v>1790328.52</v>
      </c>
      <c r="I9" s="80" t="s">
        <v>4127</v>
      </c>
      <c r="J9" s="80" t="s">
        <v>4127</v>
      </c>
    </row>
    <row r="10" spans="1:10" s="67" customFormat="1" ht="31.5" customHeight="1" x14ac:dyDescent="0.2">
      <c r="A10" s="556" t="s">
        <v>6576</v>
      </c>
      <c r="B10" s="556" t="s">
        <v>6660</v>
      </c>
      <c r="C10" s="556" t="s">
        <v>6590</v>
      </c>
      <c r="D10" s="553" t="s">
        <v>6621</v>
      </c>
      <c r="E10" s="553" t="s">
        <v>6578</v>
      </c>
      <c r="F10" s="193">
        <v>56.75</v>
      </c>
      <c r="G10" s="47">
        <v>1981</v>
      </c>
      <c r="H10" s="21">
        <v>1726496.78</v>
      </c>
      <c r="I10" s="47" t="s">
        <v>3711</v>
      </c>
      <c r="J10" s="47" t="s">
        <v>3711</v>
      </c>
    </row>
    <row r="11" spans="1:10" s="67" customFormat="1" ht="35.25" customHeight="1" x14ac:dyDescent="0.2">
      <c r="A11" s="556" t="s">
        <v>6577</v>
      </c>
      <c r="B11" s="556" t="s">
        <v>6660</v>
      </c>
      <c r="C11" s="556" t="s">
        <v>6591</v>
      </c>
      <c r="D11" s="553" t="s">
        <v>6620</v>
      </c>
      <c r="E11" s="18" t="s">
        <v>3735</v>
      </c>
      <c r="F11" s="194">
        <v>37.619999999999997</v>
      </c>
      <c r="G11" s="47">
        <v>1981</v>
      </c>
      <c r="H11" s="21">
        <v>1142892.23</v>
      </c>
      <c r="I11" s="47" t="s">
        <v>3803</v>
      </c>
      <c r="J11" s="47" t="s">
        <v>3804</v>
      </c>
    </row>
    <row r="12" spans="1:10" s="5" customFormat="1" ht="41.25" customHeight="1" x14ac:dyDescent="0.2">
      <c r="A12" s="733" t="s">
        <v>2011</v>
      </c>
      <c r="B12" s="733" t="s">
        <v>5638</v>
      </c>
      <c r="C12" s="733" t="s">
        <v>5219</v>
      </c>
      <c r="D12" s="731" t="s">
        <v>6256</v>
      </c>
      <c r="E12" s="731" t="s">
        <v>6579</v>
      </c>
      <c r="F12" s="107">
        <v>529.79999999999995</v>
      </c>
      <c r="G12" s="733">
        <v>1987</v>
      </c>
      <c r="H12" s="41">
        <v>9676301.9600000009</v>
      </c>
      <c r="I12" s="734" t="s">
        <v>3690</v>
      </c>
      <c r="J12" s="734" t="s">
        <v>3690</v>
      </c>
    </row>
    <row r="13" spans="1:10" s="68" customFormat="1" ht="36" customHeight="1" x14ac:dyDescent="0.2">
      <c r="A13" s="544" t="s">
        <v>2012</v>
      </c>
      <c r="B13" s="544" t="s">
        <v>485</v>
      </c>
      <c r="C13" s="556" t="s">
        <v>5221</v>
      </c>
      <c r="D13" s="553" t="s">
        <v>5870</v>
      </c>
      <c r="E13" s="553"/>
      <c r="F13" s="107">
        <v>3348.6</v>
      </c>
      <c r="G13" s="556" t="s">
        <v>161</v>
      </c>
      <c r="H13" s="41">
        <v>14519362.17</v>
      </c>
      <c r="I13" s="544" t="s">
        <v>486</v>
      </c>
      <c r="J13" s="544" t="s">
        <v>486</v>
      </c>
    </row>
    <row r="14" spans="1:10" s="118" customFormat="1" ht="36" customHeight="1" x14ac:dyDescent="0.2">
      <c r="A14" s="556" t="s">
        <v>2013</v>
      </c>
      <c r="B14" s="556" t="s">
        <v>7746</v>
      </c>
      <c r="C14" s="556" t="s">
        <v>7530</v>
      </c>
      <c r="D14" s="18" t="s">
        <v>7747</v>
      </c>
      <c r="E14" s="553" t="s">
        <v>7588</v>
      </c>
      <c r="F14" s="107">
        <v>117.4</v>
      </c>
      <c r="G14" s="556" t="s">
        <v>504</v>
      </c>
      <c r="H14" s="41"/>
      <c r="I14" s="188" t="s">
        <v>8191</v>
      </c>
      <c r="J14" s="188" t="s">
        <v>8191</v>
      </c>
    </row>
    <row r="15" spans="1:10" s="67" customFormat="1" ht="48.75" customHeight="1" x14ac:dyDescent="0.2">
      <c r="A15" s="556" t="s">
        <v>2014</v>
      </c>
      <c r="B15" s="556" t="s">
        <v>2022</v>
      </c>
      <c r="C15" s="556" t="s">
        <v>5222</v>
      </c>
      <c r="D15" s="94" t="s">
        <v>5269</v>
      </c>
      <c r="E15" s="553" t="s">
        <v>5169</v>
      </c>
      <c r="F15" s="107">
        <f>873.1-277.3</f>
        <v>595.79999999999995</v>
      </c>
      <c r="G15" s="556" t="s">
        <v>3644</v>
      </c>
      <c r="H15" s="548">
        <v>23294421.5</v>
      </c>
      <c r="I15" s="556" t="s">
        <v>8192</v>
      </c>
      <c r="J15" s="556" t="s">
        <v>8192</v>
      </c>
    </row>
    <row r="16" spans="1:10" s="67" customFormat="1" ht="38.25" customHeight="1" x14ac:dyDescent="0.2">
      <c r="A16" s="556" t="s">
        <v>2015</v>
      </c>
      <c r="B16" s="556" t="s">
        <v>9524</v>
      </c>
      <c r="C16" s="556" t="s">
        <v>5223</v>
      </c>
      <c r="D16" s="553" t="s">
        <v>5953</v>
      </c>
      <c r="E16" s="553" t="s">
        <v>5954</v>
      </c>
      <c r="F16" s="107">
        <v>454.5</v>
      </c>
      <c r="G16" s="556">
        <v>1962</v>
      </c>
      <c r="H16" s="41">
        <v>13815013.82</v>
      </c>
      <c r="I16" s="556" t="s">
        <v>85</v>
      </c>
      <c r="J16" s="556" t="s">
        <v>85</v>
      </c>
    </row>
    <row r="17" spans="1:10" s="67" customFormat="1" ht="33.75" customHeight="1" x14ac:dyDescent="0.2">
      <c r="A17" s="556" t="s">
        <v>2016</v>
      </c>
      <c r="B17" s="556" t="s">
        <v>9509</v>
      </c>
      <c r="C17" s="556" t="s">
        <v>5223</v>
      </c>
      <c r="D17" s="553" t="s">
        <v>9506</v>
      </c>
      <c r="E17" s="553" t="s">
        <v>177</v>
      </c>
      <c r="F17" s="107">
        <v>195</v>
      </c>
      <c r="G17" s="556">
        <v>1962</v>
      </c>
      <c r="H17" s="41"/>
      <c r="I17" s="556" t="s">
        <v>85</v>
      </c>
      <c r="J17" s="556" t="s">
        <v>85</v>
      </c>
    </row>
    <row r="18" spans="1:10" s="67" customFormat="1" ht="37.5" customHeight="1" x14ac:dyDescent="0.2">
      <c r="A18" s="556" t="s">
        <v>2017</v>
      </c>
      <c r="B18" s="544" t="s">
        <v>9510</v>
      </c>
      <c r="C18" s="544" t="s">
        <v>138</v>
      </c>
      <c r="D18" s="551" t="s">
        <v>5955</v>
      </c>
      <c r="E18" s="551" t="s">
        <v>6261</v>
      </c>
      <c r="F18" s="331">
        <v>757.5</v>
      </c>
      <c r="G18" s="544">
        <v>1992</v>
      </c>
      <c r="H18" s="548">
        <v>19573640.93</v>
      </c>
      <c r="I18" s="544" t="s">
        <v>8962</v>
      </c>
      <c r="J18" s="544" t="s">
        <v>8962</v>
      </c>
    </row>
    <row r="19" spans="1:10" s="57" customFormat="1" ht="23.25" customHeight="1" x14ac:dyDescent="0.2">
      <c r="A19" s="556" t="s">
        <v>3109</v>
      </c>
      <c r="B19" s="10" t="s">
        <v>3445</v>
      </c>
      <c r="C19" s="10" t="s">
        <v>5549</v>
      </c>
      <c r="D19" s="12"/>
      <c r="E19" s="12"/>
      <c r="F19" s="140">
        <v>138.69999999999999</v>
      </c>
      <c r="G19" s="10">
        <v>1985</v>
      </c>
      <c r="H19" s="144"/>
      <c r="I19" s="10" t="s">
        <v>3341</v>
      </c>
      <c r="J19" s="10" t="s">
        <v>3342</v>
      </c>
    </row>
    <row r="20" spans="1:10" s="67" customFormat="1" ht="37.5" customHeight="1" x14ac:dyDescent="0.2">
      <c r="A20" s="556" t="s">
        <v>2018</v>
      </c>
      <c r="B20" s="545" t="s">
        <v>9511</v>
      </c>
      <c r="C20" s="96" t="s">
        <v>7978</v>
      </c>
      <c r="D20" s="94" t="s">
        <v>6369</v>
      </c>
      <c r="E20" s="552" t="s">
        <v>8009</v>
      </c>
      <c r="F20" s="213">
        <f>2455.8-73.1-49.8</f>
        <v>2332.9</v>
      </c>
      <c r="G20" s="545">
        <v>1982</v>
      </c>
      <c r="H20" s="549">
        <v>61319975.310000002</v>
      </c>
      <c r="I20" s="96" t="s">
        <v>8018</v>
      </c>
      <c r="J20" s="96" t="s">
        <v>8018</v>
      </c>
    </row>
    <row r="21" spans="1:10" s="67" customFormat="1" ht="38.25" customHeight="1" x14ac:dyDescent="0.2">
      <c r="A21" s="556" t="s">
        <v>2295</v>
      </c>
      <c r="B21" s="556" t="s">
        <v>489</v>
      </c>
      <c r="C21" s="145"/>
      <c r="D21" s="553"/>
      <c r="E21" s="553" t="s">
        <v>2249</v>
      </c>
      <c r="F21" s="174"/>
      <c r="G21" s="556">
        <v>2006</v>
      </c>
      <c r="H21" s="41"/>
      <c r="I21" s="96" t="s">
        <v>8018</v>
      </c>
      <c r="J21" s="96" t="s">
        <v>7921</v>
      </c>
    </row>
    <row r="22" spans="1:10" s="67" customFormat="1" ht="36" customHeight="1" x14ac:dyDescent="0.2">
      <c r="A22" s="556" t="s">
        <v>2019</v>
      </c>
      <c r="B22" s="556" t="s">
        <v>9510</v>
      </c>
      <c r="C22" s="556" t="s">
        <v>5892</v>
      </c>
      <c r="D22" s="553" t="s">
        <v>5270</v>
      </c>
      <c r="E22" s="553" t="s">
        <v>5255</v>
      </c>
      <c r="F22" s="81">
        <v>1758.7</v>
      </c>
      <c r="G22" s="556" t="s">
        <v>75</v>
      </c>
      <c r="H22" s="41">
        <v>35000000</v>
      </c>
      <c r="I22" s="553" t="s">
        <v>8261</v>
      </c>
      <c r="J22" s="553" t="s">
        <v>8261</v>
      </c>
    </row>
    <row r="23" spans="1:10" s="58" customFormat="1" ht="45.75" customHeight="1" x14ac:dyDescent="0.2">
      <c r="A23" s="556" t="s">
        <v>2020</v>
      </c>
      <c r="B23" s="556" t="s">
        <v>10122</v>
      </c>
      <c r="C23" s="556" t="s">
        <v>5224</v>
      </c>
      <c r="D23" s="553" t="s">
        <v>5271</v>
      </c>
      <c r="E23" s="553" t="s">
        <v>5254</v>
      </c>
      <c r="F23" s="107">
        <f>2817.7-143.5-14.7-15.2-32.2</f>
        <v>2612.1000000000004</v>
      </c>
      <c r="G23" s="556">
        <v>1939</v>
      </c>
      <c r="H23" s="41">
        <v>28971535.050000001</v>
      </c>
      <c r="I23" s="556" t="s">
        <v>2885</v>
      </c>
      <c r="J23" s="556" t="s">
        <v>2885</v>
      </c>
    </row>
    <row r="24" spans="1:10" s="67" customFormat="1" ht="46.5" customHeight="1" x14ac:dyDescent="0.2">
      <c r="A24" s="556" t="s">
        <v>2021</v>
      </c>
      <c r="B24" s="556" t="s">
        <v>9512</v>
      </c>
      <c r="C24" s="96" t="s">
        <v>5225</v>
      </c>
      <c r="D24" s="94" t="s">
        <v>5957</v>
      </c>
      <c r="E24" s="553" t="s">
        <v>5958</v>
      </c>
      <c r="F24" s="107">
        <f>3288.8 -448-816</f>
        <v>2024.8000000000002</v>
      </c>
      <c r="G24" s="556">
        <v>1958</v>
      </c>
      <c r="H24" s="41">
        <v>40682982.210000001</v>
      </c>
      <c r="I24" s="96" t="s">
        <v>93</v>
      </c>
      <c r="J24" s="96" t="s">
        <v>93</v>
      </c>
    </row>
    <row r="25" spans="1:10" ht="47.25" customHeight="1" x14ac:dyDescent="0.2">
      <c r="A25" s="556" t="s">
        <v>2296</v>
      </c>
      <c r="B25" s="31" t="s">
        <v>282</v>
      </c>
      <c r="C25" s="130" t="s">
        <v>5226</v>
      </c>
      <c r="D25" s="128"/>
      <c r="E25" s="12" t="s">
        <v>6653</v>
      </c>
      <c r="F25" s="89">
        <v>448</v>
      </c>
      <c r="G25" s="556">
        <v>1958</v>
      </c>
      <c r="H25" s="41"/>
      <c r="I25" s="556" t="s">
        <v>3731</v>
      </c>
      <c r="J25" s="556" t="s">
        <v>3731</v>
      </c>
    </row>
    <row r="26" spans="1:10" ht="47.25" customHeight="1" x14ac:dyDescent="0.2">
      <c r="A26" s="557" t="s">
        <v>2297</v>
      </c>
      <c r="B26" s="556" t="s">
        <v>282</v>
      </c>
      <c r="C26" s="79" t="s">
        <v>5225</v>
      </c>
      <c r="D26" s="128"/>
      <c r="E26" s="8" t="s">
        <v>6654</v>
      </c>
      <c r="F26" s="33">
        <f>816</f>
        <v>816</v>
      </c>
      <c r="G26" s="557">
        <v>1958</v>
      </c>
      <c r="H26" s="41"/>
      <c r="I26" s="556" t="s">
        <v>3731</v>
      </c>
      <c r="J26" s="556" t="s">
        <v>3731</v>
      </c>
    </row>
    <row r="27" spans="1:10" s="67" customFormat="1" ht="45" customHeight="1" x14ac:dyDescent="0.2">
      <c r="A27" s="556" t="s">
        <v>6932</v>
      </c>
      <c r="B27" s="556" t="s">
        <v>94</v>
      </c>
      <c r="C27" s="130" t="s">
        <v>5226</v>
      </c>
      <c r="D27" s="18"/>
      <c r="E27" s="553" t="s">
        <v>2249</v>
      </c>
      <c r="F27" s="107"/>
      <c r="G27" s="556">
        <v>1978</v>
      </c>
      <c r="H27" s="41"/>
      <c r="I27" s="556" t="s">
        <v>93</v>
      </c>
      <c r="J27" s="556" t="s">
        <v>93</v>
      </c>
    </row>
    <row r="28" spans="1:10" s="67" customFormat="1" ht="48" customHeight="1" x14ac:dyDescent="0.2">
      <c r="A28" s="556" t="s">
        <v>2298</v>
      </c>
      <c r="B28" s="556" t="s">
        <v>5947</v>
      </c>
      <c r="C28" s="556" t="s">
        <v>5225</v>
      </c>
      <c r="D28" s="553" t="s">
        <v>6168</v>
      </c>
      <c r="E28" s="553" t="s">
        <v>177</v>
      </c>
      <c r="F28" s="107">
        <v>171</v>
      </c>
      <c r="G28" s="556">
        <v>1958</v>
      </c>
      <c r="H28" s="41">
        <v>1756614.6</v>
      </c>
      <c r="I28" s="251" t="s">
        <v>10952</v>
      </c>
      <c r="J28" s="251" t="s">
        <v>10952</v>
      </c>
    </row>
    <row r="29" spans="1:10" s="67" customFormat="1" ht="48.75" customHeight="1" x14ac:dyDescent="0.2">
      <c r="A29" s="556" t="s">
        <v>2023</v>
      </c>
      <c r="B29" s="556" t="s">
        <v>9513</v>
      </c>
      <c r="C29" s="556" t="s">
        <v>5227</v>
      </c>
      <c r="D29" s="12" t="s">
        <v>5625</v>
      </c>
      <c r="E29" s="553" t="s">
        <v>177</v>
      </c>
      <c r="F29" s="107">
        <f>1455.3</f>
        <v>1455.3</v>
      </c>
      <c r="G29" s="556">
        <v>1950</v>
      </c>
      <c r="H29" s="41">
        <v>19798439.66</v>
      </c>
      <c r="I29" s="556" t="s">
        <v>96</v>
      </c>
      <c r="J29" s="556" t="s">
        <v>96</v>
      </c>
    </row>
    <row r="30" spans="1:10" s="67" customFormat="1" ht="47.25" customHeight="1" x14ac:dyDescent="0.2">
      <c r="A30" s="556" t="s">
        <v>2024</v>
      </c>
      <c r="B30" s="556" t="s">
        <v>7733</v>
      </c>
      <c r="C30" s="556" t="s">
        <v>5227</v>
      </c>
      <c r="D30" s="12" t="s">
        <v>5625</v>
      </c>
      <c r="E30" s="553" t="s">
        <v>6931</v>
      </c>
      <c r="F30" s="107">
        <f>324</f>
        <v>324</v>
      </c>
      <c r="G30" s="556">
        <v>1990</v>
      </c>
      <c r="H30" s="41"/>
      <c r="I30" s="556" t="s">
        <v>96</v>
      </c>
      <c r="J30" s="556" t="s">
        <v>96</v>
      </c>
    </row>
    <row r="31" spans="1:10" s="67" customFormat="1" ht="49.5" customHeight="1" x14ac:dyDescent="0.2">
      <c r="A31" s="556" t="s">
        <v>2025</v>
      </c>
      <c r="B31" s="556" t="s">
        <v>7681</v>
      </c>
      <c r="C31" s="556" t="s">
        <v>5227</v>
      </c>
      <c r="D31" s="18" t="s">
        <v>7731</v>
      </c>
      <c r="E31" s="553" t="s">
        <v>7659</v>
      </c>
      <c r="F31" s="107">
        <v>43.6</v>
      </c>
      <c r="G31" s="556" t="s">
        <v>488</v>
      </c>
      <c r="H31" s="41">
        <v>168170.43</v>
      </c>
      <c r="I31" s="556" t="s">
        <v>96</v>
      </c>
      <c r="J31" s="556" t="s">
        <v>96</v>
      </c>
    </row>
    <row r="32" spans="1:10" s="67" customFormat="1" ht="46.5" customHeight="1" x14ac:dyDescent="0.2">
      <c r="A32" s="556" t="s">
        <v>2026</v>
      </c>
      <c r="B32" s="556" t="s">
        <v>7680</v>
      </c>
      <c r="C32" s="556" t="s">
        <v>5227</v>
      </c>
      <c r="D32" s="1289" t="s">
        <v>7732</v>
      </c>
      <c r="E32" s="553" t="s">
        <v>60</v>
      </c>
      <c r="F32" s="1318">
        <v>109</v>
      </c>
      <c r="G32" s="556" t="s">
        <v>4096</v>
      </c>
      <c r="H32" s="41">
        <v>420426.08</v>
      </c>
      <c r="I32" s="556" t="s">
        <v>96</v>
      </c>
      <c r="J32" s="556" t="s">
        <v>96</v>
      </c>
    </row>
    <row r="33" spans="1:10" s="67" customFormat="1" ht="48.75" customHeight="1" x14ac:dyDescent="0.2">
      <c r="A33" s="556" t="s">
        <v>2027</v>
      </c>
      <c r="B33" s="556" t="s">
        <v>2030</v>
      </c>
      <c r="C33" s="556" t="s">
        <v>5227</v>
      </c>
      <c r="D33" s="1291"/>
      <c r="E33" s="553" t="s">
        <v>60</v>
      </c>
      <c r="F33" s="1319"/>
      <c r="G33" s="556" t="s">
        <v>4096</v>
      </c>
      <c r="H33" s="41"/>
      <c r="I33" s="556" t="s">
        <v>96</v>
      </c>
      <c r="J33" s="556" t="s">
        <v>96</v>
      </c>
    </row>
    <row r="34" spans="1:10" s="67" customFormat="1" ht="48" customHeight="1" x14ac:dyDescent="0.2">
      <c r="A34" s="556" t="s">
        <v>2028</v>
      </c>
      <c r="B34" s="556" t="s">
        <v>10512</v>
      </c>
      <c r="C34" s="556" t="s">
        <v>5227</v>
      </c>
      <c r="D34" s="553" t="s">
        <v>9788</v>
      </c>
      <c r="E34" s="553" t="s">
        <v>60</v>
      </c>
      <c r="F34" s="107">
        <v>34.799999999999997</v>
      </c>
      <c r="G34" s="556">
        <v>2001</v>
      </c>
      <c r="H34" s="41">
        <v>446182.28</v>
      </c>
      <c r="I34" s="556" t="s">
        <v>96</v>
      </c>
      <c r="J34" s="556" t="s">
        <v>96</v>
      </c>
    </row>
    <row r="35" spans="1:10" ht="48" customHeight="1" x14ac:dyDescent="0.2">
      <c r="A35" s="544" t="s">
        <v>2029</v>
      </c>
      <c r="B35" s="544" t="s">
        <v>9513</v>
      </c>
      <c r="C35" s="96" t="s">
        <v>5228</v>
      </c>
      <c r="D35" s="18" t="s">
        <v>5272</v>
      </c>
      <c r="E35" s="553" t="s">
        <v>5256</v>
      </c>
      <c r="F35" s="107">
        <f>7018.1</f>
        <v>7018.1</v>
      </c>
      <c r="G35" s="556" t="s">
        <v>71</v>
      </c>
      <c r="H35" s="21">
        <v>90000000</v>
      </c>
      <c r="I35" s="96" t="s">
        <v>3046</v>
      </c>
      <c r="J35" s="96" t="s">
        <v>3046</v>
      </c>
    </row>
    <row r="36" spans="1:10" ht="45.75" customHeight="1" x14ac:dyDescent="0.2">
      <c r="A36" s="556" t="s">
        <v>2031</v>
      </c>
      <c r="B36" s="556" t="s">
        <v>9508</v>
      </c>
      <c r="C36" s="556" t="s">
        <v>5228</v>
      </c>
      <c r="D36" s="18" t="s">
        <v>9507</v>
      </c>
      <c r="E36" s="41"/>
      <c r="F36" s="107">
        <v>214</v>
      </c>
      <c r="G36" s="556">
        <v>1994</v>
      </c>
      <c r="H36" s="41">
        <v>2793596.66</v>
      </c>
      <c r="I36" s="556" t="s">
        <v>3045</v>
      </c>
      <c r="J36" s="556" t="s">
        <v>3045</v>
      </c>
    </row>
    <row r="37" spans="1:10" ht="47.25" customHeight="1" x14ac:dyDescent="0.2">
      <c r="A37" s="556" t="s">
        <v>2032</v>
      </c>
      <c r="B37" s="556" t="s">
        <v>9513</v>
      </c>
      <c r="C37" s="556" t="s">
        <v>5216</v>
      </c>
      <c r="D37" s="553" t="s">
        <v>5273</v>
      </c>
      <c r="E37" s="553" t="s">
        <v>5257</v>
      </c>
      <c r="F37" s="107">
        <f>5264.7</f>
        <v>5264.7</v>
      </c>
      <c r="G37" s="556" t="s">
        <v>160</v>
      </c>
      <c r="H37" s="41">
        <v>75000000</v>
      </c>
      <c r="I37" s="556" t="s">
        <v>3044</v>
      </c>
      <c r="J37" s="556" t="s">
        <v>3044</v>
      </c>
    </row>
    <row r="38" spans="1:10" ht="46.5" customHeight="1" x14ac:dyDescent="0.2">
      <c r="A38" s="556" t="s">
        <v>2033</v>
      </c>
      <c r="B38" s="556" t="s">
        <v>9514</v>
      </c>
      <c r="C38" s="556" t="s">
        <v>5216</v>
      </c>
      <c r="D38" s="18" t="s">
        <v>7904</v>
      </c>
      <c r="E38" s="553" t="s">
        <v>7682</v>
      </c>
      <c r="F38" s="107">
        <v>98.6</v>
      </c>
      <c r="G38" s="556">
        <v>1989</v>
      </c>
      <c r="H38" s="41">
        <v>1865736.81</v>
      </c>
      <c r="I38" s="556" t="s">
        <v>3044</v>
      </c>
      <c r="J38" s="556" t="s">
        <v>3044</v>
      </c>
    </row>
    <row r="39" spans="1:10" ht="43.5" customHeight="1" x14ac:dyDescent="0.2">
      <c r="A39" s="556" t="s">
        <v>2034</v>
      </c>
      <c r="B39" s="556" t="s">
        <v>9508</v>
      </c>
      <c r="C39" s="556" t="s">
        <v>5216</v>
      </c>
      <c r="D39" s="18" t="s">
        <v>7734</v>
      </c>
      <c r="E39" s="553" t="s">
        <v>177</v>
      </c>
      <c r="F39" s="107">
        <v>105.2</v>
      </c>
      <c r="G39" s="556">
        <v>1989</v>
      </c>
      <c r="H39" s="41">
        <v>1990623.86</v>
      </c>
      <c r="I39" s="556" t="s">
        <v>3044</v>
      </c>
      <c r="J39" s="556" t="s">
        <v>3044</v>
      </c>
    </row>
    <row r="40" spans="1:10" ht="29.25" customHeight="1" x14ac:dyDescent="0.2">
      <c r="A40" s="556" t="s">
        <v>2035</v>
      </c>
      <c r="B40" s="557" t="s">
        <v>3389</v>
      </c>
      <c r="C40" s="47" t="s">
        <v>5217</v>
      </c>
      <c r="D40" s="553"/>
      <c r="E40" s="31" t="s">
        <v>3049</v>
      </c>
      <c r="F40" s="107">
        <f>3918.8-87.2+813-274.9-408.2-307.6</f>
        <v>3653.900000000001</v>
      </c>
      <c r="G40" s="557">
        <v>1992</v>
      </c>
      <c r="H40" s="21"/>
      <c r="I40" s="557" t="s">
        <v>3094</v>
      </c>
      <c r="J40" s="557" t="s">
        <v>3094</v>
      </c>
    </row>
    <row r="41" spans="1:10" ht="21.75" customHeight="1" x14ac:dyDescent="0.2">
      <c r="A41" s="556" t="s">
        <v>2299</v>
      </c>
      <c r="B41" s="1327" t="s">
        <v>3585</v>
      </c>
      <c r="C41" s="1328"/>
      <c r="D41" s="110" t="s">
        <v>8296</v>
      </c>
      <c r="E41" s="87" t="s">
        <v>3049</v>
      </c>
      <c r="F41" s="91"/>
      <c r="G41" s="8"/>
      <c r="H41" s="41">
        <v>1382010.5</v>
      </c>
      <c r="I41" s="8"/>
      <c r="J41" s="8"/>
    </row>
    <row r="42" spans="1:10" s="67" customFormat="1" ht="72.75" customHeight="1" x14ac:dyDescent="0.2">
      <c r="A42" s="556" t="s">
        <v>3100</v>
      </c>
      <c r="B42" s="31" t="s">
        <v>281</v>
      </c>
      <c r="C42" s="558" t="s">
        <v>5217</v>
      </c>
      <c r="D42" s="18" t="s">
        <v>6043</v>
      </c>
      <c r="E42" s="191" t="s">
        <v>3144</v>
      </c>
      <c r="F42" s="119">
        <f>91.2</f>
        <v>91.2</v>
      </c>
      <c r="G42" s="18">
        <v>1992</v>
      </c>
      <c r="H42" s="41">
        <v>288876.90999999997</v>
      </c>
      <c r="I42" s="32" t="s">
        <v>74</v>
      </c>
      <c r="J42" s="32" t="s">
        <v>74</v>
      </c>
    </row>
    <row r="43" spans="1:10" s="83" customFormat="1" ht="59.25" customHeight="1" x14ac:dyDescent="0.2">
      <c r="A43" s="31" t="s">
        <v>3565</v>
      </c>
      <c r="B43" s="31" t="s">
        <v>2278</v>
      </c>
      <c r="C43" s="738" t="s">
        <v>5217</v>
      </c>
      <c r="D43" s="12" t="s">
        <v>8072</v>
      </c>
      <c r="E43" s="31" t="s">
        <v>3791</v>
      </c>
      <c r="F43" s="89">
        <f>40-17.7</f>
        <v>22.3</v>
      </c>
      <c r="G43" s="18" t="s">
        <v>75</v>
      </c>
      <c r="H43" s="41"/>
      <c r="I43" s="32" t="s">
        <v>11605</v>
      </c>
      <c r="J43" s="580" t="s">
        <v>13438</v>
      </c>
    </row>
    <row r="44" spans="1:10" s="83" customFormat="1" ht="40.5" customHeight="1" x14ac:dyDescent="0.2">
      <c r="A44" s="31" t="s">
        <v>3566</v>
      </c>
      <c r="B44" s="31" t="s">
        <v>2278</v>
      </c>
      <c r="C44" s="560" t="s">
        <v>5217</v>
      </c>
      <c r="D44" s="12" t="s">
        <v>8295</v>
      </c>
      <c r="E44" s="31" t="s">
        <v>3081</v>
      </c>
      <c r="F44" s="89">
        <v>17.7</v>
      </c>
      <c r="G44" s="94" t="s">
        <v>75</v>
      </c>
      <c r="H44" s="548">
        <v>56064.93</v>
      </c>
      <c r="I44" s="32" t="s">
        <v>11560</v>
      </c>
      <c r="J44" s="32" t="s">
        <v>11560</v>
      </c>
    </row>
    <row r="45" spans="1:10" s="5" customFormat="1" ht="48" customHeight="1" x14ac:dyDescent="0.2">
      <c r="A45" s="31" t="s">
        <v>3567</v>
      </c>
      <c r="B45" s="31" t="s">
        <v>281</v>
      </c>
      <c r="C45" s="558" t="s">
        <v>11558</v>
      </c>
      <c r="D45" s="94" t="s">
        <v>7481</v>
      </c>
      <c r="E45" s="135" t="s">
        <v>3081</v>
      </c>
      <c r="F45" s="119">
        <v>346.4</v>
      </c>
      <c r="G45" s="94" t="s">
        <v>75</v>
      </c>
      <c r="H45" s="1312">
        <v>3478031.36</v>
      </c>
      <c r="I45" s="32" t="s">
        <v>11560</v>
      </c>
      <c r="J45" s="32" t="s">
        <v>11560</v>
      </c>
    </row>
    <row r="46" spans="1:10" s="5" customFormat="1" ht="48" customHeight="1" x14ac:dyDescent="0.2">
      <c r="A46" s="31" t="s">
        <v>3568</v>
      </c>
      <c r="B46" s="31" t="s">
        <v>281</v>
      </c>
      <c r="C46" s="558" t="s">
        <v>11559</v>
      </c>
      <c r="D46" s="94" t="s">
        <v>7481</v>
      </c>
      <c r="E46" s="135" t="s">
        <v>3081</v>
      </c>
      <c r="F46" s="89">
        <v>19.3</v>
      </c>
      <c r="G46" s="18" t="s">
        <v>75</v>
      </c>
      <c r="H46" s="1329"/>
      <c r="I46" s="32" t="s">
        <v>11896</v>
      </c>
      <c r="J46" s="32" t="s">
        <v>11904</v>
      </c>
    </row>
    <row r="47" spans="1:10" s="5" customFormat="1" ht="48" customHeight="1" x14ac:dyDescent="0.2">
      <c r="A47" s="31" t="s">
        <v>3569</v>
      </c>
      <c r="B47" s="31" t="s">
        <v>2278</v>
      </c>
      <c r="C47" s="558" t="s">
        <v>11559</v>
      </c>
      <c r="D47" s="94" t="s">
        <v>7481</v>
      </c>
      <c r="E47" s="135" t="s">
        <v>3081</v>
      </c>
      <c r="F47" s="89">
        <v>7</v>
      </c>
      <c r="G47" s="18" t="s">
        <v>75</v>
      </c>
      <c r="H47" s="1329"/>
      <c r="I47" s="32" t="s">
        <v>11561</v>
      </c>
      <c r="J47" s="32" t="s">
        <v>11561</v>
      </c>
    </row>
    <row r="48" spans="1:10" s="5" customFormat="1" ht="48" customHeight="1" x14ac:dyDescent="0.2">
      <c r="A48" s="31" t="s">
        <v>5938</v>
      </c>
      <c r="B48" s="31" t="s">
        <v>281</v>
      </c>
      <c r="C48" s="558" t="s">
        <v>11559</v>
      </c>
      <c r="D48" s="94" t="s">
        <v>7481</v>
      </c>
      <c r="E48" s="135" t="s">
        <v>3081</v>
      </c>
      <c r="F48" s="89">
        <v>6</v>
      </c>
      <c r="G48" s="94" t="s">
        <v>75</v>
      </c>
      <c r="H48" s="1329"/>
      <c r="I48" s="32" t="s">
        <v>3096</v>
      </c>
      <c r="J48" s="32" t="s">
        <v>10513</v>
      </c>
    </row>
    <row r="49" spans="1:10" s="5" customFormat="1" ht="36" customHeight="1" x14ac:dyDescent="0.2">
      <c r="A49" s="31" t="s">
        <v>10516</v>
      </c>
      <c r="B49" s="31" t="s">
        <v>281</v>
      </c>
      <c r="C49" s="558" t="s">
        <v>11559</v>
      </c>
      <c r="D49" s="94" t="s">
        <v>7481</v>
      </c>
      <c r="E49" s="135" t="s">
        <v>3081</v>
      </c>
      <c r="F49" s="89">
        <v>2</v>
      </c>
      <c r="G49" s="94" t="s">
        <v>75</v>
      </c>
      <c r="H49" s="1329"/>
      <c r="I49" s="32" t="s">
        <v>3096</v>
      </c>
      <c r="J49" s="32" t="s">
        <v>10514</v>
      </c>
    </row>
    <row r="50" spans="1:10" s="5" customFormat="1" ht="87.75" customHeight="1" x14ac:dyDescent="0.2">
      <c r="A50" s="31" t="s">
        <v>10517</v>
      </c>
      <c r="B50" s="31" t="s">
        <v>2278</v>
      </c>
      <c r="C50" s="558" t="s">
        <v>11559</v>
      </c>
      <c r="D50" s="94" t="s">
        <v>7481</v>
      </c>
      <c r="E50" s="135" t="s">
        <v>3081</v>
      </c>
      <c r="F50" s="89">
        <v>40</v>
      </c>
      <c r="G50" s="94" t="s">
        <v>75</v>
      </c>
      <c r="H50" s="1313"/>
      <c r="I50" s="32" t="s">
        <v>11562</v>
      </c>
      <c r="J50" s="580" t="s">
        <v>11897</v>
      </c>
    </row>
    <row r="51" spans="1:10" s="5" customFormat="1" ht="38.25" customHeight="1" x14ac:dyDescent="0.2">
      <c r="A51" s="31" t="s">
        <v>10518</v>
      </c>
      <c r="B51" s="31" t="s">
        <v>3095</v>
      </c>
      <c r="C51" s="558" t="s">
        <v>9333</v>
      </c>
      <c r="D51" s="128"/>
      <c r="E51" s="224"/>
      <c r="F51" s="89">
        <v>40</v>
      </c>
      <c r="G51" s="128"/>
      <c r="H51" s="225"/>
      <c r="I51" s="32" t="s">
        <v>10515</v>
      </c>
      <c r="J51" s="32"/>
    </row>
    <row r="52" spans="1:10" ht="32.25" customHeight="1" x14ac:dyDescent="0.2">
      <c r="A52" s="556" t="s">
        <v>2715</v>
      </c>
      <c r="B52" s="1327" t="s">
        <v>3531</v>
      </c>
      <c r="C52" s="1328"/>
      <c r="D52" s="88" t="s">
        <v>9528</v>
      </c>
      <c r="E52" s="87" t="s">
        <v>3049</v>
      </c>
      <c r="F52" s="219"/>
      <c r="G52" s="557"/>
      <c r="H52" s="21" t="s">
        <v>10720</v>
      </c>
      <c r="I52" s="556"/>
      <c r="J52" s="557"/>
    </row>
    <row r="53" spans="1:10" s="5" customFormat="1" ht="45.75" customHeight="1" x14ac:dyDescent="0.2">
      <c r="A53" s="31" t="s">
        <v>3570</v>
      </c>
      <c r="B53" s="135" t="s">
        <v>9579</v>
      </c>
      <c r="C53" s="135" t="s">
        <v>5217</v>
      </c>
      <c r="D53" s="18" t="s">
        <v>9933</v>
      </c>
      <c r="E53" s="31" t="s">
        <v>3147</v>
      </c>
      <c r="F53" s="89">
        <f>630.2-260.6</f>
        <v>369.6</v>
      </c>
      <c r="G53" s="18" t="s">
        <v>75</v>
      </c>
      <c r="H53" s="41">
        <f>1996164.8/630.2*369.6</f>
        <v>1170711.694827039</v>
      </c>
      <c r="I53" s="32" t="s">
        <v>9648</v>
      </c>
      <c r="J53" s="32" t="s">
        <v>9648</v>
      </c>
    </row>
    <row r="54" spans="1:10" s="5" customFormat="1" ht="48" customHeight="1" x14ac:dyDescent="0.2">
      <c r="A54" s="31" t="s">
        <v>3571</v>
      </c>
      <c r="B54" s="31" t="s">
        <v>281</v>
      </c>
      <c r="C54" s="31" t="s">
        <v>5217</v>
      </c>
      <c r="D54" s="18" t="s">
        <v>8070</v>
      </c>
      <c r="E54" s="31" t="s">
        <v>3147</v>
      </c>
      <c r="F54" s="89">
        <v>34.6</v>
      </c>
      <c r="G54" s="18" t="s">
        <v>75</v>
      </c>
      <c r="H54" s="41"/>
      <c r="I54" s="30" t="s">
        <v>10519</v>
      </c>
      <c r="J54" s="30" t="s">
        <v>13139</v>
      </c>
    </row>
    <row r="55" spans="1:10" s="185" customFormat="1" ht="84" customHeight="1" x14ac:dyDescent="0.2">
      <c r="A55" s="31" t="s">
        <v>3572</v>
      </c>
      <c r="B55" s="215" t="s">
        <v>281</v>
      </c>
      <c r="C55" s="215" t="s">
        <v>5217</v>
      </c>
      <c r="D55" s="18" t="s">
        <v>8070</v>
      </c>
      <c r="E55" s="31" t="s">
        <v>3147</v>
      </c>
      <c r="F55" s="89">
        <v>18.8</v>
      </c>
      <c r="G55" s="18" t="s">
        <v>75</v>
      </c>
      <c r="H55" s="41"/>
      <c r="I55" s="30" t="s">
        <v>10519</v>
      </c>
      <c r="J55" s="30" t="s">
        <v>14258</v>
      </c>
    </row>
    <row r="56" spans="1:10" s="57" customFormat="1" ht="56.25" customHeight="1" x14ac:dyDescent="0.2">
      <c r="A56" s="31" t="s">
        <v>3573</v>
      </c>
      <c r="B56" s="31" t="s">
        <v>281</v>
      </c>
      <c r="C56" s="31" t="s">
        <v>5217</v>
      </c>
      <c r="D56" s="18" t="s">
        <v>8193</v>
      </c>
      <c r="E56" s="191" t="s">
        <v>3147</v>
      </c>
      <c r="F56" s="202">
        <f>49.5+13.6</f>
        <v>63.1</v>
      </c>
      <c r="G56" s="18">
        <v>1992</v>
      </c>
      <c r="H56" s="41"/>
      <c r="I56" s="32" t="s">
        <v>8152</v>
      </c>
      <c r="J56" s="32" t="s">
        <v>8150</v>
      </c>
    </row>
    <row r="57" spans="1:10" s="67" customFormat="1" ht="35.25" customHeight="1" x14ac:dyDescent="0.2">
      <c r="A57" s="31" t="s">
        <v>3723</v>
      </c>
      <c r="B57" s="215" t="s">
        <v>281</v>
      </c>
      <c r="C57" s="215" t="s">
        <v>5217</v>
      </c>
      <c r="D57" s="18" t="s">
        <v>8070</v>
      </c>
      <c r="E57" s="31" t="s">
        <v>3147</v>
      </c>
      <c r="F57" s="89">
        <v>80.3</v>
      </c>
      <c r="G57" s="18">
        <v>1992</v>
      </c>
      <c r="H57" s="41"/>
      <c r="I57" s="32" t="s">
        <v>3724</v>
      </c>
      <c r="J57" s="32" t="s">
        <v>3724</v>
      </c>
    </row>
    <row r="58" spans="1:10" ht="26.25" customHeight="1" x14ac:dyDescent="0.2">
      <c r="A58" s="31" t="s">
        <v>2716</v>
      </c>
      <c r="B58" s="1327" t="s">
        <v>3532</v>
      </c>
      <c r="C58" s="1328"/>
      <c r="D58" s="88" t="s">
        <v>9932</v>
      </c>
      <c r="E58" s="100" t="s">
        <v>3792</v>
      </c>
      <c r="F58" s="91"/>
      <c r="G58" s="101"/>
      <c r="H58" s="396"/>
      <c r="I58" s="8"/>
      <c r="J58" s="8"/>
    </row>
    <row r="59" spans="1:10" s="5" customFormat="1" ht="44.25" customHeight="1" x14ac:dyDescent="0.2">
      <c r="A59" s="31" t="s">
        <v>3574</v>
      </c>
      <c r="B59" s="135" t="s">
        <v>9579</v>
      </c>
      <c r="C59" s="31" t="s">
        <v>5217</v>
      </c>
      <c r="D59" s="18" t="s">
        <v>9933</v>
      </c>
      <c r="E59" s="553" t="s">
        <v>3146</v>
      </c>
      <c r="F59" s="89">
        <f>630.2-369.6</f>
        <v>260.60000000000002</v>
      </c>
      <c r="G59" s="553" t="s">
        <v>75</v>
      </c>
      <c r="H59" s="41">
        <f>1996164.8/630.2*260.6</f>
        <v>825453.1051729609</v>
      </c>
      <c r="I59" s="32" t="s">
        <v>9648</v>
      </c>
      <c r="J59" s="32" t="s">
        <v>9648</v>
      </c>
    </row>
    <row r="60" spans="1:10" s="5" customFormat="1" ht="59.25" customHeight="1" x14ac:dyDescent="0.2">
      <c r="A60" s="31" t="s">
        <v>5157</v>
      </c>
      <c r="B60" s="31" t="s">
        <v>281</v>
      </c>
      <c r="C60" s="31" t="s">
        <v>9931</v>
      </c>
      <c r="D60" s="18" t="s">
        <v>8070</v>
      </c>
      <c r="E60" s="553" t="s">
        <v>3146</v>
      </c>
      <c r="F60" s="193">
        <f>45.4-10.6-22.6</f>
        <v>12.199999999999996</v>
      </c>
      <c r="G60" s="553" t="s">
        <v>75</v>
      </c>
      <c r="H60" s="41"/>
      <c r="I60" s="553" t="s">
        <v>9463</v>
      </c>
      <c r="J60" s="553" t="s">
        <v>9463</v>
      </c>
    </row>
    <row r="61" spans="1:10" s="5" customFormat="1" ht="59.25" customHeight="1" x14ac:dyDescent="0.2">
      <c r="A61" s="31" t="s">
        <v>11606</v>
      </c>
      <c r="B61" s="31" t="s">
        <v>281</v>
      </c>
      <c r="C61" s="31" t="s">
        <v>9929</v>
      </c>
      <c r="D61" s="18" t="s">
        <v>8070</v>
      </c>
      <c r="E61" s="553" t="s">
        <v>3146</v>
      </c>
      <c r="F61" s="193">
        <v>10.6</v>
      </c>
      <c r="G61" s="553" t="s">
        <v>75</v>
      </c>
      <c r="H61" s="41"/>
      <c r="I61" s="553" t="s">
        <v>9463</v>
      </c>
      <c r="J61" s="553" t="s">
        <v>9463</v>
      </c>
    </row>
    <row r="62" spans="1:10" s="5" customFormat="1" ht="59.25" customHeight="1" x14ac:dyDescent="0.2">
      <c r="A62" s="31" t="s">
        <v>11607</v>
      </c>
      <c r="B62" s="31" t="s">
        <v>281</v>
      </c>
      <c r="C62" s="31" t="s">
        <v>9930</v>
      </c>
      <c r="D62" s="18" t="s">
        <v>8070</v>
      </c>
      <c r="E62" s="553" t="s">
        <v>3146</v>
      </c>
      <c r="F62" s="193">
        <v>22.6</v>
      </c>
      <c r="G62" s="553" t="s">
        <v>75</v>
      </c>
      <c r="H62" s="41"/>
      <c r="I62" s="553" t="s">
        <v>9463</v>
      </c>
      <c r="J62" s="553" t="s">
        <v>9463</v>
      </c>
    </row>
    <row r="63" spans="1:10" s="5" customFormat="1" ht="58.5" customHeight="1" x14ac:dyDescent="0.2">
      <c r="A63" s="31" t="s">
        <v>5158</v>
      </c>
      <c r="B63" s="31" t="s">
        <v>281</v>
      </c>
      <c r="C63" s="31" t="s">
        <v>5217</v>
      </c>
      <c r="D63" s="18" t="s">
        <v>8070</v>
      </c>
      <c r="E63" s="553" t="s">
        <v>3146</v>
      </c>
      <c r="F63" s="193">
        <f>10.9</f>
        <v>10.9</v>
      </c>
      <c r="G63" s="553" t="s">
        <v>75</v>
      </c>
      <c r="H63" s="41"/>
      <c r="I63" s="553" t="s">
        <v>9463</v>
      </c>
      <c r="J63" s="553" t="s">
        <v>9463</v>
      </c>
    </row>
    <row r="64" spans="1:10" s="5" customFormat="1" ht="47.25" customHeight="1" x14ac:dyDescent="0.2">
      <c r="A64" s="31" t="s">
        <v>5159</v>
      </c>
      <c r="B64" s="31" t="s">
        <v>281</v>
      </c>
      <c r="C64" s="31" t="s">
        <v>9357</v>
      </c>
      <c r="D64" s="18" t="s">
        <v>8070</v>
      </c>
      <c r="E64" s="31" t="s">
        <v>3146</v>
      </c>
      <c r="F64" s="193">
        <v>16.8</v>
      </c>
      <c r="G64" s="18" t="s">
        <v>75</v>
      </c>
      <c r="H64" s="41"/>
      <c r="I64" s="17" t="s">
        <v>3698</v>
      </c>
      <c r="J64" s="17" t="s">
        <v>5944</v>
      </c>
    </row>
    <row r="65" spans="1:10" s="212" customFormat="1" ht="37.5" customHeight="1" x14ac:dyDescent="0.2">
      <c r="A65" s="1320" t="s">
        <v>3575</v>
      </c>
      <c r="B65" s="31" t="s">
        <v>281</v>
      </c>
      <c r="C65" s="31" t="s">
        <v>11608</v>
      </c>
      <c r="D65" s="18" t="s">
        <v>8070</v>
      </c>
      <c r="E65" s="31" t="s">
        <v>3099</v>
      </c>
      <c r="F65" s="41">
        <f>14.5-7.25</f>
        <v>7.25</v>
      </c>
      <c r="G65" s="17" t="s">
        <v>75</v>
      </c>
      <c r="H65" s="174"/>
      <c r="I65" s="17" t="s">
        <v>11611</v>
      </c>
      <c r="J65" s="32" t="s">
        <v>13447</v>
      </c>
    </row>
    <row r="66" spans="1:10" s="212" customFormat="1" ht="41.25" customHeight="1" x14ac:dyDescent="0.2">
      <c r="A66" s="1321"/>
      <c r="B66" s="31" t="s">
        <v>281</v>
      </c>
      <c r="C66" s="31" t="s">
        <v>11609</v>
      </c>
      <c r="D66" s="18" t="s">
        <v>8070</v>
      </c>
      <c r="E66" s="31" t="s">
        <v>3099</v>
      </c>
      <c r="F66" s="41">
        <v>7.25</v>
      </c>
      <c r="G66" s="17" t="s">
        <v>75</v>
      </c>
      <c r="H66" s="174"/>
      <c r="I66" s="17" t="s">
        <v>11610</v>
      </c>
      <c r="J66" s="32" t="s">
        <v>13448</v>
      </c>
    </row>
    <row r="67" spans="1:10" s="212" customFormat="1" ht="68.25" customHeight="1" x14ac:dyDescent="0.2">
      <c r="A67" s="31" t="s">
        <v>3576</v>
      </c>
      <c r="B67" s="31" t="s">
        <v>281</v>
      </c>
      <c r="C67" s="31" t="s">
        <v>5217</v>
      </c>
      <c r="D67" s="18" t="s">
        <v>8070</v>
      </c>
      <c r="E67" s="31" t="s">
        <v>3099</v>
      </c>
      <c r="F67" s="193">
        <v>14.2</v>
      </c>
      <c r="G67" s="17" t="s">
        <v>75</v>
      </c>
      <c r="H67" s="41"/>
      <c r="I67" s="17" t="s">
        <v>5160</v>
      </c>
      <c r="J67" s="17" t="s">
        <v>13453</v>
      </c>
    </row>
    <row r="68" spans="1:10" s="5" customFormat="1" ht="45.75" customHeight="1" x14ac:dyDescent="0.2">
      <c r="A68" s="31" t="s">
        <v>4135</v>
      </c>
      <c r="B68" s="31" t="s">
        <v>281</v>
      </c>
      <c r="C68" s="31" t="s">
        <v>5217</v>
      </c>
      <c r="D68" s="553" t="s">
        <v>8193</v>
      </c>
      <c r="E68" s="31" t="s">
        <v>3099</v>
      </c>
      <c r="F68" s="193">
        <v>68.3</v>
      </c>
      <c r="G68" s="18" t="s">
        <v>75</v>
      </c>
      <c r="H68" s="41"/>
      <c r="I68" s="32" t="s">
        <v>5139</v>
      </c>
      <c r="J68" s="32" t="s">
        <v>5139</v>
      </c>
    </row>
    <row r="69" spans="1:10" s="5" customFormat="1" ht="36" customHeight="1" x14ac:dyDescent="0.2">
      <c r="A69" s="31" t="s">
        <v>4136</v>
      </c>
      <c r="B69" s="31" t="s">
        <v>281</v>
      </c>
      <c r="C69" s="31" t="s">
        <v>5217</v>
      </c>
      <c r="D69" s="553" t="s">
        <v>8193</v>
      </c>
      <c r="E69" s="31" t="s">
        <v>3146</v>
      </c>
      <c r="F69" s="193">
        <v>10.5</v>
      </c>
      <c r="G69" s="18" t="s">
        <v>75</v>
      </c>
      <c r="H69" s="41"/>
      <c r="I69" s="17" t="s">
        <v>6207</v>
      </c>
      <c r="J69" s="17" t="s">
        <v>11921</v>
      </c>
    </row>
    <row r="70" spans="1:10" s="212" customFormat="1" ht="78" customHeight="1" x14ac:dyDescent="0.2">
      <c r="A70" s="31" t="s">
        <v>4137</v>
      </c>
      <c r="B70" s="31" t="s">
        <v>281</v>
      </c>
      <c r="C70" s="31" t="s">
        <v>5217</v>
      </c>
      <c r="D70" s="31" t="s">
        <v>8070</v>
      </c>
      <c r="E70" s="31" t="s">
        <v>3146</v>
      </c>
      <c r="F70" s="193">
        <v>22.1</v>
      </c>
      <c r="G70" s="18" t="s">
        <v>75</v>
      </c>
      <c r="H70" s="41"/>
      <c r="I70" s="32" t="s">
        <v>3097</v>
      </c>
      <c r="J70" s="731" t="s">
        <v>13490</v>
      </c>
    </row>
    <row r="71" spans="1:10" s="5" customFormat="1" ht="69" customHeight="1" x14ac:dyDescent="0.2">
      <c r="A71" s="31" t="s">
        <v>4138</v>
      </c>
      <c r="B71" s="31" t="s">
        <v>281</v>
      </c>
      <c r="C71" s="31" t="s">
        <v>5217</v>
      </c>
      <c r="D71" s="31" t="s">
        <v>8070</v>
      </c>
      <c r="E71" s="31" t="s">
        <v>3146</v>
      </c>
      <c r="F71" s="193">
        <v>11.3</v>
      </c>
      <c r="G71" s="18" t="s">
        <v>75</v>
      </c>
      <c r="H71" s="41"/>
      <c r="I71" s="30" t="s">
        <v>10520</v>
      </c>
      <c r="J71" s="345" t="s">
        <v>13140</v>
      </c>
    </row>
    <row r="72" spans="1:10" s="212" customFormat="1" ht="69.75" customHeight="1" x14ac:dyDescent="0.2">
      <c r="A72" s="31" t="s">
        <v>4152</v>
      </c>
      <c r="B72" s="31" t="s">
        <v>281</v>
      </c>
      <c r="C72" s="31" t="s">
        <v>5217</v>
      </c>
      <c r="D72" s="31" t="s">
        <v>8070</v>
      </c>
      <c r="E72" s="31" t="s">
        <v>6205</v>
      </c>
      <c r="F72" s="193">
        <v>22.9</v>
      </c>
      <c r="G72" s="18" t="s">
        <v>75</v>
      </c>
      <c r="H72" s="41"/>
      <c r="I72" s="381" t="s">
        <v>13012</v>
      </c>
      <c r="J72" s="30" t="s">
        <v>13013</v>
      </c>
    </row>
    <row r="73" spans="1:10" s="212" customFormat="1" ht="45.75" customHeight="1" x14ac:dyDescent="0.2">
      <c r="A73" s="31" t="s">
        <v>4156</v>
      </c>
      <c r="B73" s="31" t="s">
        <v>281</v>
      </c>
      <c r="C73" s="31" t="s">
        <v>5217</v>
      </c>
      <c r="D73" s="31" t="s">
        <v>8070</v>
      </c>
      <c r="E73" s="31" t="s">
        <v>3146</v>
      </c>
      <c r="F73" s="193">
        <v>18.3</v>
      </c>
      <c r="G73" s="18" t="s">
        <v>75</v>
      </c>
      <c r="H73" s="41"/>
      <c r="I73" s="345" t="s">
        <v>5749</v>
      </c>
      <c r="J73" s="345" t="s">
        <v>13141</v>
      </c>
    </row>
    <row r="74" spans="1:10" s="5" customFormat="1" ht="46.5" customHeight="1" x14ac:dyDescent="0.2">
      <c r="A74" s="31" t="s">
        <v>5608</v>
      </c>
      <c r="B74" s="31" t="s">
        <v>281</v>
      </c>
      <c r="C74" s="31" t="s">
        <v>5217</v>
      </c>
      <c r="D74" s="31" t="s">
        <v>8070</v>
      </c>
      <c r="E74" s="31" t="s">
        <v>3146</v>
      </c>
      <c r="F74" s="41">
        <v>54.5</v>
      </c>
      <c r="G74" s="18" t="s">
        <v>2658</v>
      </c>
      <c r="H74" s="41"/>
      <c r="I74" s="553" t="s">
        <v>5749</v>
      </c>
      <c r="J74" s="553" t="s">
        <v>5749</v>
      </c>
    </row>
    <row r="75" spans="1:10" ht="22.5" customHeight="1" x14ac:dyDescent="0.2">
      <c r="A75" s="17" t="s">
        <v>2717</v>
      </c>
      <c r="B75" s="1327" t="s">
        <v>3533</v>
      </c>
      <c r="C75" s="1328"/>
      <c r="D75" s="397" t="s">
        <v>8071</v>
      </c>
      <c r="E75" s="87" t="s">
        <v>3049</v>
      </c>
      <c r="F75" s="366" t="s">
        <v>8068</v>
      </c>
      <c r="G75" s="557"/>
      <c r="H75" s="21">
        <v>6795879.0199999996</v>
      </c>
      <c r="I75" s="556"/>
      <c r="J75" s="557"/>
    </row>
    <row r="76" spans="1:10" s="66" customFormat="1" ht="39.75" customHeight="1" x14ac:dyDescent="0.2">
      <c r="A76" s="17" t="s">
        <v>3577</v>
      </c>
      <c r="B76" s="31" t="s">
        <v>281</v>
      </c>
      <c r="C76" s="31" t="s">
        <v>10567</v>
      </c>
      <c r="D76" s="191" t="s">
        <v>8071</v>
      </c>
      <c r="E76" s="191" t="s">
        <v>3098</v>
      </c>
      <c r="F76" s="165">
        <f>83.2-17.1</f>
        <v>66.099999999999994</v>
      </c>
      <c r="G76" s="18">
        <v>1992</v>
      </c>
      <c r="H76" s="41"/>
      <c r="I76" s="30" t="s">
        <v>11917</v>
      </c>
      <c r="J76" s="30" t="s">
        <v>13142</v>
      </c>
    </row>
    <row r="77" spans="1:10" s="57" customFormat="1" ht="69" customHeight="1" x14ac:dyDescent="0.2">
      <c r="A77" s="31" t="s">
        <v>3578</v>
      </c>
      <c r="B77" s="31" t="s">
        <v>281</v>
      </c>
      <c r="C77" s="31" t="s">
        <v>9936</v>
      </c>
      <c r="D77" s="191" t="s">
        <v>8071</v>
      </c>
      <c r="E77" s="191" t="s">
        <v>3098</v>
      </c>
      <c r="F77" s="89">
        <v>29.4</v>
      </c>
      <c r="G77" s="18">
        <v>1992</v>
      </c>
      <c r="H77" s="41"/>
      <c r="I77" s="30" t="s">
        <v>8292</v>
      </c>
      <c r="J77" s="30" t="s">
        <v>13143</v>
      </c>
    </row>
    <row r="78" spans="1:10" s="57" customFormat="1" ht="36" customHeight="1" x14ac:dyDescent="0.2">
      <c r="A78" s="31" t="s">
        <v>3579</v>
      </c>
      <c r="B78" s="31" t="s">
        <v>2278</v>
      </c>
      <c r="C78" s="31" t="s">
        <v>9935</v>
      </c>
      <c r="D78" s="31" t="s">
        <v>8071</v>
      </c>
      <c r="E78" s="31" t="s">
        <v>3098</v>
      </c>
      <c r="F78" s="89">
        <v>52.3</v>
      </c>
      <c r="G78" s="18" t="s">
        <v>75</v>
      </c>
      <c r="H78" s="41"/>
      <c r="I78" s="733" t="s">
        <v>8223</v>
      </c>
      <c r="J78" s="733" t="s">
        <v>13450</v>
      </c>
    </row>
    <row r="79" spans="1:10" s="67" customFormat="1" ht="34.5" customHeight="1" x14ac:dyDescent="0.2">
      <c r="A79" s="31" t="s">
        <v>3580</v>
      </c>
      <c r="B79" s="31" t="s">
        <v>281</v>
      </c>
      <c r="C79" s="31" t="s">
        <v>9937</v>
      </c>
      <c r="D79" s="31" t="s">
        <v>8071</v>
      </c>
      <c r="E79" s="31" t="s">
        <v>3093</v>
      </c>
      <c r="F79" s="89">
        <f>99.5-21-41.6-18-3.6</f>
        <v>15.299999999999999</v>
      </c>
      <c r="G79" s="18" t="s">
        <v>75</v>
      </c>
      <c r="H79" s="41"/>
      <c r="I79" s="734" t="s">
        <v>9439</v>
      </c>
      <c r="J79" s="30" t="s">
        <v>13144</v>
      </c>
    </row>
    <row r="80" spans="1:10" s="67" customFormat="1" ht="59.25" customHeight="1" x14ac:dyDescent="0.2">
      <c r="A80" s="31" t="s">
        <v>3618</v>
      </c>
      <c r="B80" s="31" t="s">
        <v>281</v>
      </c>
      <c r="C80" s="31" t="s">
        <v>9596</v>
      </c>
      <c r="D80" s="31" t="s">
        <v>8071</v>
      </c>
      <c r="E80" s="31" t="s">
        <v>3093</v>
      </c>
      <c r="F80" s="89">
        <v>21</v>
      </c>
      <c r="G80" s="18" t="s">
        <v>75</v>
      </c>
      <c r="H80" s="41"/>
      <c r="I80" s="556" t="s">
        <v>9599</v>
      </c>
      <c r="J80" s="556" t="s">
        <v>9806</v>
      </c>
    </row>
    <row r="81" spans="1:14" s="67" customFormat="1" ht="55.5" customHeight="1" x14ac:dyDescent="0.2">
      <c r="A81" s="31" t="s">
        <v>6784</v>
      </c>
      <c r="B81" s="31" t="s">
        <v>281</v>
      </c>
      <c r="C81" s="31" t="s">
        <v>9934</v>
      </c>
      <c r="D81" s="31" t="s">
        <v>8071</v>
      </c>
      <c r="E81" s="31" t="s">
        <v>3093</v>
      </c>
      <c r="F81" s="89">
        <v>41.6</v>
      </c>
      <c r="G81" s="18" t="s">
        <v>75</v>
      </c>
      <c r="H81" s="41"/>
      <c r="I81" s="556" t="s">
        <v>9600</v>
      </c>
      <c r="J81" s="556" t="s">
        <v>9600</v>
      </c>
    </row>
    <row r="82" spans="1:14" s="67" customFormat="1" ht="77.25" customHeight="1" x14ac:dyDescent="0.2">
      <c r="A82" s="31" t="s">
        <v>5583</v>
      </c>
      <c r="B82" s="31" t="s">
        <v>281</v>
      </c>
      <c r="C82" s="31" t="s">
        <v>9650</v>
      </c>
      <c r="D82" s="31" t="s">
        <v>8071</v>
      </c>
      <c r="E82" s="31" t="s">
        <v>3093</v>
      </c>
      <c r="F82" s="89">
        <v>18</v>
      </c>
      <c r="G82" s="18" t="s">
        <v>75</v>
      </c>
      <c r="H82" s="41"/>
      <c r="I82" s="30" t="s">
        <v>9437</v>
      </c>
      <c r="J82" s="32" t="s">
        <v>13449</v>
      </c>
    </row>
    <row r="83" spans="1:14" s="252" customFormat="1" ht="36.75" customHeight="1" x14ac:dyDescent="0.2">
      <c r="A83" s="31" t="s">
        <v>5584</v>
      </c>
      <c r="B83" s="31" t="s">
        <v>281</v>
      </c>
      <c r="C83" s="31" t="s">
        <v>9651</v>
      </c>
      <c r="D83" s="191" t="s">
        <v>8071</v>
      </c>
      <c r="E83" s="191" t="s">
        <v>3098</v>
      </c>
      <c r="F83" s="89">
        <v>33</v>
      </c>
      <c r="G83" s="18" t="s">
        <v>75</v>
      </c>
      <c r="H83" s="741"/>
      <c r="I83" s="30" t="s">
        <v>7722</v>
      </c>
      <c r="J83" s="30" t="s">
        <v>13145</v>
      </c>
    </row>
    <row r="84" spans="1:14" s="248" customFormat="1" ht="71.25" customHeight="1" x14ac:dyDescent="0.2">
      <c r="A84" s="31" t="s">
        <v>7484</v>
      </c>
      <c r="B84" s="31" t="s">
        <v>281</v>
      </c>
      <c r="C84" s="31" t="s">
        <v>9597</v>
      </c>
      <c r="D84" s="191" t="s">
        <v>8071</v>
      </c>
      <c r="E84" s="191" t="s">
        <v>3098</v>
      </c>
      <c r="F84" s="89">
        <f>192.6-10-10</f>
        <v>172.6</v>
      </c>
      <c r="G84" s="18" t="s">
        <v>75</v>
      </c>
      <c r="H84" s="41"/>
      <c r="I84" s="30" t="s">
        <v>3712</v>
      </c>
      <c r="J84" s="30" t="s">
        <v>13146</v>
      </c>
    </row>
    <row r="85" spans="1:14" s="248" customFormat="1" ht="71.25" customHeight="1" x14ac:dyDescent="0.2">
      <c r="A85" s="29" t="s">
        <v>13147</v>
      </c>
      <c r="B85" s="29" t="s">
        <v>281</v>
      </c>
      <c r="C85" s="29" t="s">
        <v>9597</v>
      </c>
      <c r="D85" s="743" t="s">
        <v>8071</v>
      </c>
      <c r="E85" s="191" t="s">
        <v>3098</v>
      </c>
      <c r="F85" s="89">
        <v>10</v>
      </c>
      <c r="G85" s="18" t="s">
        <v>75</v>
      </c>
      <c r="H85" s="41"/>
      <c r="I85" s="30" t="s">
        <v>13148</v>
      </c>
      <c r="J85" s="46" t="s">
        <v>13149</v>
      </c>
    </row>
    <row r="86" spans="1:14" s="67" customFormat="1" ht="59.25" customHeight="1" x14ac:dyDescent="0.2">
      <c r="A86" s="31" t="s">
        <v>7993</v>
      </c>
      <c r="B86" s="31" t="s">
        <v>281</v>
      </c>
      <c r="C86" s="31" t="s">
        <v>9597</v>
      </c>
      <c r="D86" s="191" t="s">
        <v>8071</v>
      </c>
      <c r="E86" s="191" t="s">
        <v>3098</v>
      </c>
      <c r="F86" s="89">
        <v>10</v>
      </c>
      <c r="G86" s="18" t="s">
        <v>75</v>
      </c>
      <c r="H86" s="41"/>
      <c r="I86" s="30" t="s">
        <v>9823</v>
      </c>
      <c r="J86" s="30" t="s">
        <v>13150</v>
      </c>
    </row>
    <row r="87" spans="1:14" s="5" customFormat="1" ht="57.75" customHeight="1" x14ac:dyDescent="0.2">
      <c r="A87" s="31" t="s">
        <v>8016</v>
      </c>
      <c r="B87" s="31" t="s">
        <v>281</v>
      </c>
      <c r="C87" s="31" t="s">
        <v>9652</v>
      </c>
      <c r="D87" s="191" t="s">
        <v>8071</v>
      </c>
      <c r="E87" s="191" t="s">
        <v>3098</v>
      </c>
      <c r="F87" s="89">
        <f>174.51+38.02-38.02-31.6-23.7</f>
        <v>119.21</v>
      </c>
      <c r="G87" s="18" t="s">
        <v>75</v>
      </c>
      <c r="H87" s="41"/>
      <c r="I87" s="553" t="s">
        <v>9463</v>
      </c>
      <c r="J87" s="553" t="s">
        <v>9463</v>
      </c>
    </row>
    <row r="88" spans="1:14" s="5" customFormat="1" ht="39" customHeight="1" x14ac:dyDescent="0.2">
      <c r="A88" s="31" t="s">
        <v>9820</v>
      </c>
      <c r="B88" s="31" t="s">
        <v>281</v>
      </c>
      <c r="C88" s="31" t="s">
        <v>9598</v>
      </c>
      <c r="D88" s="191" t="s">
        <v>8071</v>
      </c>
      <c r="E88" s="191" t="s">
        <v>3098</v>
      </c>
      <c r="F88" s="89">
        <v>31.6</v>
      </c>
      <c r="G88" s="18" t="s">
        <v>75</v>
      </c>
      <c r="H88" s="41"/>
      <c r="I88" s="8" t="s">
        <v>11729</v>
      </c>
      <c r="J88" s="30" t="s">
        <v>13151</v>
      </c>
    </row>
    <row r="89" spans="1:14" s="5" customFormat="1" ht="43.5" customHeight="1" x14ac:dyDescent="0.2">
      <c r="A89" s="31" t="s">
        <v>9821</v>
      </c>
      <c r="B89" s="31" t="s">
        <v>281</v>
      </c>
      <c r="C89" s="31" t="s">
        <v>9653</v>
      </c>
      <c r="D89" s="191" t="s">
        <v>8071</v>
      </c>
      <c r="E89" s="191" t="s">
        <v>3098</v>
      </c>
      <c r="F89" s="165">
        <v>23.7</v>
      </c>
      <c r="G89" s="18" t="s">
        <v>75</v>
      </c>
      <c r="H89" s="41"/>
      <c r="I89" s="553" t="s">
        <v>9779</v>
      </c>
      <c r="J89" s="553" t="s">
        <v>9779</v>
      </c>
    </row>
    <row r="90" spans="1:14" s="5" customFormat="1" ht="45" customHeight="1" x14ac:dyDescent="0.2">
      <c r="A90" s="31" t="s">
        <v>9822</v>
      </c>
      <c r="B90" s="31" t="s">
        <v>281</v>
      </c>
      <c r="C90" s="31" t="s">
        <v>9654</v>
      </c>
      <c r="D90" s="191" t="s">
        <v>8071</v>
      </c>
      <c r="E90" s="191" t="s">
        <v>3098</v>
      </c>
      <c r="F90" s="165">
        <v>21.5</v>
      </c>
      <c r="G90" s="18" t="s">
        <v>75</v>
      </c>
      <c r="H90" s="41"/>
      <c r="I90" s="553" t="s">
        <v>9779</v>
      </c>
      <c r="J90" s="553" t="s">
        <v>9779</v>
      </c>
    </row>
    <row r="91" spans="1:14" s="5" customFormat="1" ht="35.25" customHeight="1" x14ac:dyDescent="0.2">
      <c r="A91" s="31" t="s">
        <v>10566</v>
      </c>
      <c r="B91" s="31" t="s">
        <v>281</v>
      </c>
      <c r="C91" s="31" t="s">
        <v>11924</v>
      </c>
      <c r="D91" s="191" t="s">
        <v>8071</v>
      </c>
      <c r="E91" s="191" t="s">
        <v>3098</v>
      </c>
      <c r="F91" s="165">
        <f>(83.2-66.1)/2</f>
        <v>8.5500000000000043</v>
      </c>
      <c r="G91" s="18">
        <v>1992</v>
      </c>
      <c r="H91" s="21"/>
      <c r="I91" s="345" t="s">
        <v>4171</v>
      </c>
      <c r="J91" s="30" t="s">
        <v>13152</v>
      </c>
    </row>
    <row r="92" spans="1:14" s="5" customFormat="1" ht="37.5" customHeight="1" x14ac:dyDescent="0.2">
      <c r="A92" s="31" t="s">
        <v>11925</v>
      </c>
      <c r="B92" s="31" t="s">
        <v>281</v>
      </c>
      <c r="C92" s="31" t="s">
        <v>11926</v>
      </c>
      <c r="D92" s="191" t="s">
        <v>8071</v>
      </c>
      <c r="E92" s="191" t="s">
        <v>3098</v>
      </c>
      <c r="F92" s="165">
        <f>17.1/2</f>
        <v>8.5500000000000007</v>
      </c>
      <c r="G92" s="18">
        <v>1992</v>
      </c>
      <c r="H92" s="21"/>
      <c r="I92" s="345" t="s">
        <v>11898</v>
      </c>
      <c r="J92" s="30" t="s">
        <v>13153</v>
      </c>
    </row>
    <row r="93" spans="1:14" ht="21.75" customHeight="1" x14ac:dyDescent="0.2">
      <c r="A93" s="556" t="s">
        <v>2718</v>
      </c>
      <c r="B93" s="1327" t="s">
        <v>3534</v>
      </c>
      <c r="C93" s="1328"/>
      <c r="D93" s="397" t="s">
        <v>9955</v>
      </c>
      <c r="E93" s="87" t="s">
        <v>3049</v>
      </c>
      <c r="F93" s="117" t="s">
        <v>8069</v>
      </c>
      <c r="G93" s="557"/>
      <c r="H93" s="21">
        <v>3550454.85</v>
      </c>
      <c r="I93" s="556"/>
      <c r="J93" s="557"/>
      <c r="L93" s="5"/>
      <c r="M93" s="5"/>
      <c r="N93" s="5"/>
    </row>
    <row r="94" spans="1:14" s="57" customFormat="1" ht="68.25" customHeight="1" x14ac:dyDescent="0.2">
      <c r="A94" s="31" t="s">
        <v>3581</v>
      </c>
      <c r="B94" s="31" t="s">
        <v>281</v>
      </c>
      <c r="C94" s="31" t="s">
        <v>5217</v>
      </c>
      <c r="D94" s="731" t="s">
        <v>8095</v>
      </c>
      <c r="E94" s="31" t="s">
        <v>3092</v>
      </c>
      <c r="F94" s="89">
        <v>22.8</v>
      </c>
      <c r="G94" s="18" t="s">
        <v>75</v>
      </c>
      <c r="H94" s="41"/>
      <c r="I94" s="30" t="s">
        <v>13014</v>
      </c>
      <c r="J94" s="30" t="s">
        <v>13015</v>
      </c>
    </row>
    <row r="95" spans="1:14" s="57" customFormat="1" ht="33.75" customHeight="1" x14ac:dyDescent="0.2">
      <c r="A95" s="31" t="s">
        <v>3582</v>
      </c>
      <c r="B95" s="31" t="s">
        <v>281</v>
      </c>
      <c r="C95" s="31" t="s">
        <v>5217</v>
      </c>
      <c r="D95" s="731" t="s">
        <v>8095</v>
      </c>
      <c r="E95" s="191" t="s">
        <v>3152</v>
      </c>
      <c r="F95" s="165">
        <v>12.3</v>
      </c>
      <c r="G95" s="18">
        <v>1992</v>
      </c>
      <c r="H95" s="41"/>
      <c r="I95" s="30" t="s">
        <v>6182</v>
      </c>
      <c r="J95" s="30" t="s">
        <v>13168</v>
      </c>
    </row>
    <row r="96" spans="1:14" s="57" customFormat="1" ht="59.25" customHeight="1" x14ac:dyDescent="0.2">
      <c r="A96" s="31" t="s">
        <v>3583</v>
      </c>
      <c r="B96" s="31" t="s">
        <v>281</v>
      </c>
      <c r="C96" s="31" t="s">
        <v>5217</v>
      </c>
      <c r="D96" s="31" t="s">
        <v>8095</v>
      </c>
      <c r="E96" s="31" t="s">
        <v>3152</v>
      </c>
      <c r="F96" s="89">
        <f>43.8-11-22.1</f>
        <v>10.699999999999996</v>
      </c>
      <c r="G96" s="18" t="s">
        <v>75</v>
      </c>
      <c r="H96" s="41"/>
      <c r="I96" s="553" t="s">
        <v>4139</v>
      </c>
      <c r="J96" s="553" t="s">
        <v>4139</v>
      </c>
    </row>
    <row r="97" spans="1:10" s="57" customFormat="1" ht="38.25" customHeight="1" x14ac:dyDescent="0.2">
      <c r="A97" s="31" t="s">
        <v>3584</v>
      </c>
      <c r="B97" s="31" t="s">
        <v>281</v>
      </c>
      <c r="C97" s="31" t="s">
        <v>5217</v>
      </c>
      <c r="D97" s="31" t="s">
        <v>8095</v>
      </c>
      <c r="E97" s="31" t="s">
        <v>3152</v>
      </c>
      <c r="F97" s="89">
        <v>10.6</v>
      </c>
      <c r="G97" s="18" t="s">
        <v>75</v>
      </c>
      <c r="H97" s="41"/>
      <c r="I97" s="345" t="s">
        <v>13155</v>
      </c>
      <c r="J97" s="30" t="s">
        <v>13814</v>
      </c>
    </row>
    <row r="98" spans="1:10" s="57" customFormat="1" ht="44.25" customHeight="1" x14ac:dyDescent="0.2">
      <c r="A98" s="31" t="s">
        <v>11612</v>
      </c>
      <c r="B98" s="31" t="s">
        <v>281</v>
      </c>
      <c r="C98" s="31" t="s">
        <v>9658</v>
      </c>
      <c r="D98" s="31" t="s">
        <v>8095</v>
      </c>
      <c r="E98" s="31" t="s">
        <v>3152</v>
      </c>
      <c r="F98" s="165">
        <v>22.1</v>
      </c>
      <c r="G98" s="18" t="s">
        <v>75</v>
      </c>
      <c r="H98" s="41"/>
      <c r="I98" s="553" t="s">
        <v>9779</v>
      </c>
      <c r="J98" s="553" t="s">
        <v>9779</v>
      </c>
    </row>
    <row r="99" spans="1:10" s="57" customFormat="1" ht="39.75" customHeight="1" x14ac:dyDescent="0.2">
      <c r="A99" s="31" t="s">
        <v>3603</v>
      </c>
      <c r="B99" s="31" t="s">
        <v>281</v>
      </c>
      <c r="C99" s="31" t="s">
        <v>9659</v>
      </c>
      <c r="D99" s="31" t="s">
        <v>8095</v>
      </c>
      <c r="E99" s="191" t="s">
        <v>3152</v>
      </c>
      <c r="F99" s="50">
        <f>45-10.6-10.6</f>
        <v>23.799999999999997</v>
      </c>
      <c r="G99" s="18">
        <v>1992</v>
      </c>
      <c r="H99" s="41"/>
      <c r="I99" s="32" t="s">
        <v>3097</v>
      </c>
      <c r="J99" s="32"/>
    </row>
    <row r="100" spans="1:10" s="57" customFormat="1" ht="58.5" customHeight="1" x14ac:dyDescent="0.2">
      <c r="A100" s="31" t="s">
        <v>3616</v>
      </c>
      <c r="B100" s="31" t="s">
        <v>281</v>
      </c>
      <c r="C100" s="31" t="s">
        <v>9655</v>
      </c>
      <c r="D100" s="31" t="s">
        <v>8095</v>
      </c>
      <c r="E100" s="31" t="s">
        <v>3152</v>
      </c>
      <c r="F100" s="165">
        <f>11-0.4</f>
        <v>10.6</v>
      </c>
      <c r="G100" s="18" t="s">
        <v>75</v>
      </c>
      <c r="H100" s="41"/>
      <c r="I100" s="553" t="s">
        <v>9463</v>
      </c>
      <c r="J100" s="553" t="s">
        <v>9463</v>
      </c>
    </row>
    <row r="101" spans="1:10" s="57" customFormat="1" ht="58.5" customHeight="1" x14ac:dyDescent="0.2">
      <c r="A101" s="31" t="s">
        <v>5509</v>
      </c>
      <c r="B101" s="31" t="s">
        <v>281</v>
      </c>
      <c r="C101" s="31" t="s">
        <v>9656</v>
      </c>
      <c r="D101" s="31" t="s">
        <v>8095</v>
      </c>
      <c r="E101" s="31" t="s">
        <v>3152</v>
      </c>
      <c r="F101" s="165">
        <v>10.6</v>
      </c>
      <c r="G101" s="18" t="s">
        <v>75</v>
      </c>
      <c r="H101" s="41"/>
      <c r="I101" s="553" t="s">
        <v>9463</v>
      </c>
      <c r="J101" s="553" t="s">
        <v>9463</v>
      </c>
    </row>
    <row r="102" spans="1:10" s="57" customFormat="1" ht="58.5" customHeight="1" x14ac:dyDescent="0.2">
      <c r="A102" s="31" t="s">
        <v>4178</v>
      </c>
      <c r="B102" s="31" t="s">
        <v>5913</v>
      </c>
      <c r="C102" s="31" t="s">
        <v>5217</v>
      </c>
      <c r="D102" s="18" t="s">
        <v>5943</v>
      </c>
      <c r="E102" s="191" t="s">
        <v>3152</v>
      </c>
      <c r="F102" s="50">
        <v>307.60000000000002</v>
      </c>
      <c r="G102" s="18">
        <v>1992</v>
      </c>
      <c r="H102" s="41">
        <v>974326.08</v>
      </c>
      <c r="I102" s="556" t="s">
        <v>8192</v>
      </c>
      <c r="J102" s="556" t="s">
        <v>8192</v>
      </c>
    </row>
    <row r="103" spans="1:10" s="57" customFormat="1" ht="59.25" customHeight="1" x14ac:dyDescent="0.2">
      <c r="A103" s="31" t="s">
        <v>8293</v>
      </c>
      <c r="B103" s="31" t="s">
        <v>281</v>
      </c>
      <c r="C103" s="31" t="s">
        <v>5217</v>
      </c>
      <c r="D103" s="31" t="s">
        <v>8095</v>
      </c>
      <c r="E103" s="191" t="s">
        <v>3145</v>
      </c>
      <c r="F103" s="165">
        <v>32.1</v>
      </c>
      <c r="G103" s="18">
        <v>1992</v>
      </c>
      <c r="H103" s="41"/>
      <c r="I103" s="32" t="s">
        <v>8292</v>
      </c>
      <c r="J103" s="32" t="s">
        <v>8292</v>
      </c>
    </row>
    <row r="104" spans="1:10" s="57" customFormat="1" ht="78.75" customHeight="1" x14ac:dyDescent="0.2">
      <c r="A104" s="31" t="s">
        <v>8294</v>
      </c>
      <c r="B104" s="31" t="s">
        <v>281</v>
      </c>
      <c r="C104" s="31" t="s">
        <v>9660</v>
      </c>
      <c r="D104" s="31" t="s">
        <v>8095</v>
      </c>
      <c r="E104" s="31" t="s">
        <v>3152</v>
      </c>
      <c r="F104" s="50">
        <v>17.2</v>
      </c>
      <c r="G104" s="18" t="s">
        <v>75</v>
      </c>
      <c r="H104" s="566"/>
      <c r="I104" s="12" t="s">
        <v>11728</v>
      </c>
      <c r="J104" s="32" t="s">
        <v>11932</v>
      </c>
    </row>
    <row r="105" spans="1:10" s="57" customFormat="1" ht="45.75" customHeight="1" x14ac:dyDescent="0.2">
      <c r="A105" s="31" t="s">
        <v>9657</v>
      </c>
      <c r="B105" s="31" t="s">
        <v>281</v>
      </c>
      <c r="C105" s="31" t="s">
        <v>5217</v>
      </c>
      <c r="D105" s="553" t="s">
        <v>8095</v>
      </c>
      <c r="E105" s="31" t="s">
        <v>3152</v>
      </c>
      <c r="F105" s="89">
        <f>101.9</f>
        <v>101.9</v>
      </c>
      <c r="G105" s="18" t="s">
        <v>75</v>
      </c>
      <c r="H105" s="41"/>
      <c r="I105" s="559" t="s">
        <v>3091</v>
      </c>
      <c r="J105" s="559" t="s">
        <v>3617</v>
      </c>
    </row>
    <row r="106" spans="1:10" ht="57.75" customHeight="1" x14ac:dyDescent="0.2">
      <c r="A106" s="556" t="s">
        <v>8097</v>
      </c>
      <c r="B106" s="201" t="s">
        <v>5406</v>
      </c>
      <c r="C106" s="31" t="s">
        <v>5217</v>
      </c>
      <c r="D106" s="553" t="s">
        <v>8065</v>
      </c>
      <c r="E106" s="31" t="s">
        <v>3792</v>
      </c>
      <c r="F106" s="56">
        <f>613.6</f>
        <v>613.6</v>
      </c>
      <c r="G106" s="557" t="s">
        <v>75</v>
      </c>
      <c r="H106" s="41">
        <v>5228123.58</v>
      </c>
      <c r="I106" s="553" t="s">
        <v>9463</v>
      </c>
      <c r="J106" s="553" t="s">
        <v>9463</v>
      </c>
    </row>
    <row r="107" spans="1:10" s="67" customFormat="1" ht="57.75" customHeight="1" x14ac:dyDescent="0.2">
      <c r="A107" s="31" t="s">
        <v>8096</v>
      </c>
      <c r="B107" s="134" t="s">
        <v>9807</v>
      </c>
      <c r="C107" s="134" t="s">
        <v>5217</v>
      </c>
      <c r="D107" s="18"/>
      <c r="E107" s="226" t="s">
        <v>3089</v>
      </c>
      <c r="F107" s="89">
        <v>12</v>
      </c>
      <c r="G107" s="104" t="s">
        <v>75</v>
      </c>
      <c r="H107" s="120"/>
      <c r="I107" s="102" t="s">
        <v>6206</v>
      </c>
      <c r="J107" s="102" t="s">
        <v>6206</v>
      </c>
    </row>
    <row r="108" spans="1:10" s="57" customFormat="1" ht="28.5" customHeight="1" x14ac:dyDescent="0.2">
      <c r="A108" s="556" t="s">
        <v>2300</v>
      </c>
      <c r="B108" s="556" t="s">
        <v>1992</v>
      </c>
      <c r="C108" s="556" t="s">
        <v>5229</v>
      </c>
      <c r="D108" s="553"/>
      <c r="E108" s="553"/>
      <c r="F108" s="107">
        <v>96</v>
      </c>
      <c r="G108" s="556">
        <v>1978</v>
      </c>
      <c r="H108" s="41"/>
      <c r="I108" s="556" t="s">
        <v>3619</v>
      </c>
      <c r="J108" s="556" t="s">
        <v>3619</v>
      </c>
    </row>
    <row r="109" spans="1:10" s="67" customFormat="1" ht="40.5" customHeight="1" x14ac:dyDescent="0.2">
      <c r="A109" s="556" t="s">
        <v>2036</v>
      </c>
      <c r="B109" s="556" t="s">
        <v>9510</v>
      </c>
      <c r="C109" s="1303" t="s">
        <v>7606</v>
      </c>
      <c r="D109" s="553" t="s">
        <v>5869</v>
      </c>
      <c r="E109" s="553" t="s">
        <v>5619</v>
      </c>
      <c r="F109" s="107">
        <v>460</v>
      </c>
      <c r="G109" s="556">
        <v>1978</v>
      </c>
      <c r="H109" s="41">
        <v>13527187.800000001</v>
      </c>
      <c r="I109" s="556" t="s">
        <v>5617</v>
      </c>
      <c r="J109" s="556" t="s">
        <v>5617</v>
      </c>
    </row>
    <row r="110" spans="1:10" s="67" customFormat="1" ht="36.75" customHeight="1" x14ac:dyDescent="0.2">
      <c r="A110" s="556" t="s">
        <v>2301</v>
      </c>
      <c r="B110" s="556" t="s">
        <v>3368</v>
      </c>
      <c r="C110" s="1305"/>
      <c r="D110" s="553"/>
      <c r="E110" s="553" t="s">
        <v>2249</v>
      </c>
      <c r="F110" s="174"/>
      <c r="G110" s="556">
        <v>1999</v>
      </c>
      <c r="H110" s="41"/>
      <c r="I110" s="556" t="s">
        <v>5617</v>
      </c>
      <c r="J110" s="556" t="s">
        <v>5617</v>
      </c>
    </row>
    <row r="111" spans="1:10" s="67" customFormat="1" ht="24.75" customHeight="1" x14ac:dyDescent="0.2">
      <c r="A111" s="1303" t="s">
        <v>2302</v>
      </c>
      <c r="B111" s="106" t="s">
        <v>3446</v>
      </c>
      <c r="C111" s="203" t="s">
        <v>5230</v>
      </c>
      <c r="D111" s="18" t="s">
        <v>5582</v>
      </c>
      <c r="E111" s="84" t="s">
        <v>2253</v>
      </c>
      <c r="F111" s="167" t="s">
        <v>8966</v>
      </c>
      <c r="G111" s="106">
        <v>1968</v>
      </c>
      <c r="H111" s="120">
        <v>412332.31</v>
      </c>
      <c r="I111" s="1322" t="s">
        <v>3094</v>
      </c>
      <c r="J111" s="1322" t="s">
        <v>3094</v>
      </c>
    </row>
    <row r="112" spans="1:10" s="67" customFormat="1" ht="12" customHeight="1" x14ac:dyDescent="0.2">
      <c r="A112" s="1304"/>
      <c r="B112" s="106" t="s">
        <v>490</v>
      </c>
      <c r="C112" s="204"/>
      <c r="D112" s="553"/>
      <c r="E112" s="84"/>
      <c r="F112" s="122"/>
      <c r="G112" s="106">
        <v>2011</v>
      </c>
      <c r="H112" s="120"/>
      <c r="I112" s="1326"/>
      <c r="J112" s="1326"/>
    </row>
    <row r="113" spans="1:10" s="67" customFormat="1" ht="25.5" customHeight="1" x14ac:dyDescent="0.2">
      <c r="A113" s="1304"/>
      <c r="B113" s="106" t="s">
        <v>460</v>
      </c>
      <c r="C113" s="204"/>
      <c r="D113" s="553"/>
      <c r="E113" s="84"/>
      <c r="F113" s="122"/>
      <c r="G113" s="106" t="s">
        <v>461</v>
      </c>
      <c r="H113" s="120"/>
      <c r="I113" s="1326"/>
      <c r="J113" s="1326"/>
    </row>
    <row r="114" spans="1:10" s="67" customFormat="1" ht="40.5" customHeight="1" x14ac:dyDescent="0.2">
      <c r="A114" s="1304"/>
      <c r="B114" s="106" t="s">
        <v>463</v>
      </c>
      <c r="C114" s="204"/>
      <c r="D114" s="553"/>
      <c r="E114" s="84" t="s">
        <v>462</v>
      </c>
      <c r="F114" s="122"/>
      <c r="G114" s="106" t="s">
        <v>461</v>
      </c>
      <c r="H114" s="120"/>
      <c r="I114" s="1323"/>
      <c r="J114" s="1323"/>
    </row>
    <row r="115" spans="1:10" s="67" customFormat="1" ht="16.5" customHeight="1" x14ac:dyDescent="0.2">
      <c r="A115" s="1305"/>
      <c r="B115" s="106" t="s">
        <v>9602</v>
      </c>
      <c r="C115" s="205"/>
      <c r="D115" s="367"/>
      <c r="E115" s="368"/>
      <c r="F115" s="122"/>
      <c r="G115" s="106" t="s">
        <v>8262</v>
      </c>
      <c r="H115" s="120"/>
      <c r="I115" s="555"/>
      <c r="J115" s="555"/>
    </row>
    <row r="116" spans="1:10" s="67" customFormat="1" ht="48" customHeight="1" x14ac:dyDescent="0.2">
      <c r="A116" s="31" t="s">
        <v>2037</v>
      </c>
      <c r="B116" s="134" t="s">
        <v>281</v>
      </c>
      <c r="C116" s="134" t="s">
        <v>5231</v>
      </c>
      <c r="D116" s="137"/>
      <c r="E116" s="134" t="s">
        <v>3621</v>
      </c>
      <c r="F116" s="703">
        <v>94.8</v>
      </c>
      <c r="G116" s="104">
        <v>1968</v>
      </c>
      <c r="H116" s="120"/>
      <c r="I116" s="102" t="s">
        <v>3623</v>
      </c>
      <c r="J116" s="102" t="s">
        <v>13156</v>
      </c>
    </row>
    <row r="117" spans="1:10" s="66" customFormat="1" ht="36" customHeight="1" x14ac:dyDescent="0.2">
      <c r="A117" s="31" t="s">
        <v>2303</v>
      </c>
      <c r="B117" s="134" t="s">
        <v>281</v>
      </c>
      <c r="C117" s="134" t="s">
        <v>5231</v>
      </c>
      <c r="D117" s="137"/>
      <c r="E117" s="134" t="s">
        <v>3620</v>
      </c>
      <c r="F117" s="163">
        <v>179.2</v>
      </c>
      <c r="G117" s="104" t="s">
        <v>3104</v>
      </c>
      <c r="H117" s="120"/>
      <c r="I117" s="102" t="s">
        <v>13162</v>
      </c>
      <c r="J117" s="30" t="s">
        <v>13160</v>
      </c>
    </row>
    <row r="118" spans="1:10" s="67" customFormat="1" ht="46.5" customHeight="1" x14ac:dyDescent="0.2">
      <c r="A118" s="31" t="s">
        <v>2304</v>
      </c>
      <c r="B118" s="134" t="s">
        <v>281</v>
      </c>
      <c r="C118" s="134" t="s">
        <v>5231</v>
      </c>
      <c r="D118" s="137"/>
      <c r="E118" s="134" t="s">
        <v>3620</v>
      </c>
      <c r="F118" s="163">
        <v>104.9</v>
      </c>
      <c r="G118" s="104">
        <v>1968</v>
      </c>
      <c r="H118" s="120"/>
      <c r="I118" s="102" t="s">
        <v>3736</v>
      </c>
      <c r="J118" s="30" t="s">
        <v>13160</v>
      </c>
    </row>
    <row r="119" spans="1:10" s="67" customFormat="1" ht="68.25" customHeight="1" x14ac:dyDescent="0.2">
      <c r="A119" s="31" t="s">
        <v>3339</v>
      </c>
      <c r="B119" s="134" t="s">
        <v>281</v>
      </c>
      <c r="C119" s="134" t="s">
        <v>5231</v>
      </c>
      <c r="D119" s="137"/>
      <c r="E119" s="134" t="s">
        <v>3622</v>
      </c>
      <c r="F119" s="703">
        <v>84.5</v>
      </c>
      <c r="G119" s="104" t="s">
        <v>3104</v>
      </c>
      <c r="H119" s="120"/>
      <c r="I119" s="102" t="s">
        <v>3737</v>
      </c>
      <c r="J119" s="30" t="s">
        <v>13160</v>
      </c>
    </row>
    <row r="120" spans="1:10" s="67" customFormat="1" ht="57.75" customHeight="1" x14ac:dyDescent="0.2">
      <c r="A120" s="31" t="s">
        <v>3340</v>
      </c>
      <c r="B120" s="134" t="s">
        <v>281</v>
      </c>
      <c r="C120" s="134" t="s">
        <v>5231</v>
      </c>
      <c r="D120" s="137"/>
      <c r="E120" s="134" t="s">
        <v>3622</v>
      </c>
      <c r="F120" s="163">
        <v>103.8</v>
      </c>
      <c r="G120" s="104" t="s">
        <v>3104</v>
      </c>
      <c r="H120" s="120"/>
      <c r="I120" s="102" t="s">
        <v>3740</v>
      </c>
      <c r="J120" s="30" t="s">
        <v>13160</v>
      </c>
    </row>
    <row r="121" spans="1:10" s="66" customFormat="1" ht="36.75" customHeight="1" x14ac:dyDescent="0.2">
      <c r="A121" s="31" t="s">
        <v>3739</v>
      </c>
      <c r="B121" s="134" t="s">
        <v>281</v>
      </c>
      <c r="C121" s="134" t="s">
        <v>5231</v>
      </c>
      <c r="D121" s="137"/>
      <c r="E121" s="134" t="s">
        <v>3621</v>
      </c>
      <c r="F121" s="163">
        <v>111.2</v>
      </c>
      <c r="G121" s="104" t="s">
        <v>3104</v>
      </c>
      <c r="H121" s="120"/>
      <c r="I121" s="102" t="s">
        <v>13163</v>
      </c>
      <c r="J121" s="30" t="s">
        <v>13164</v>
      </c>
    </row>
    <row r="122" spans="1:10" s="66" customFormat="1" ht="23.25" customHeight="1" x14ac:dyDescent="0.2">
      <c r="A122" s="31" t="s">
        <v>4125</v>
      </c>
      <c r="B122" s="134" t="s">
        <v>281</v>
      </c>
      <c r="C122" s="134" t="s">
        <v>5231</v>
      </c>
      <c r="D122" s="137"/>
      <c r="E122" s="134" t="s">
        <v>3620</v>
      </c>
      <c r="F122" s="581">
        <v>93.5</v>
      </c>
      <c r="G122" s="104" t="s">
        <v>3104</v>
      </c>
      <c r="H122" s="120"/>
      <c r="I122" s="102" t="s">
        <v>13165</v>
      </c>
      <c r="J122" s="30" t="s">
        <v>13160</v>
      </c>
    </row>
    <row r="123" spans="1:10" s="66" customFormat="1" ht="47.25" customHeight="1" x14ac:dyDescent="0.2">
      <c r="A123" s="31" t="s">
        <v>4126</v>
      </c>
      <c r="B123" s="134" t="s">
        <v>281</v>
      </c>
      <c r="C123" s="134" t="s">
        <v>5231</v>
      </c>
      <c r="D123" s="137"/>
      <c r="E123" s="29" t="s">
        <v>3620</v>
      </c>
      <c r="F123" s="33">
        <v>19.899999999999999</v>
      </c>
      <c r="G123" s="104" t="s">
        <v>3104</v>
      </c>
      <c r="H123" s="120"/>
      <c r="I123" s="30" t="s">
        <v>10522</v>
      </c>
      <c r="J123" s="30" t="s">
        <v>13160</v>
      </c>
    </row>
    <row r="124" spans="1:10" s="66" customFormat="1" ht="34.5" customHeight="1" x14ac:dyDescent="0.2">
      <c r="A124" s="31" t="s">
        <v>5148</v>
      </c>
      <c r="B124" s="134" t="s">
        <v>5150</v>
      </c>
      <c r="C124" s="134" t="s">
        <v>5231</v>
      </c>
      <c r="D124" s="137"/>
      <c r="E124" s="29" t="s">
        <v>5474</v>
      </c>
      <c r="F124" s="33">
        <v>1171</v>
      </c>
      <c r="G124" s="104" t="s">
        <v>3104</v>
      </c>
      <c r="H124" s="120"/>
      <c r="I124" s="30" t="s">
        <v>13166</v>
      </c>
      <c r="J124" s="30" t="s">
        <v>13160</v>
      </c>
    </row>
    <row r="125" spans="1:10" s="66" customFormat="1" ht="35.25" customHeight="1" x14ac:dyDescent="0.2">
      <c r="A125" s="31" t="s">
        <v>5473</v>
      </c>
      <c r="B125" s="31" t="s">
        <v>281</v>
      </c>
      <c r="C125" s="31" t="s">
        <v>5231</v>
      </c>
      <c r="D125" s="130"/>
      <c r="E125" s="29" t="s">
        <v>3622</v>
      </c>
      <c r="F125" s="33">
        <v>24</v>
      </c>
      <c r="G125" s="18" t="s">
        <v>3104</v>
      </c>
      <c r="H125" s="41"/>
      <c r="I125" s="30" t="s">
        <v>10522</v>
      </c>
      <c r="J125" s="30" t="s">
        <v>13160</v>
      </c>
    </row>
    <row r="126" spans="1:10" s="66" customFormat="1" ht="44.25" customHeight="1" x14ac:dyDescent="0.2">
      <c r="A126" s="31" t="s">
        <v>9953</v>
      </c>
      <c r="B126" s="31" t="s">
        <v>281</v>
      </c>
      <c r="C126" s="31" t="s">
        <v>5231</v>
      </c>
      <c r="D126" s="130"/>
      <c r="E126" s="134" t="s">
        <v>3622</v>
      </c>
      <c r="F126" s="33">
        <f>8</f>
        <v>8</v>
      </c>
      <c r="G126" s="18" t="s">
        <v>3104</v>
      </c>
      <c r="H126" s="41"/>
      <c r="I126" s="30" t="s">
        <v>13159</v>
      </c>
      <c r="J126" s="30" t="s">
        <v>13160</v>
      </c>
    </row>
    <row r="127" spans="1:10" s="66" customFormat="1" ht="58.5" customHeight="1" x14ac:dyDescent="0.2">
      <c r="A127" s="31" t="s">
        <v>10521</v>
      </c>
      <c r="B127" s="31" t="s">
        <v>281</v>
      </c>
      <c r="C127" s="31" t="s">
        <v>5231</v>
      </c>
      <c r="D127" s="130"/>
      <c r="E127" s="134" t="s">
        <v>13161</v>
      </c>
      <c r="F127" s="33">
        <v>5</v>
      </c>
      <c r="G127" s="18" t="s">
        <v>3104</v>
      </c>
      <c r="H127" s="41"/>
      <c r="I127" s="30" t="s">
        <v>10767</v>
      </c>
      <c r="J127" s="30" t="s">
        <v>10768</v>
      </c>
    </row>
    <row r="128" spans="1:10" s="66" customFormat="1" ht="54.75" customHeight="1" x14ac:dyDescent="0.2">
      <c r="A128" s="31" t="s">
        <v>10571</v>
      </c>
      <c r="B128" s="134" t="s">
        <v>5150</v>
      </c>
      <c r="C128" s="31" t="s">
        <v>5231</v>
      </c>
      <c r="D128" s="130"/>
      <c r="E128" s="134" t="s">
        <v>5149</v>
      </c>
      <c r="F128" s="581">
        <v>4.32</v>
      </c>
      <c r="G128" s="18" t="s">
        <v>3104</v>
      </c>
      <c r="H128" s="41"/>
      <c r="I128" s="102" t="s">
        <v>5151</v>
      </c>
      <c r="J128" s="106" t="s">
        <v>13157</v>
      </c>
    </row>
    <row r="129" spans="1:10" s="66" customFormat="1" ht="66.75" customHeight="1" x14ac:dyDescent="0.2">
      <c r="A129" s="31" t="s">
        <v>10683</v>
      </c>
      <c r="B129" s="29" t="s">
        <v>281</v>
      </c>
      <c r="C129" s="31" t="s">
        <v>5231</v>
      </c>
      <c r="D129" s="130"/>
      <c r="E129" s="29" t="s">
        <v>3621</v>
      </c>
      <c r="F129" s="744">
        <v>10.1</v>
      </c>
      <c r="G129" s="18" t="s">
        <v>3104</v>
      </c>
      <c r="H129" s="41"/>
      <c r="I129" s="30" t="s">
        <v>13158</v>
      </c>
      <c r="J129" s="734" t="s">
        <v>13489</v>
      </c>
    </row>
    <row r="130" spans="1:10" s="67" customFormat="1" ht="34.5" customHeight="1" x14ac:dyDescent="0.2">
      <c r="A130" s="553" t="s">
        <v>2305</v>
      </c>
      <c r="B130" s="106" t="s">
        <v>12</v>
      </c>
      <c r="C130" s="106" t="s">
        <v>10721</v>
      </c>
      <c r="D130" s="553" t="s">
        <v>6476</v>
      </c>
      <c r="E130" s="84" t="s">
        <v>2254</v>
      </c>
      <c r="F130" s="167">
        <v>515.1</v>
      </c>
      <c r="G130" s="106" t="s">
        <v>3110</v>
      </c>
      <c r="H130" s="120">
        <v>5409059.9500000002</v>
      </c>
      <c r="I130" s="106" t="s">
        <v>81</v>
      </c>
      <c r="J130" s="106" t="s">
        <v>4789</v>
      </c>
    </row>
    <row r="131" spans="1:10" ht="33.75" customHeight="1" x14ac:dyDescent="0.2">
      <c r="A131" s="553" t="s">
        <v>2038</v>
      </c>
      <c r="B131" s="557" t="s">
        <v>3447</v>
      </c>
      <c r="C131" s="557" t="s">
        <v>5667</v>
      </c>
      <c r="D131" s="553" t="s">
        <v>10722</v>
      </c>
      <c r="E131" s="345" t="s">
        <v>2252</v>
      </c>
      <c r="F131" s="166">
        <v>143.1</v>
      </c>
      <c r="G131" s="557" t="s">
        <v>3563</v>
      </c>
      <c r="H131" s="21">
        <v>991441.16</v>
      </c>
      <c r="I131" s="557" t="s">
        <v>3625</v>
      </c>
      <c r="J131" s="557" t="s">
        <v>3624</v>
      </c>
    </row>
    <row r="132" spans="1:10" ht="36" customHeight="1" x14ac:dyDescent="0.2">
      <c r="A132" s="556" t="s">
        <v>4790</v>
      </c>
      <c r="B132" s="556" t="s">
        <v>4791</v>
      </c>
      <c r="C132" s="556" t="s">
        <v>5666</v>
      </c>
      <c r="D132" s="553" t="s">
        <v>5274</v>
      </c>
      <c r="E132" s="553" t="s">
        <v>2252</v>
      </c>
      <c r="F132" s="81">
        <v>10.7</v>
      </c>
      <c r="G132" s="556" t="s">
        <v>3546</v>
      </c>
      <c r="H132" s="41">
        <v>2199.6</v>
      </c>
      <c r="I132" s="251" t="s">
        <v>8074</v>
      </c>
      <c r="J132" s="251" t="s">
        <v>8074</v>
      </c>
    </row>
    <row r="133" spans="1:10" ht="37.5" customHeight="1" x14ac:dyDescent="0.2">
      <c r="A133" s="551" t="s">
        <v>3082</v>
      </c>
      <c r="B133" s="547" t="s">
        <v>9148</v>
      </c>
      <c r="C133" s="547" t="s">
        <v>8259</v>
      </c>
      <c r="D133" s="553" t="s">
        <v>5275</v>
      </c>
      <c r="E133" s="345" t="s">
        <v>2255</v>
      </c>
      <c r="F133" s="166">
        <v>491.5</v>
      </c>
      <c r="G133" s="557" t="s">
        <v>71</v>
      </c>
      <c r="H133" s="546">
        <v>1086957.17</v>
      </c>
      <c r="I133" s="547" t="s">
        <v>9605</v>
      </c>
      <c r="J133" s="584" t="s">
        <v>12012</v>
      </c>
    </row>
    <row r="134" spans="1:10" ht="35.25" customHeight="1" x14ac:dyDescent="0.2">
      <c r="A134" s="553" t="s">
        <v>2039</v>
      </c>
      <c r="B134" s="557" t="s">
        <v>3448</v>
      </c>
      <c r="C134" s="217" t="s">
        <v>5668</v>
      </c>
      <c r="D134" s="553" t="s">
        <v>5276</v>
      </c>
      <c r="E134" s="345" t="s">
        <v>2256</v>
      </c>
      <c r="F134" s="219">
        <v>1584.3</v>
      </c>
      <c r="G134" s="557" t="s">
        <v>504</v>
      </c>
      <c r="H134" s="21">
        <v>8315714.8799999999</v>
      </c>
      <c r="I134" s="547" t="s">
        <v>9605</v>
      </c>
      <c r="J134" s="584" t="s">
        <v>12012</v>
      </c>
    </row>
    <row r="135" spans="1:10" ht="36.75" customHeight="1" x14ac:dyDescent="0.2">
      <c r="A135" s="556" t="s">
        <v>2663</v>
      </c>
      <c r="B135" s="557" t="s">
        <v>9149</v>
      </c>
      <c r="C135" s="217" t="s">
        <v>8259</v>
      </c>
      <c r="D135" s="553" t="s">
        <v>5277</v>
      </c>
      <c r="E135" s="345" t="s">
        <v>2258</v>
      </c>
      <c r="F135" s="219">
        <v>257.10000000000002</v>
      </c>
      <c r="G135" s="557" t="s">
        <v>3118</v>
      </c>
      <c r="H135" s="21">
        <v>52852.05</v>
      </c>
      <c r="I135" s="547" t="s">
        <v>9605</v>
      </c>
      <c r="J135" s="584" t="s">
        <v>12012</v>
      </c>
    </row>
    <row r="136" spans="1:10" ht="36" customHeight="1" x14ac:dyDescent="0.2">
      <c r="A136" s="1303" t="s">
        <v>2040</v>
      </c>
      <c r="B136" s="1293" t="s">
        <v>9627</v>
      </c>
      <c r="C136" s="1293" t="s">
        <v>9630</v>
      </c>
      <c r="D136" s="553" t="s">
        <v>5278</v>
      </c>
      <c r="E136" s="345" t="s">
        <v>2256</v>
      </c>
      <c r="F136" s="219">
        <v>10.6</v>
      </c>
      <c r="G136" s="557">
        <v>1962</v>
      </c>
      <c r="H136" s="21">
        <v>23442.01</v>
      </c>
      <c r="I136" s="547" t="s">
        <v>9605</v>
      </c>
      <c r="J136" s="584" t="s">
        <v>12012</v>
      </c>
    </row>
    <row r="137" spans="1:10" ht="34.5" customHeight="1" x14ac:dyDescent="0.2">
      <c r="A137" s="1305"/>
      <c r="B137" s="1295"/>
      <c r="C137" s="1295"/>
      <c r="D137" s="255"/>
      <c r="E137" s="227" t="s">
        <v>3123</v>
      </c>
      <c r="F137" s="228"/>
      <c r="G137" s="557" t="s">
        <v>483</v>
      </c>
      <c r="H137" s="21"/>
      <c r="I137" s="547" t="s">
        <v>9605</v>
      </c>
      <c r="J137" s="584" t="s">
        <v>12012</v>
      </c>
    </row>
    <row r="138" spans="1:10" ht="38.25" customHeight="1" x14ac:dyDescent="0.2">
      <c r="A138" s="556" t="s">
        <v>2041</v>
      </c>
      <c r="B138" s="557" t="s">
        <v>9150</v>
      </c>
      <c r="C138" s="217" t="s">
        <v>9633</v>
      </c>
      <c r="D138" s="553" t="s">
        <v>5279</v>
      </c>
      <c r="E138" s="345" t="s">
        <v>2256</v>
      </c>
      <c r="F138" s="56">
        <v>121.8</v>
      </c>
      <c r="G138" s="557">
        <v>1962</v>
      </c>
      <c r="H138" s="21">
        <v>269361.91999999998</v>
      </c>
      <c r="I138" s="547" t="s">
        <v>9605</v>
      </c>
      <c r="J138" s="584" t="s">
        <v>12012</v>
      </c>
    </row>
    <row r="139" spans="1:10" ht="36" customHeight="1" x14ac:dyDescent="0.2">
      <c r="A139" s="556" t="s">
        <v>2042</v>
      </c>
      <c r="B139" s="557" t="s">
        <v>3111</v>
      </c>
      <c r="C139" s="217" t="s">
        <v>9631</v>
      </c>
      <c r="D139" s="553" t="s">
        <v>5280</v>
      </c>
      <c r="E139" s="345" t="s">
        <v>2259</v>
      </c>
      <c r="F139" s="56">
        <v>183.1</v>
      </c>
      <c r="G139" s="557">
        <v>1996</v>
      </c>
      <c r="H139" s="21">
        <v>404927.48</v>
      </c>
      <c r="I139" s="547" t="s">
        <v>9605</v>
      </c>
      <c r="J139" s="584" t="s">
        <v>12012</v>
      </c>
    </row>
    <row r="140" spans="1:10" ht="35.25" customHeight="1" x14ac:dyDescent="0.2">
      <c r="A140" s="556" t="s">
        <v>2043</v>
      </c>
      <c r="B140" s="557" t="s">
        <v>3459</v>
      </c>
      <c r="C140" s="557" t="s">
        <v>5669</v>
      </c>
      <c r="D140" s="553" t="s">
        <v>5281</v>
      </c>
      <c r="E140" s="345" t="s">
        <v>2256</v>
      </c>
      <c r="F140" s="56">
        <v>73.2</v>
      </c>
      <c r="G140" s="557" t="s">
        <v>3408</v>
      </c>
      <c r="H140" s="21">
        <v>161882.53</v>
      </c>
      <c r="I140" s="547" t="s">
        <v>9605</v>
      </c>
      <c r="J140" s="584" t="s">
        <v>12012</v>
      </c>
    </row>
    <row r="141" spans="1:10" ht="37.5" customHeight="1" x14ac:dyDescent="0.2">
      <c r="A141" s="556" t="s">
        <v>2044</v>
      </c>
      <c r="B141" s="557" t="s">
        <v>9147</v>
      </c>
      <c r="C141" s="557" t="s">
        <v>9630</v>
      </c>
      <c r="D141" s="553" t="s">
        <v>5282</v>
      </c>
      <c r="E141" s="345" t="s">
        <v>2256</v>
      </c>
      <c r="F141" s="56">
        <v>12.8</v>
      </c>
      <c r="G141" s="557">
        <v>1976</v>
      </c>
      <c r="H141" s="21">
        <v>28307.33</v>
      </c>
      <c r="I141" s="547" t="s">
        <v>9605</v>
      </c>
      <c r="J141" s="584" t="s">
        <v>12012</v>
      </c>
    </row>
    <row r="142" spans="1:10" ht="35.25" customHeight="1" x14ac:dyDescent="0.2">
      <c r="A142" s="556" t="s">
        <v>2045</v>
      </c>
      <c r="B142" s="557" t="s">
        <v>9628</v>
      </c>
      <c r="C142" s="557" t="s">
        <v>9632</v>
      </c>
      <c r="D142" s="553" t="s">
        <v>5283</v>
      </c>
      <c r="E142" s="345" t="s">
        <v>2256</v>
      </c>
      <c r="F142" s="56">
        <v>309.3</v>
      </c>
      <c r="G142" s="557" t="s">
        <v>3408</v>
      </c>
      <c r="H142" s="21">
        <v>684020.04</v>
      </c>
      <c r="I142" s="547" t="s">
        <v>9605</v>
      </c>
      <c r="J142" s="584" t="s">
        <v>12012</v>
      </c>
    </row>
    <row r="143" spans="1:10" ht="36" customHeight="1" x14ac:dyDescent="0.2">
      <c r="A143" s="556" t="s">
        <v>2046</v>
      </c>
      <c r="B143" s="557" t="s">
        <v>3447</v>
      </c>
      <c r="C143" s="557" t="s">
        <v>5668</v>
      </c>
      <c r="D143" s="553" t="s">
        <v>5284</v>
      </c>
      <c r="E143" s="345" t="s">
        <v>2259</v>
      </c>
      <c r="F143" s="56">
        <v>20.9</v>
      </c>
      <c r="G143" s="557">
        <v>1962</v>
      </c>
      <c r="H143" s="21">
        <v>46220.56</v>
      </c>
      <c r="I143" s="547" t="s">
        <v>9605</v>
      </c>
      <c r="J143" s="583" t="s">
        <v>12012</v>
      </c>
    </row>
    <row r="144" spans="1:10" ht="57.75" customHeight="1" x14ac:dyDescent="0.2">
      <c r="A144" s="556" t="s">
        <v>2047</v>
      </c>
      <c r="B144" s="557" t="s">
        <v>3453</v>
      </c>
      <c r="C144" s="734" t="s">
        <v>12957</v>
      </c>
      <c r="D144" s="553" t="s">
        <v>7584</v>
      </c>
      <c r="E144" s="345" t="s">
        <v>2256</v>
      </c>
      <c r="F144" s="166">
        <v>18.100000000000001</v>
      </c>
      <c r="G144" s="557" t="s">
        <v>3408</v>
      </c>
      <c r="H144" s="21">
        <v>550168.87</v>
      </c>
      <c r="I144" s="251" t="s">
        <v>8074</v>
      </c>
      <c r="J144" s="251" t="s">
        <v>8074</v>
      </c>
    </row>
    <row r="145" spans="1:10" s="5" customFormat="1" ht="36" customHeight="1" x14ac:dyDescent="0.2">
      <c r="A145" s="556" t="s">
        <v>2048</v>
      </c>
      <c r="B145" s="556" t="s">
        <v>9153</v>
      </c>
      <c r="C145" s="556" t="s">
        <v>7663</v>
      </c>
      <c r="D145" s="553" t="s">
        <v>5285</v>
      </c>
      <c r="E145" s="553" t="s">
        <v>2256</v>
      </c>
      <c r="F145" s="107">
        <v>50.4</v>
      </c>
      <c r="G145" s="556">
        <v>1996</v>
      </c>
      <c r="H145" s="41">
        <v>1531961.93</v>
      </c>
      <c r="I145" s="557" t="s">
        <v>9605</v>
      </c>
      <c r="J145" s="585" t="s">
        <v>12012</v>
      </c>
    </row>
    <row r="146" spans="1:10" s="67" customFormat="1" ht="22.5" customHeight="1" x14ac:dyDescent="0.2">
      <c r="A146" s="556" t="s">
        <v>2719</v>
      </c>
      <c r="B146" s="106" t="s">
        <v>9145</v>
      </c>
      <c r="C146" s="106" t="s">
        <v>13823</v>
      </c>
      <c r="D146" s="553" t="s">
        <v>10523</v>
      </c>
      <c r="E146" s="84" t="s">
        <v>2260</v>
      </c>
      <c r="F146" s="121">
        <v>192.2</v>
      </c>
      <c r="G146" s="106">
        <v>1971</v>
      </c>
      <c r="H146" s="120">
        <v>1109745.5</v>
      </c>
      <c r="I146" s="8" t="s">
        <v>13820</v>
      </c>
      <c r="J146" s="8" t="s">
        <v>13820</v>
      </c>
    </row>
    <row r="147" spans="1:10" s="67" customFormat="1" ht="22.5" customHeight="1" x14ac:dyDescent="0.2">
      <c r="A147" s="818" t="s">
        <v>13827</v>
      </c>
      <c r="B147" s="819" t="s">
        <v>13824</v>
      </c>
      <c r="C147" s="787" t="s">
        <v>13825</v>
      </c>
      <c r="D147" s="786" t="s">
        <v>13828</v>
      </c>
      <c r="E147" s="786" t="s">
        <v>13826</v>
      </c>
      <c r="F147" s="786" t="s">
        <v>13829</v>
      </c>
      <c r="G147" s="786" t="s">
        <v>159</v>
      </c>
      <c r="H147" s="788">
        <v>6560893.9299999997</v>
      </c>
      <c r="I147" s="8" t="s">
        <v>13820</v>
      </c>
      <c r="J147" s="8" t="s">
        <v>13820</v>
      </c>
    </row>
    <row r="148" spans="1:10" s="67" customFormat="1" ht="22.5" customHeight="1" x14ac:dyDescent="0.2">
      <c r="A148" s="1009" t="s">
        <v>14599</v>
      </c>
      <c r="B148" s="819" t="s">
        <v>14600</v>
      </c>
      <c r="C148" s="787" t="s">
        <v>14601</v>
      </c>
      <c r="D148" s="786" t="s">
        <v>14602</v>
      </c>
      <c r="E148" s="786"/>
      <c r="F148" s="786" t="s">
        <v>14603</v>
      </c>
      <c r="G148" s="786" t="s">
        <v>159</v>
      </c>
      <c r="H148" s="788"/>
      <c r="I148" s="802"/>
      <c r="J148" s="802"/>
    </row>
    <row r="149" spans="1:10" s="67" customFormat="1" ht="22.5" customHeight="1" x14ac:dyDescent="0.2">
      <c r="A149" s="556" t="s">
        <v>2217</v>
      </c>
      <c r="B149" s="106" t="s">
        <v>13838</v>
      </c>
      <c r="C149" s="106" t="s">
        <v>13833</v>
      </c>
      <c r="D149" s="553" t="s">
        <v>10524</v>
      </c>
      <c r="E149" s="84" t="s">
        <v>283</v>
      </c>
      <c r="F149" s="121">
        <v>60.1</v>
      </c>
      <c r="G149" s="106" t="s">
        <v>13831</v>
      </c>
      <c r="H149" s="41">
        <v>248611</v>
      </c>
      <c r="I149" s="8" t="s">
        <v>13832</v>
      </c>
      <c r="J149" s="8" t="s">
        <v>13820</v>
      </c>
    </row>
    <row r="150" spans="1:10" s="67" customFormat="1" ht="21.75" customHeight="1" x14ac:dyDescent="0.2">
      <c r="A150" s="556" t="s">
        <v>2218</v>
      </c>
      <c r="B150" s="106" t="s">
        <v>9324</v>
      </c>
      <c r="C150" s="1322" t="s">
        <v>5665</v>
      </c>
      <c r="D150" s="1289" t="s">
        <v>10525</v>
      </c>
      <c r="E150" s="229" t="s">
        <v>177</v>
      </c>
      <c r="F150" s="121">
        <v>21.2</v>
      </c>
      <c r="G150" s="106">
        <v>1971</v>
      </c>
      <c r="H150" s="771">
        <v>122406.89</v>
      </c>
      <c r="I150" s="1322" t="s">
        <v>13820</v>
      </c>
      <c r="J150" s="1322" t="s">
        <v>13820</v>
      </c>
    </row>
    <row r="151" spans="1:10" s="67" customFormat="1" ht="11.25" customHeight="1" x14ac:dyDescent="0.2">
      <c r="A151" s="544" t="s">
        <v>2720</v>
      </c>
      <c r="B151" s="554" t="s">
        <v>13821</v>
      </c>
      <c r="C151" s="1323"/>
      <c r="D151" s="1291"/>
      <c r="E151" s="175"/>
      <c r="F151" s="121" t="s">
        <v>6599</v>
      </c>
      <c r="G151" s="106" t="s">
        <v>159</v>
      </c>
      <c r="H151" s="48"/>
      <c r="I151" s="1326"/>
      <c r="J151" s="1326"/>
    </row>
    <row r="152" spans="1:10" s="67" customFormat="1" ht="21.75" customHeight="1" x14ac:dyDescent="0.2">
      <c r="A152" s="1303" t="s">
        <v>13835</v>
      </c>
      <c r="B152" s="1322" t="s">
        <v>13836</v>
      </c>
      <c r="C152" s="816" t="s">
        <v>13837</v>
      </c>
      <c r="D152" s="796"/>
      <c r="E152" s="798"/>
      <c r="F152" s="799"/>
      <c r="G152" s="815" t="s">
        <v>5471</v>
      </c>
      <c r="H152" s="808"/>
      <c r="I152" s="784"/>
      <c r="J152" s="784"/>
    </row>
    <row r="153" spans="1:10" s="67" customFormat="1" ht="21.75" customHeight="1" x14ac:dyDescent="0.2">
      <c r="A153" s="1305"/>
      <c r="B153" s="1323"/>
      <c r="C153" s="813" t="s">
        <v>5665</v>
      </c>
      <c r="D153" s="797"/>
      <c r="E153" s="811"/>
      <c r="F153" s="812"/>
      <c r="G153" s="816" t="s">
        <v>13859</v>
      </c>
      <c r="H153" s="48"/>
      <c r="I153" s="784"/>
      <c r="J153" s="784"/>
    </row>
    <row r="154" spans="1:10" s="67" customFormat="1" ht="22.5" customHeight="1" x14ac:dyDescent="0.2">
      <c r="A154" s="782" t="s">
        <v>13834</v>
      </c>
      <c r="B154" s="783" t="s">
        <v>13836</v>
      </c>
      <c r="C154" s="106" t="s">
        <v>13837</v>
      </c>
      <c r="D154" s="809"/>
      <c r="E154" s="800"/>
      <c r="F154" s="121"/>
      <c r="G154" s="106" t="s">
        <v>159</v>
      </c>
      <c r="H154" s="48"/>
      <c r="I154" s="784"/>
      <c r="J154" s="784"/>
    </row>
    <row r="155" spans="1:10" ht="35.25" customHeight="1" x14ac:dyDescent="0.2">
      <c r="A155" s="556" t="s">
        <v>2219</v>
      </c>
      <c r="B155" s="557" t="s">
        <v>9515</v>
      </c>
      <c r="C155" s="557" t="s">
        <v>5664</v>
      </c>
      <c r="D155" s="553" t="s">
        <v>5286</v>
      </c>
      <c r="E155" s="345" t="s">
        <v>177</v>
      </c>
      <c r="F155" s="166">
        <v>41.7</v>
      </c>
      <c r="G155" s="557" t="s">
        <v>3644</v>
      </c>
      <c r="H155" s="41">
        <v>324893.03999999998</v>
      </c>
      <c r="I155" s="557" t="s">
        <v>9453</v>
      </c>
      <c r="J155" s="557" t="s">
        <v>9453</v>
      </c>
    </row>
    <row r="156" spans="1:10" ht="26.25" customHeight="1" x14ac:dyDescent="0.2">
      <c r="A156" s="556" t="s">
        <v>2220</v>
      </c>
      <c r="B156" s="557" t="s">
        <v>3642</v>
      </c>
      <c r="C156" s="557" t="s">
        <v>7232</v>
      </c>
      <c r="D156" s="553" t="s">
        <v>5287</v>
      </c>
      <c r="E156" s="345" t="s">
        <v>177</v>
      </c>
      <c r="F156" s="107">
        <v>77</v>
      </c>
      <c r="G156" s="557" t="s">
        <v>3408</v>
      </c>
      <c r="H156" s="41">
        <v>697302.76</v>
      </c>
      <c r="I156" s="251" t="s">
        <v>8074</v>
      </c>
      <c r="J156" s="251" t="s">
        <v>8074</v>
      </c>
    </row>
    <row r="157" spans="1:10" s="5" customFormat="1" ht="22.5" customHeight="1" x14ac:dyDescent="0.2">
      <c r="A157" s="556" t="s">
        <v>3479</v>
      </c>
      <c r="B157" s="556" t="s">
        <v>1991</v>
      </c>
      <c r="C157" s="556" t="s">
        <v>5660</v>
      </c>
      <c r="D157" s="553"/>
      <c r="E157" s="553"/>
      <c r="F157" s="107">
        <v>123.2</v>
      </c>
      <c r="G157" s="556">
        <v>1996</v>
      </c>
      <c r="H157" s="41"/>
      <c r="I157" s="556" t="s">
        <v>330</v>
      </c>
      <c r="J157" s="556" t="s">
        <v>330</v>
      </c>
    </row>
    <row r="158" spans="1:10" s="5" customFormat="1" ht="24.75" customHeight="1" x14ac:dyDescent="0.2">
      <c r="A158" s="556" t="s">
        <v>3480</v>
      </c>
      <c r="B158" s="556" t="s">
        <v>2261</v>
      </c>
      <c r="C158" s="556" t="s">
        <v>5660</v>
      </c>
      <c r="D158" s="553"/>
      <c r="E158" s="553" t="s">
        <v>2262</v>
      </c>
      <c r="F158" s="107">
        <v>88.4</v>
      </c>
      <c r="G158" s="556">
        <v>1996</v>
      </c>
      <c r="H158" s="41"/>
      <c r="I158" s="556" t="s">
        <v>32</v>
      </c>
      <c r="J158" s="556"/>
    </row>
    <row r="159" spans="1:10" s="5" customFormat="1" ht="21.75" customHeight="1" x14ac:dyDescent="0.2">
      <c r="A159" s="556" t="s">
        <v>2221</v>
      </c>
      <c r="B159" s="556" t="s">
        <v>319</v>
      </c>
      <c r="C159" s="556" t="s">
        <v>5660</v>
      </c>
      <c r="D159" s="553"/>
      <c r="E159" s="553"/>
      <c r="F159" s="107">
        <v>573</v>
      </c>
      <c r="G159" s="556">
        <v>1991</v>
      </c>
      <c r="H159" s="41"/>
      <c r="I159" s="556" t="s">
        <v>330</v>
      </c>
      <c r="J159" s="556" t="s">
        <v>330</v>
      </c>
    </row>
    <row r="160" spans="1:10" ht="27" customHeight="1" x14ac:dyDescent="0.2">
      <c r="A160" s="556" t="s">
        <v>2222</v>
      </c>
      <c r="B160" s="556" t="s">
        <v>4190</v>
      </c>
      <c r="C160" s="557" t="s">
        <v>5661</v>
      </c>
      <c r="D160" s="553" t="s">
        <v>5288</v>
      </c>
      <c r="E160" s="345" t="s">
        <v>177</v>
      </c>
      <c r="F160" s="56">
        <v>172.9</v>
      </c>
      <c r="G160" s="557" t="s">
        <v>163</v>
      </c>
      <c r="H160" s="21">
        <v>2862520.3</v>
      </c>
      <c r="I160" s="8" t="s">
        <v>13820</v>
      </c>
      <c r="J160" s="8" t="s">
        <v>13820</v>
      </c>
    </row>
    <row r="161" spans="1:10" s="67" customFormat="1" ht="25.5" customHeight="1" x14ac:dyDescent="0.2">
      <c r="A161" s="10" t="s">
        <v>3481</v>
      </c>
      <c r="B161" s="139" t="s">
        <v>3538</v>
      </c>
      <c r="C161" s="106" t="s">
        <v>5662</v>
      </c>
      <c r="D161" s="12" t="s">
        <v>5289</v>
      </c>
      <c r="E161" s="65" t="s">
        <v>4197</v>
      </c>
      <c r="F161" s="140">
        <f>285.4-48.4</f>
        <v>236.99999999999997</v>
      </c>
      <c r="G161" s="139" t="s">
        <v>73</v>
      </c>
      <c r="H161" s="144">
        <v>4216587.87</v>
      </c>
      <c r="I161" s="139" t="s">
        <v>3626</v>
      </c>
      <c r="J161" s="139" t="s">
        <v>3626</v>
      </c>
    </row>
    <row r="162" spans="1:10" s="67" customFormat="1" ht="27.75" customHeight="1" x14ac:dyDescent="0.2">
      <c r="A162" s="10" t="s">
        <v>3482</v>
      </c>
      <c r="B162" s="139" t="s">
        <v>2340</v>
      </c>
      <c r="C162" s="106" t="s">
        <v>5662</v>
      </c>
      <c r="D162" s="12" t="s">
        <v>5290</v>
      </c>
      <c r="E162" s="65" t="s">
        <v>381</v>
      </c>
      <c r="F162" s="140">
        <v>48.4</v>
      </c>
      <c r="G162" s="139">
        <v>1986</v>
      </c>
      <c r="H162" s="144">
        <v>861109.08</v>
      </c>
      <c r="I162" s="139" t="s">
        <v>3626</v>
      </c>
      <c r="J162" s="139" t="s">
        <v>3626</v>
      </c>
    </row>
    <row r="163" spans="1:10" s="67" customFormat="1" ht="24.75" customHeight="1" x14ac:dyDescent="0.2">
      <c r="A163" s="10" t="s">
        <v>2223</v>
      </c>
      <c r="B163" s="139" t="s">
        <v>4120</v>
      </c>
      <c r="C163" s="106" t="s">
        <v>5662</v>
      </c>
      <c r="D163" s="12" t="s">
        <v>5291</v>
      </c>
      <c r="E163" s="65" t="s">
        <v>4110</v>
      </c>
      <c r="F163" s="140">
        <f>286.8+44.9</f>
        <v>331.7</v>
      </c>
      <c r="G163" s="139" t="s">
        <v>73</v>
      </c>
      <c r="H163" s="144">
        <v>591443.87</v>
      </c>
      <c r="I163" s="139" t="s">
        <v>3626</v>
      </c>
      <c r="J163" s="139" t="s">
        <v>3626</v>
      </c>
    </row>
    <row r="164" spans="1:10" s="67" customFormat="1" ht="27.75" customHeight="1" x14ac:dyDescent="0.2">
      <c r="A164" s="10" t="s">
        <v>2224</v>
      </c>
      <c r="B164" s="139" t="s">
        <v>13</v>
      </c>
      <c r="C164" s="106" t="s">
        <v>5662</v>
      </c>
      <c r="D164" s="12" t="s">
        <v>5292</v>
      </c>
      <c r="E164" s="65" t="s">
        <v>3794</v>
      </c>
      <c r="F164" s="168">
        <v>250.9</v>
      </c>
      <c r="G164" s="139">
        <v>1986</v>
      </c>
      <c r="H164" s="144">
        <v>4463889.8600000003</v>
      </c>
      <c r="I164" s="139" t="s">
        <v>3626</v>
      </c>
      <c r="J164" s="139" t="s">
        <v>3626</v>
      </c>
    </row>
    <row r="165" spans="1:10" s="67" customFormat="1" ht="27.75" customHeight="1" x14ac:dyDescent="0.2">
      <c r="A165" s="10" t="s">
        <v>2225</v>
      </c>
      <c r="B165" s="139" t="s">
        <v>4756</v>
      </c>
      <c r="C165" s="106" t="s">
        <v>5662</v>
      </c>
      <c r="D165" s="12" t="s">
        <v>5293</v>
      </c>
      <c r="E165" s="65" t="s">
        <v>3795</v>
      </c>
      <c r="F165" s="140">
        <v>536</v>
      </c>
      <c r="G165" s="139" t="s">
        <v>75</v>
      </c>
      <c r="H165" s="144">
        <v>9536249.3599999994</v>
      </c>
      <c r="I165" s="139" t="s">
        <v>3626</v>
      </c>
      <c r="J165" s="139" t="s">
        <v>3626</v>
      </c>
    </row>
    <row r="166" spans="1:10" s="67" customFormat="1" ht="27.75" customHeight="1" x14ac:dyDescent="0.2">
      <c r="A166" s="10" t="s">
        <v>10684</v>
      </c>
      <c r="B166" s="139" t="s">
        <v>10685</v>
      </c>
      <c r="C166" s="106" t="s">
        <v>5662</v>
      </c>
      <c r="D166" s="12" t="s">
        <v>5293</v>
      </c>
      <c r="E166" s="65" t="s">
        <v>3795</v>
      </c>
      <c r="F166" s="140">
        <v>435.4</v>
      </c>
      <c r="G166" s="139" t="s">
        <v>75</v>
      </c>
      <c r="H166" s="65"/>
      <c r="I166" s="139" t="s">
        <v>10686</v>
      </c>
      <c r="J166" s="139"/>
    </row>
    <row r="167" spans="1:10" s="67" customFormat="1" ht="23.25" customHeight="1" x14ac:dyDescent="0.2">
      <c r="A167" s="10" t="s">
        <v>2226</v>
      </c>
      <c r="B167" s="139" t="s">
        <v>3535</v>
      </c>
      <c r="C167" s="106" t="s">
        <v>5662</v>
      </c>
      <c r="D167" s="12" t="s">
        <v>5294</v>
      </c>
      <c r="E167" s="65" t="s">
        <v>3796</v>
      </c>
      <c r="F167" s="168">
        <v>484.3</v>
      </c>
      <c r="G167" s="139"/>
      <c r="H167" s="144">
        <v>861428.29</v>
      </c>
      <c r="I167" s="139" t="s">
        <v>3626</v>
      </c>
      <c r="J167" s="139" t="s">
        <v>3626</v>
      </c>
    </row>
    <row r="168" spans="1:10" s="67" customFormat="1" ht="33.75" customHeight="1" x14ac:dyDescent="0.2">
      <c r="A168" s="10" t="s">
        <v>2227</v>
      </c>
      <c r="B168" s="139" t="s">
        <v>10</v>
      </c>
      <c r="C168" s="106" t="s">
        <v>5662</v>
      </c>
      <c r="D168" s="12" t="s">
        <v>5295</v>
      </c>
      <c r="E168" s="65" t="s">
        <v>3797</v>
      </c>
      <c r="F168" s="168">
        <v>466.2</v>
      </c>
      <c r="G168" s="139"/>
      <c r="H168" s="144">
        <v>8294401.96</v>
      </c>
      <c r="I168" s="139" t="s">
        <v>3626</v>
      </c>
      <c r="J168" s="139" t="s">
        <v>3626</v>
      </c>
    </row>
    <row r="169" spans="1:10" s="67" customFormat="1" ht="29.25" customHeight="1" x14ac:dyDescent="0.2">
      <c r="A169" s="10" t="s">
        <v>2228</v>
      </c>
      <c r="B169" s="139" t="s">
        <v>3536</v>
      </c>
      <c r="C169" s="106" t="s">
        <v>5662</v>
      </c>
      <c r="D169" s="12" t="s">
        <v>5296</v>
      </c>
      <c r="E169" s="65" t="s">
        <v>3798</v>
      </c>
      <c r="F169" s="141">
        <v>1635.7</v>
      </c>
      <c r="G169" s="139">
        <v>1986</v>
      </c>
      <c r="H169" s="144">
        <v>29101572.91</v>
      </c>
      <c r="I169" s="139" t="s">
        <v>3626</v>
      </c>
      <c r="J169" s="139" t="s">
        <v>3626</v>
      </c>
    </row>
    <row r="170" spans="1:10" s="67" customFormat="1" ht="29.25" customHeight="1" x14ac:dyDescent="0.2">
      <c r="A170" s="10" t="s">
        <v>10687</v>
      </c>
      <c r="B170" s="139" t="s">
        <v>10688</v>
      </c>
      <c r="C170" s="106" t="s">
        <v>5662</v>
      </c>
      <c r="D170" s="12" t="s">
        <v>5296</v>
      </c>
      <c r="E170" s="65" t="s">
        <v>10689</v>
      </c>
      <c r="F170" s="141">
        <v>52.2</v>
      </c>
      <c r="G170" s="139">
        <v>1986</v>
      </c>
      <c r="H170" s="12"/>
      <c r="I170" s="139" t="s">
        <v>10686</v>
      </c>
      <c r="J170" s="139"/>
    </row>
    <row r="171" spans="1:10" s="67" customFormat="1" ht="29.25" customHeight="1" x14ac:dyDescent="0.2">
      <c r="A171" s="10" t="s">
        <v>10690</v>
      </c>
      <c r="B171" s="139" t="s">
        <v>10691</v>
      </c>
      <c r="C171" s="106" t="s">
        <v>5662</v>
      </c>
      <c r="D171" s="12" t="s">
        <v>5296</v>
      </c>
      <c r="E171" s="65" t="s">
        <v>10689</v>
      </c>
      <c r="F171" s="141">
        <v>102.1</v>
      </c>
      <c r="G171" s="139">
        <v>1986</v>
      </c>
      <c r="H171" s="12"/>
      <c r="I171" s="139" t="s">
        <v>10686</v>
      </c>
      <c r="J171" s="139"/>
    </row>
    <row r="172" spans="1:10" s="67" customFormat="1" ht="29.25" customHeight="1" x14ac:dyDescent="0.2">
      <c r="A172" s="10" t="s">
        <v>10692</v>
      </c>
      <c r="B172" s="139" t="s">
        <v>10693</v>
      </c>
      <c r="C172" s="106" t="s">
        <v>5662</v>
      </c>
      <c r="D172" s="12" t="s">
        <v>5296</v>
      </c>
      <c r="E172" s="65" t="s">
        <v>10694</v>
      </c>
      <c r="F172" s="141">
        <v>15.1</v>
      </c>
      <c r="G172" s="139">
        <v>1986</v>
      </c>
      <c r="H172" s="65"/>
      <c r="I172" s="139" t="s">
        <v>10686</v>
      </c>
      <c r="J172" s="139"/>
    </row>
    <row r="173" spans="1:10" s="67" customFormat="1" ht="29.25" customHeight="1" x14ac:dyDescent="0.2">
      <c r="A173" s="10" t="s">
        <v>2721</v>
      </c>
      <c r="B173" s="139" t="s">
        <v>3537</v>
      </c>
      <c r="C173" s="106" t="s">
        <v>5662</v>
      </c>
      <c r="D173" s="12" t="s">
        <v>5297</v>
      </c>
      <c r="E173" s="65" t="s">
        <v>4121</v>
      </c>
      <c r="F173" s="141">
        <v>91.9</v>
      </c>
      <c r="G173" s="139">
        <v>1986</v>
      </c>
      <c r="H173" s="144">
        <v>1635039.77</v>
      </c>
      <c r="I173" s="139" t="s">
        <v>3626</v>
      </c>
      <c r="J173" s="139" t="s">
        <v>3626</v>
      </c>
    </row>
    <row r="174" spans="1:10" ht="27" customHeight="1" x14ac:dyDescent="0.2">
      <c r="A174" s="557" t="s">
        <v>2341</v>
      </c>
      <c r="B174" s="557" t="s">
        <v>3539</v>
      </c>
      <c r="C174" s="106" t="s">
        <v>5662</v>
      </c>
      <c r="D174" s="553" t="s">
        <v>5298</v>
      </c>
      <c r="E174" s="345" t="s">
        <v>2330</v>
      </c>
      <c r="F174" s="56">
        <v>5.4</v>
      </c>
      <c r="G174" s="557"/>
      <c r="H174" s="41">
        <v>89402.02</v>
      </c>
      <c r="I174" s="10" t="s">
        <v>3626</v>
      </c>
      <c r="J174" s="10" t="s">
        <v>3626</v>
      </c>
    </row>
    <row r="175" spans="1:10" ht="50.25" customHeight="1" x14ac:dyDescent="0.2">
      <c r="A175" s="556" t="s">
        <v>2342</v>
      </c>
      <c r="B175" s="12" t="s">
        <v>320</v>
      </c>
      <c r="C175" s="12" t="s">
        <v>3696</v>
      </c>
      <c r="D175" s="92"/>
      <c r="E175" s="12" t="s">
        <v>3697</v>
      </c>
      <c r="F175" s="107">
        <v>24</v>
      </c>
      <c r="G175" s="17" t="s">
        <v>461</v>
      </c>
      <c r="H175" s="41"/>
      <c r="I175" s="556" t="s">
        <v>479</v>
      </c>
      <c r="J175" s="188" t="s">
        <v>8280</v>
      </c>
    </row>
    <row r="176" spans="1:10" s="67" customFormat="1" ht="42.75" customHeight="1" x14ac:dyDescent="0.2">
      <c r="A176" s="544" t="s">
        <v>3400</v>
      </c>
      <c r="B176" s="544" t="s">
        <v>517</v>
      </c>
      <c r="C176" s="544" t="s">
        <v>5663</v>
      </c>
      <c r="D176" s="18" t="s">
        <v>5299</v>
      </c>
      <c r="E176" s="551" t="s">
        <v>6717</v>
      </c>
      <c r="F176" s="331">
        <v>1942.1</v>
      </c>
      <c r="G176" s="556" t="s">
        <v>3561</v>
      </c>
      <c r="H176" s="548">
        <v>6151621.1699999999</v>
      </c>
      <c r="I176" s="150" t="s">
        <v>8074</v>
      </c>
      <c r="J176" s="150" t="s">
        <v>8074</v>
      </c>
    </row>
    <row r="177" spans="1:10" s="67" customFormat="1" ht="35.25" customHeight="1" x14ac:dyDescent="0.2">
      <c r="A177" s="556" t="s">
        <v>3401</v>
      </c>
      <c r="B177" s="556" t="s">
        <v>3392</v>
      </c>
      <c r="C177" s="556" t="s">
        <v>5663</v>
      </c>
      <c r="D177" s="553" t="s">
        <v>5300</v>
      </c>
      <c r="E177" s="553" t="s">
        <v>516</v>
      </c>
      <c r="F177" s="81">
        <v>138.19999999999999</v>
      </c>
      <c r="G177" s="556" t="s">
        <v>3110</v>
      </c>
      <c r="H177" s="41">
        <v>437749.88</v>
      </c>
      <c r="I177" s="251" t="s">
        <v>8074</v>
      </c>
      <c r="J177" s="251" t="s">
        <v>8074</v>
      </c>
    </row>
    <row r="178" spans="1:10" s="67" customFormat="1" ht="35.25" customHeight="1" x14ac:dyDescent="0.2">
      <c r="A178" s="556" t="s">
        <v>3402</v>
      </c>
      <c r="B178" s="556" t="s">
        <v>3392</v>
      </c>
      <c r="C178" s="556" t="s">
        <v>5663</v>
      </c>
      <c r="D178" s="553" t="s">
        <v>5301</v>
      </c>
      <c r="E178" s="553" t="s">
        <v>516</v>
      </c>
      <c r="F178" s="81">
        <v>59.1</v>
      </c>
      <c r="G178" s="556" t="s">
        <v>3110</v>
      </c>
      <c r="H178" s="41">
        <v>1628563.74</v>
      </c>
      <c r="I178" s="251" t="s">
        <v>8074</v>
      </c>
      <c r="J178" s="251" t="s">
        <v>8074</v>
      </c>
    </row>
    <row r="179" spans="1:10" s="67" customFormat="1" ht="36" customHeight="1" x14ac:dyDescent="0.2">
      <c r="A179" s="556" t="s">
        <v>2343</v>
      </c>
      <c r="B179" s="556" t="s">
        <v>3767</v>
      </c>
      <c r="C179" s="556" t="s">
        <v>5663</v>
      </c>
      <c r="D179" s="553" t="s">
        <v>5302</v>
      </c>
      <c r="E179" s="553" t="s">
        <v>381</v>
      </c>
      <c r="F179" s="81">
        <v>24.1</v>
      </c>
      <c r="G179" s="556" t="s">
        <v>3110</v>
      </c>
      <c r="H179" s="41"/>
      <c r="I179" s="251" t="s">
        <v>8074</v>
      </c>
      <c r="J179" s="251" t="s">
        <v>8074</v>
      </c>
    </row>
    <row r="180" spans="1:10" s="67" customFormat="1" ht="36.75" customHeight="1" x14ac:dyDescent="0.2">
      <c r="A180" s="556" t="s">
        <v>2344</v>
      </c>
      <c r="B180" s="556" t="s">
        <v>465</v>
      </c>
      <c r="C180" s="556" t="s">
        <v>5663</v>
      </c>
      <c r="D180" s="553" t="s">
        <v>5303</v>
      </c>
      <c r="E180" s="553" t="s">
        <v>519</v>
      </c>
      <c r="F180" s="107">
        <v>132.19999999999999</v>
      </c>
      <c r="G180" s="556" t="s">
        <v>160</v>
      </c>
      <c r="H180" s="41">
        <v>418744.82</v>
      </c>
      <c r="I180" s="251" t="s">
        <v>8074</v>
      </c>
      <c r="J180" s="251" t="s">
        <v>8074</v>
      </c>
    </row>
    <row r="181" spans="1:10" s="67" customFormat="1" ht="36" customHeight="1" x14ac:dyDescent="0.2">
      <c r="A181" s="556" t="s">
        <v>2345</v>
      </c>
      <c r="B181" s="556" t="s">
        <v>3389</v>
      </c>
      <c r="C181" s="556" t="s">
        <v>5663</v>
      </c>
      <c r="D181" s="553" t="s">
        <v>5304</v>
      </c>
      <c r="E181" s="553" t="s">
        <v>17</v>
      </c>
      <c r="F181" s="107">
        <v>388.1</v>
      </c>
      <c r="G181" s="556" t="s">
        <v>70</v>
      </c>
      <c r="H181" s="41">
        <v>10694510.77</v>
      </c>
      <c r="I181" s="251" t="s">
        <v>8074</v>
      </c>
      <c r="J181" s="251" t="s">
        <v>8074</v>
      </c>
    </row>
    <row r="182" spans="1:10" s="67" customFormat="1" ht="37.5" customHeight="1" x14ac:dyDescent="0.2">
      <c r="A182" s="556" t="s">
        <v>2346</v>
      </c>
      <c r="B182" s="556" t="s">
        <v>3390</v>
      </c>
      <c r="C182" s="556" t="s">
        <v>5663</v>
      </c>
      <c r="D182" s="553" t="s">
        <v>5305</v>
      </c>
      <c r="E182" s="553" t="s">
        <v>381</v>
      </c>
      <c r="F182" s="107">
        <v>49.9</v>
      </c>
      <c r="G182" s="556" t="s">
        <v>3393</v>
      </c>
      <c r="H182" s="41">
        <v>158058.75</v>
      </c>
      <c r="I182" s="251" t="s">
        <v>8074</v>
      </c>
      <c r="J182" s="251" t="s">
        <v>8074</v>
      </c>
    </row>
    <row r="183" spans="1:10" s="67" customFormat="1" ht="36" customHeight="1" x14ac:dyDescent="0.2">
      <c r="A183" s="556" t="s">
        <v>2347</v>
      </c>
      <c r="B183" s="556" t="s">
        <v>3391</v>
      </c>
      <c r="C183" s="1303" t="s">
        <v>5663</v>
      </c>
      <c r="D183" s="553" t="s">
        <v>5306</v>
      </c>
      <c r="E183" s="553" t="s">
        <v>520</v>
      </c>
      <c r="F183" s="107">
        <v>448.5</v>
      </c>
      <c r="G183" s="556" t="s">
        <v>67</v>
      </c>
      <c r="H183" s="1316">
        <v>1420628.24</v>
      </c>
      <c r="I183" s="251" t="s">
        <v>8074</v>
      </c>
      <c r="J183" s="251" t="s">
        <v>8074</v>
      </c>
    </row>
    <row r="184" spans="1:10" s="67" customFormat="1" ht="37.5" customHeight="1" x14ac:dyDescent="0.2">
      <c r="A184" s="556" t="s">
        <v>3483</v>
      </c>
      <c r="B184" s="556" t="s">
        <v>3403</v>
      </c>
      <c r="C184" s="1304"/>
      <c r="D184" s="553"/>
      <c r="E184" s="553" t="s">
        <v>177</v>
      </c>
      <c r="F184" s="107">
        <v>36.5</v>
      </c>
      <c r="G184" s="556" t="s">
        <v>67</v>
      </c>
      <c r="H184" s="1317"/>
      <c r="I184" s="251" t="s">
        <v>8074</v>
      </c>
      <c r="J184" s="251" t="s">
        <v>8074</v>
      </c>
    </row>
    <row r="185" spans="1:10" s="67" customFormat="1" ht="36" customHeight="1" x14ac:dyDescent="0.2">
      <c r="A185" s="556" t="s">
        <v>3484</v>
      </c>
      <c r="B185" s="556" t="s">
        <v>3404</v>
      </c>
      <c r="C185" s="1305"/>
      <c r="D185" s="553"/>
      <c r="E185" s="553" t="s">
        <v>3405</v>
      </c>
      <c r="F185" s="107">
        <v>72.7</v>
      </c>
      <c r="G185" s="556" t="s">
        <v>67</v>
      </c>
      <c r="H185" s="41"/>
      <c r="I185" s="251" t="s">
        <v>8074</v>
      </c>
      <c r="J185" s="251" t="s">
        <v>8074</v>
      </c>
    </row>
    <row r="186" spans="1:10" s="69" customFormat="1" ht="28.5" customHeight="1" x14ac:dyDescent="0.2">
      <c r="A186" s="106" t="s">
        <v>2348</v>
      </c>
      <c r="B186" s="106" t="s">
        <v>4047</v>
      </c>
      <c r="C186" s="106" t="s">
        <v>5663</v>
      </c>
      <c r="D186" s="553" t="s">
        <v>5307</v>
      </c>
      <c r="E186" s="84" t="s">
        <v>381</v>
      </c>
      <c r="F186" s="167">
        <v>195.5</v>
      </c>
      <c r="G186" s="106" t="s">
        <v>80</v>
      </c>
      <c r="H186" s="41">
        <v>5387211.6900000004</v>
      </c>
      <c r="I186" s="106" t="s">
        <v>3805</v>
      </c>
      <c r="J186" s="106"/>
    </row>
    <row r="187" spans="1:10" ht="38.25" customHeight="1" x14ac:dyDescent="0.2">
      <c r="A187" s="556" t="s">
        <v>2349</v>
      </c>
      <c r="B187" s="557" t="s">
        <v>5501</v>
      </c>
      <c r="C187" s="557" t="s">
        <v>5657</v>
      </c>
      <c r="D187" s="553" t="s">
        <v>5585</v>
      </c>
      <c r="E187" s="84" t="s">
        <v>5502</v>
      </c>
      <c r="F187" s="166">
        <v>39.9</v>
      </c>
      <c r="G187" s="557">
        <v>1997</v>
      </c>
      <c r="H187" s="41">
        <v>239629.43</v>
      </c>
      <c r="I187" s="32" t="s">
        <v>5894</v>
      </c>
      <c r="J187" s="32" t="s">
        <v>5267</v>
      </c>
    </row>
    <row r="188" spans="1:10" ht="34.5" customHeight="1" x14ac:dyDescent="0.2">
      <c r="A188" s="17" t="s">
        <v>2350</v>
      </c>
      <c r="B188" s="1293" t="s">
        <v>6563</v>
      </c>
      <c r="C188" s="1293" t="s">
        <v>5658</v>
      </c>
      <c r="D188" s="553" t="s">
        <v>6564</v>
      </c>
      <c r="E188" s="345" t="s">
        <v>60</v>
      </c>
      <c r="F188" s="56">
        <f>107.2-54</f>
        <v>53.2</v>
      </c>
      <c r="G188" s="557" t="s">
        <v>71</v>
      </c>
      <c r="H188" s="1316">
        <v>657198.18000000005</v>
      </c>
      <c r="I188" s="1303" t="s">
        <v>6593</v>
      </c>
      <c r="J188" s="1303" t="s">
        <v>6593</v>
      </c>
    </row>
    <row r="189" spans="1:10" ht="27" customHeight="1" x14ac:dyDescent="0.2">
      <c r="A189" s="47" t="s">
        <v>5589</v>
      </c>
      <c r="B189" s="1295"/>
      <c r="C189" s="1295"/>
      <c r="D189" s="553" t="s">
        <v>6564</v>
      </c>
      <c r="E189" s="345" t="s">
        <v>60</v>
      </c>
      <c r="F189" s="56">
        <v>54</v>
      </c>
      <c r="G189" s="557" t="s">
        <v>71</v>
      </c>
      <c r="H189" s="1317"/>
      <c r="I189" s="1305"/>
      <c r="J189" s="1305"/>
    </row>
    <row r="190" spans="1:10" ht="29.25" customHeight="1" x14ac:dyDescent="0.2">
      <c r="A190" s="556" t="s">
        <v>5421</v>
      </c>
      <c r="B190" s="557" t="s">
        <v>2278</v>
      </c>
      <c r="C190" s="557" t="s">
        <v>5656</v>
      </c>
      <c r="D190" s="553" t="s">
        <v>9244</v>
      </c>
      <c r="E190" s="345" t="s">
        <v>3778</v>
      </c>
      <c r="F190" s="56">
        <v>40.1</v>
      </c>
      <c r="G190" s="557" t="s">
        <v>16</v>
      </c>
      <c r="H190" s="41">
        <v>395096.88</v>
      </c>
      <c r="I190" s="143" t="s">
        <v>5268</v>
      </c>
      <c r="J190" s="143" t="s">
        <v>5268</v>
      </c>
    </row>
    <row r="191" spans="1:10" ht="37.5" customHeight="1" x14ac:dyDescent="0.2">
      <c r="A191" s="556" t="s">
        <v>3722</v>
      </c>
      <c r="B191" s="557" t="s">
        <v>5132</v>
      </c>
      <c r="C191" s="557" t="s">
        <v>5656</v>
      </c>
      <c r="D191" s="553" t="s">
        <v>5308</v>
      </c>
      <c r="E191" s="345" t="s">
        <v>3778</v>
      </c>
      <c r="F191" s="56">
        <v>81.599999999999994</v>
      </c>
      <c r="G191" s="557">
        <v>1940</v>
      </c>
      <c r="H191" s="41">
        <v>803987.66</v>
      </c>
      <c r="I191" s="47" t="s">
        <v>3711</v>
      </c>
      <c r="J191" s="47" t="s">
        <v>3711</v>
      </c>
    </row>
    <row r="192" spans="1:10" s="247" customFormat="1" ht="37.5" customHeight="1" x14ac:dyDescent="0.2">
      <c r="A192" s="734" t="s">
        <v>3732</v>
      </c>
      <c r="B192" s="733" t="s">
        <v>281</v>
      </c>
      <c r="C192" s="734" t="s">
        <v>5656</v>
      </c>
      <c r="D192" s="731" t="s">
        <v>9435</v>
      </c>
      <c r="E192" s="345" t="s">
        <v>5167</v>
      </c>
      <c r="F192" s="428">
        <v>96.8</v>
      </c>
      <c r="G192" s="734">
        <v>1969</v>
      </c>
      <c r="H192" s="41">
        <v>953750.07</v>
      </c>
      <c r="I192" s="30" t="s">
        <v>9620</v>
      </c>
      <c r="J192" s="734" t="s">
        <v>13167</v>
      </c>
    </row>
    <row r="193" spans="1:10" s="67" customFormat="1" ht="26.25" customHeight="1" x14ac:dyDescent="0.2">
      <c r="A193" s="556" t="s">
        <v>2351</v>
      </c>
      <c r="B193" s="556" t="s">
        <v>14</v>
      </c>
      <c r="C193" s="556" t="s">
        <v>5656</v>
      </c>
      <c r="D193" s="553"/>
      <c r="E193" s="553" t="s">
        <v>3419</v>
      </c>
      <c r="F193" s="81">
        <v>65.3</v>
      </c>
      <c r="G193" s="556">
        <v>1940</v>
      </c>
      <c r="H193" s="41"/>
      <c r="I193" s="75" t="s">
        <v>5268</v>
      </c>
      <c r="J193" s="75" t="s">
        <v>5268</v>
      </c>
    </row>
    <row r="194" spans="1:10" s="5" customFormat="1" ht="22.5" customHeight="1" x14ac:dyDescent="0.2">
      <c r="A194" s="556" t="s">
        <v>2352</v>
      </c>
      <c r="B194" s="556" t="s">
        <v>1993</v>
      </c>
      <c r="C194" s="556" t="s">
        <v>5659</v>
      </c>
      <c r="D194" s="553"/>
      <c r="E194" s="553"/>
      <c r="F194" s="107">
        <v>123</v>
      </c>
      <c r="G194" s="556">
        <v>1980</v>
      </c>
      <c r="H194" s="41"/>
      <c r="I194" s="556" t="s">
        <v>495</v>
      </c>
      <c r="J194" s="556" t="s">
        <v>495</v>
      </c>
    </row>
    <row r="195" spans="1:10" s="5" customFormat="1" ht="27" customHeight="1" x14ac:dyDescent="0.2">
      <c r="A195" s="556" t="s">
        <v>2353</v>
      </c>
      <c r="B195" s="556" t="s">
        <v>2263</v>
      </c>
      <c r="C195" s="556" t="s">
        <v>5659</v>
      </c>
      <c r="D195" s="553"/>
      <c r="E195" s="553" t="s">
        <v>2251</v>
      </c>
      <c r="F195" s="107">
        <v>28</v>
      </c>
      <c r="G195" s="556">
        <v>1980</v>
      </c>
      <c r="H195" s="41"/>
      <c r="I195" s="556"/>
      <c r="J195" s="556"/>
    </row>
    <row r="196" spans="1:10" s="5" customFormat="1" ht="45" customHeight="1" x14ac:dyDescent="0.2">
      <c r="A196" s="556" t="s">
        <v>2354</v>
      </c>
      <c r="B196" s="556" t="s">
        <v>3390</v>
      </c>
      <c r="C196" s="556" t="s">
        <v>5659</v>
      </c>
      <c r="D196" s="553"/>
      <c r="E196" s="553" t="s">
        <v>2264</v>
      </c>
      <c r="F196" s="107">
        <v>101.9</v>
      </c>
      <c r="G196" s="556">
        <v>1980</v>
      </c>
      <c r="H196" s="41"/>
      <c r="I196" s="556"/>
      <c r="J196" s="556"/>
    </row>
    <row r="197" spans="1:10" s="34" customFormat="1" ht="30" customHeight="1" x14ac:dyDescent="0.2">
      <c r="A197" s="557" t="s">
        <v>2355</v>
      </c>
      <c r="B197" s="557" t="s">
        <v>2668</v>
      </c>
      <c r="C197" s="557" t="s">
        <v>5650</v>
      </c>
      <c r="D197" s="553"/>
      <c r="E197" s="557" t="s">
        <v>3470</v>
      </c>
      <c r="F197" s="56">
        <v>35.6</v>
      </c>
      <c r="G197" s="557" t="s">
        <v>2667</v>
      </c>
      <c r="H197" s="41"/>
      <c r="I197" s="345"/>
      <c r="J197" s="109"/>
    </row>
    <row r="198" spans="1:10" ht="37.5" customHeight="1" x14ac:dyDescent="0.2">
      <c r="A198" s="544" t="s">
        <v>2356</v>
      </c>
      <c r="B198" s="544" t="s">
        <v>9518</v>
      </c>
      <c r="C198" s="544" t="s">
        <v>5651</v>
      </c>
      <c r="D198" s="553" t="s">
        <v>8232</v>
      </c>
      <c r="E198" s="553" t="s">
        <v>2256</v>
      </c>
      <c r="F198" s="107">
        <f>278+92.5+110.3</f>
        <v>480.8</v>
      </c>
      <c r="G198" s="556">
        <v>1959</v>
      </c>
      <c r="H198" s="41">
        <v>3844750.21</v>
      </c>
      <c r="I198" s="544" t="s">
        <v>5618</v>
      </c>
      <c r="J198" s="544" t="s">
        <v>5618</v>
      </c>
    </row>
    <row r="199" spans="1:10" ht="56.25" customHeight="1" x14ac:dyDescent="0.2">
      <c r="A199" s="557" t="s">
        <v>2357</v>
      </c>
      <c r="B199" s="557" t="s">
        <v>3454</v>
      </c>
      <c r="C199" s="734" t="s">
        <v>12955</v>
      </c>
      <c r="D199" s="553" t="s">
        <v>5309</v>
      </c>
      <c r="E199" s="345" t="s">
        <v>2258</v>
      </c>
      <c r="F199" s="166">
        <v>62.3</v>
      </c>
      <c r="G199" s="557" t="s">
        <v>3644</v>
      </c>
      <c r="H199" s="41">
        <v>275004.03999999998</v>
      </c>
      <c r="I199" s="251" t="s">
        <v>8074</v>
      </c>
      <c r="J199" s="251" t="s">
        <v>8074</v>
      </c>
    </row>
    <row r="200" spans="1:10" s="179" customFormat="1" ht="40.5" customHeight="1" x14ac:dyDescent="0.2">
      <c r="A200" s="556" t="s">
        <v>2358</v>
      </c>
      <c r="B200" s="556" t="s">
        <v>6510</v>
      </c>
      <c r="C200" s="556" t="s">
        <v>5652</v>
      </c>
      <c r="D200" s="553" t="s">
        <v>6401</v>
      </c>
      <c r="E200" s="553" t="s">
        <v>2265</v>
      </c>
      <c r="F200" s="107">
        <v>679</v>
      </c>
      <c r="G200" s="556">
        <v>1995</v>
      </c>
      <c r="H200" s="41">
        <v>7130172.21</v>
      </c>
      <c r="I200" s="556" t="s">
        <v>3564</v>
      </c>
      <c r="J200" s="556" t="s">
        <v>3564</v>
      </c>
    </row>
    <row r="201" spans="1:10" s="181" customFormat="1" ht="38.25" customHeight="1" x14ac:dyDescent="0.2">
      <c r="A201" s="556" t="s">
        <v>2666</v>
      </c>
      <c r="B201" s="556" t="s">
        <v>6562</v>
      </c>
      <c r="C201" s="556" t="s">
        <v>6400</v>
      </c>
      <c r="D201" s="553" t="s">
        <v>6398</v>
      </c>
      <c r="E201" s="553" t="s">
        <v>2285</v>
      </c>
      <c r="F201" s="107">
        <f>2394.7</f>
        <v>2394.6999999999998</v>
      </c>
      <c r="G201" s="556">
        <v>1952</v>
      </c>
      <c r="H201" s="41">
        <v>36551383.719999999</v>
      </c>
      <c r="I201" s="556" t="s">
        <v>3564</v>
      </c>
      <c r="J201" s="556" t="s">
        <v>9593</v>
      </c>
    </row>
    <row r="202" spans="1:10" s="5" customFormat="1" ht="34.5" customHeight="1" x14ac:dyDescent="0.2">
      <c r="A202" s="31" t="s">
        <v>5170</v>
      </c>
      <c r="B202" s="31" t="s">
        <v>281</v>
      </c>
      <c r="C202" s="733" t="s">
        <v>6400</v>
      </c>
      <c r="D202" s="18"/>
      <c r="E202" s="31" t="s">
        <v>6399</v>
      </c>
      <c r="F202" s="89">
        <v>10</v>
      </c>
      <c r="G202" s="18" t="s">
        <v>77</v>
      </c>
      <c r="H202" s="48"/>
      <c r="I202" s="30" t="s">
        <v>6182</v>
      </c>
      <c r="J202" s="30" t="s">
        <v>13154</v>
      </c>
    </row>
    <row r="203" spans="1:10" s="5" customFormat="1" ht="45" customHeight="1" x14ac:dyDescent="0.2">
      <c r="A203" s="31" t="s">
        <v>5171</v>
      </c>
      <c r="B203" s="31" t="s">
        <v>281</v>
      </c>
      <c r="C203" s="556" t="s">
        <v>6400</v>
      </c>
      <c r="D203" s="18"/>
      <c r="E203" s="31" t="s">
        <v>6399</v>
      </c>
      <c r="F203" s="89">
        <v>6</v>
      </c>
      <c r="G203" s="18" t="s">
        <v>77</v>
      </c>
      <c r="H203" s="566"/>
      <c r="I203" s="17" t="s">
        <v>6207</v>
      </c>
      <c r="J203" s="32" t="s">
        <v>11922</v>
      </c>
    </row>
    <row r="204" spans="1:10" s="179" customFormat="1" ht="36.75" customHeight="1" x14ac:dyDescent="0.2">
      <c r="A204" s="556" t="s">
        <v>2359</v>
      </c>
      <c r="B204" s="556" t="s">
        <v>3450</v>
      </c>
      <c r="C204" s="556" t="s">
        <v>5653</v>
      </c>
      <c r="D204" s="553" t="s">
        <v>6156</v>
      </c>
      <c r="E204" s="553" t="s">
        <v>2266</v>
      </c>
      <c r="F204" s="107">
        <v>273.10000000000002</v>
      </c>
      <c r="G204" s="556">
        <v>1956</v>
      </c>
      <c r="H204" s="41">
        <v>1260528.56</v>
      </c>
      <c r="I204" s="556" t="s">
        <v>3564</v>
      </c>
      <c r="J204" s="556" t="s">
        <v>3564</v>
      </c>
    </row>
    <row r="205" spans="1:10" s="179" customFormat="1" ht="36" customHeight="1" x14ac:dyDescent="0.2">
      <c r="A205" s="556" t="s">
        <v>2360</v>
      </c>
      <c r="B205" s="556" t="s">
        <v>478</v>
      </c>
      <c r="C205" s="556" t="s">
        <v>5654</v>
      </c>
      <c r="D205" s="553" t="s">
        <v>6155</v>
      </c>
      <c r="E205" s="553" t="s">
        <v>2258</v>
      </c>
      <c r="F205" s="107">
        <v>258</v>
      </c>
      <c r="G205" s="556">
        <v>1994</v>
      </c>
      <c r="H205" s="41">
        <v>53037.06</v>
      </c>
      <c r="I205" s="556" t="s">
        <v>3564</v>
      </c>
      <c r="J205" s="556" t="s">
        <v>3564</v>
      </c>
    </row>
    <row r="206" spans="1:10" s="179" customFormat="1" ht="36" customHeight="1" x14ac:dyDescent="0.2">
      <c r="A206" s="556" t="s">
        <v>2361</v>
      </c>
      <c r="B206" s="556" t="s">
        <v>3449</v>
      </c>
      <c r="C206" s="556" t="s">
        <v>5655</v>
      </c>
      <c r="D206" s="553" t="s">
        <v>6214</v>
      </c>
      <c r="E206" s="553" t="s">
        <v>2285</v>
      </c>
      <c r="F206" s="107">
        <v>1088.3</v>
      </c>
      <c r="G206" s="556">
        <v>1976</v>
      </c>
      <c r="H206" s="41">
        <v>223721.83</v>
      </c>
      <c r="I206" s="556" t="s">
        <v>6389</v>
      </c>
      <c r="J206" s="556" t="s">
        <v>6389</v>
      </c>
    </row>
    <row r="207" spans="1:10" s="67" customFormat="1" ht="48" customHeight="1" x14ac:dyDescent="0.2">
      <c r="A207" s="544" t="s">
        <v>2362</v>
      </c>
      <c r="B207" s="544" t="s">
        <v>7679</v>
      </c>
      <c r="C207" s="544" t="s">
        <v>5550</v>
      </c>
      <c r="D207" s="553" t="s">
        <v>6474</v>
      </c>
      <c r="E207" s="553" t="s">
        <v>5261</v>
      </c>
      <c r="F207" s="107">
        <v>2619.4</v>
      </c>
      <c r="G207" s="556">
        <v>1962</v>
      </c>
      <c r="H207" s="41">
        <v>19564534.350000001</v>
      </c>
      <c r="I207" s="544" t="s">
        <v>472</v>
      </c>
      <c r="J207" s="544" t="s">
        <v>472</v>
      </c>
    </row>
    <row r="208" spans="1:10" ht="36.75" customHeight="1" x14ac:dyDescent="0.2">
      <c r="A208" s="556" t="s">
        <v>2363</v>
      </c>
      <c r="B208" s="556" t="s">
        <v>9516</v>
      </c>
      <c r="C208" s="556" t="s">
        <v>5551</v>
      </c>
      <c r="D208" s="553" t="s">
        <v>6357</v>
      </c>
      <c r="E208" s="553" t="s">
        <v>6358</v>
      </c>
      <c r="F208" s="107">
        <v>1409</v>
      </c>
      <c r="G208" s="556">
        <v>1980</v>
      </c>
      <c r="H208" s="41">
        <v>40696950.130000003</v>
      </c>
      <c r="I208" s="556" t="s">
        <v>7922</v>
      </c>
      <c r="J208" s="556" t="s">
        <v>7922</v>
      </c>
    </row>
    <row r="209" spans="1:13" ht="41.25" customHeight="1" x14ac:dyDescent="0.2">
      <c r="A209" s="556" t="s">
        <v>2364</v>
      </c>
      <c r="B209" s="556" t="s">
        <v>7690</v>
      </c>
      <c r="C209" s="556" t="s">
        <v>5551</v>
      </c>
      <c r="D209" s="553" t="s">
        <v>7740</v>
      </c>
      <c r="E209" s="553" t="s">
        <v>7685</v>
      </c>
      <c r="F209" s="107">
        <v>75.3</v>
      </c>
      <c r="G209" s="556">
        <v>1980</v>
      </c>
      <c r="H209" s="41">
        <v>562422.48</v>
      </c>
      <c r="I209" s="556" t="s">
        <v>7922</v>
      </c>
      <c r="J209" s="556" t="s">
        <v>7922</v>
      </c>
    </row>
    <row r="210" spans="1:13" s="179" customFormat="1" ht="33.75" customHeight="1" x14ac:dyDescent="0.2">
      <c r="A210" s="556" t="s">
        <v>2365</v>
      </c>
      <c r="B210" s="556" t="s">
        <v>7691</v>
      </c>
      <c r="C210" s="556" t="s">
        <v>5552</v>
      </c>
      <c r="D210" s="553"/>
      <c r="E210" s="553" t="s">
        <v>164</v>
      </c>
      <c r="F210" s="81">
        <v>122.5</v>
      </c>
      <c r="G210" s="556">
        <v>1966</v>
      </c>
      <c r="H210" s="41"/>
      <c r="I210" s="32" t="s">
        <v>305</v>
      </c>
      <c r="J210" s="32" t="s">
        <v>305</v>
      </c>
    </row>
    <row r="211" spans="1:13" s="67" customFormat="1" ht="43.5" customHeight="1" x14ac:dyDescent="0.2">
      <c r="A211" s="733" t="s">
        <v>2366</v>
      </c>
      <c r="B211" s="733" t="s">
        <v>34</v>
      </c>
      <c r="C211" s="733" t="s">
        <v>5553</v>
      </c>
      <c r="D211" s="731" t="s">
        <v>8320</v>
      </c>
      <c r="E211" s="731" t="s">
        <v>5232</v>
      </c>
      <c r="F211" s="107">
        <v>221.4</v>
      </c>
      <c r="G211" s="733">
        <v>1956</v>
      </c>
      <c r="H211" s="41">
        <v>1916735.08</v>
      </c>
      <c r="I211" s="734" t="s">
        <v>13169</v>
      </c>
      <c r="J211" s="734" t="s">
        <v>13170</v>
      </c>
      <c r="K211" s="179"/>
      <c r="L211" s="179"/>
      <c r="M211" s="179"/>
    </row>
    <row r="212" spans="1:13" s="179" customFormat="1" ht="38.25" customHeight="1" x14ac:dyDescent="0.2">
      <c r="A212" s="556" t="s">
        <v>2367</v>
      </c>
      <c r="B212" s="556" t="s">
        <v>3449</v>
      </c>
      <c r="C212" s="556" t="s">
        <v>5554</v>
      </c>
      <c r="D212" s="553" t="s">
        <v>5310</v>
      </c>
      <c r="E212" s="553" t="s">
        <v>177</v>
      </c>
      <c r="F212" s="107">
        <v>280.5</v>
      </c>
      <c r="G212" s="556">
        <v>1960</v>
      </c>
      <c r="H212" s="41">
        <v>5700000</v>
      </c>
      <c r="I212" s="556" t="s">
        <v>6387</v>
      </c>
      <c r="J212" s="556" t="s">
        <v>6387</v>
      </c>
    </row>
    <row r="213" spans="1:13" s="182" customFormat="1" ht="33.75" customHeight="1" x14ac:dyDescent="0.2">
      <c r="A213" s="556" t="s">
        <v>2368</v>
      </c>
      <c r="B213" s="556" t="s">
        <v>5967</v>
      </c>
      <c r="C213" s="556" t="s">
        <v>5555</v>
      </c>
      <c r="D213" s="553" t="s">
        <v>6179</v>
      </c>
      <c r="E213" s="553" t="s">
        <v>164</v>
      </c>
      <c r="F213" s="107">
        <v>819</v>
      </c>
      <c r="G213" s="556">
        <v>1952</v>
      </c>
      <c r="H213" s="41">
        <v>6117184.71</v>
      </c>
      <c r="I213" s="556" t="s">
        <v>3564</v>
      </c>
      <c r="J213" s="556" t="s">
        <v>3564</v>
      </c>
    </row>
    <row r="214" spans="1:13" ht="60.75" customHeight="1" x14ac:dyDescent="0.2">
      <c r="A214" s="733" t="s">
        <v>2369</v>
      </c>
      <c r="B214" s="733" t="s">
        <v>1994</v>
      </c>
      <c r="C214" s="733" t="s">
        <v>5556</v>
      </c>
      <c r="D214" s="345" t="s">
        <v>13174</v>
      </c>
      <c r="E214" s="345" t="s">
        <v>5232</v>
      </c>
      <c r="F214" s="107">
        <v>4282</v>
      </c>
      <c r="G214" s="733">
        <v>1962</v>
      </c>
      <c r="H214" s="219">
        <v>3127632</v>
      </c>
      <c r="I214" s="734" t="s">
        <v>515</v>
      </c>
      <c r="J214" s="734" t="s">
        <v>13171</v>
      </c>
    </row>
    <row r="215" spans="1:13" ht="60.75" customHeight="1" x14ac:dyDescent="0.2">
      <c r="A215" s="733" t="s">
        <v>2370</v>
      </c>
      <c r="B215" s="733" t="s">
        <v>1995</v>
      </c>
      <c r="C215" s="733" t="s">
        <v>5556</v>
      </c>
      <c r="D215" s="345" t="s">
        <v>13175</v>
      </c>
      <c r="E215" s="345" t="s">
        <v>2277</v>
      </c>
      <c r="F215" s="107">
        <v>180</v>
      </c>
      <c r="G215" s="733">
        <v>1997</v>
      </c>
      <c r="H215" s="21">
        <v>43592.76</v>
      </c>
      <c r="I215" s="734" t="s">
        <v>515</v>
      </c>
      <c r="J215" s="734" t="s">
        <v>13172</v>
      </c>
    </row>
    <row r="216" spans="1:13" ht="60.75" customHeight="1" x14ac:dyDescent="0.2">
      <c r="A216" s="733" t="s">
        <v>2371</v>
      </c>
      <c r="B216" s="733" t="s">
        <v>319</v>
      </c>
      <c r="C216" s="733" t="s">
        <v>5556</v>
      </c>
      <c r="D216" s="345" t="s">
        <v>13176</v>
      </c>
      <c r="E216" s="345" t="s">
        <v>13177</v>
      </c>
      <c r="F216" s="107">
        <v>200</v>
      </c>
      <c r="G216" s="733">
        <v>1995</v>
      </c>
      <c r="H216" s="21">
        <v>28762.12</v>
      </c>
      <c r="I216" s="734" t="s">
        <v>515</v>
      </c>
      <c r="J216" s="734" t="s">
        <v>13173</v>
      </c>
    </row>
    <row r="217" spans="1:13" ht="36" customHeight="1" x14ac:dyDescent="0.2">
      <c r="A217" s="556" t="s">
        <v>3485</v>
      </c>
      <c r="B217" s="556" t="s">
        <v>10769</v>
      </c>
      <c r="C217" s="544" t="s">
        <v>10770</v>
      </c>
      <c r="D217" s="553" t="s">
        <v>10771</v>
      </c>
      <c r="E217" s="553" t="s">
        <v>5614</v>
      </c>
      <c r="F217" s="89" t="s">
        <v>11726</v>
      </c>
      <c r="G217" s="556" t="s">
        <v>3757</v>
      </c>
      <c r="H217" s="174" t="s">
        <v>11727</v>
      </c>
      <c r="I217" s="544" t="s">
        <v>3094</v>
      </c>
      <c r="J217" s="544" t="s">
        <v>3094</v>
      </c>
    </row>
    <row r="218" spans="1:13" s="5" customFormat="1" ht="35.25" customHeight="1" x14ac:dyDescent="0.2">
      <c r="A218" s="556" t="s">
        <v>3486</v>
      </c>
      <c r="B218" s="556" t="s">
        <v>281</v>
      </c>
      <c r="C218" s="96" t="s">
        <v>5557</v>
      </c>
      <c r="D218" s="94" t="s">
        <v>8094</v>
      </c>
      <c r="E218" s="553" t="s">
        <v>10526</v>
      </c>
      <c r="F218" s="107">
        <f>(661+1340)</f>
        <v>2001</v>
      </c>
      <c r="G218" s="17" t="s">
        <v>3757</v>
      </c>
      <c r="H218" s="174">
        <v>11003599.050000001</v>
      </c>
      <c r="I218" s="544" t="s">
        <v>6384</v>
      </c>
      <c r="J218" s="544" t="s">
        <v>6384</v>
      </c>
    </row>
    <row r="219" spans="1:13" s="5" customFormat="1" ht="33.75" customHeight="1" x14ac:dyDescent="0.2">
      <c r="A219" s="556" t="s">
        <v>3487</v>
      </c>
      <c r="B219" s="556" t="s">
        <v>2278</v>
      </c>
      <c r="C219" s="96" t="s">
        <v>5557</v>
      </c>
      <c r="D219" s="553" t="s">
        <v>8093</v>
      </c>
      <c r="E219" s="553" t="s">
        <v>11567</v>
      </c>
      <c r="F219" s="174">
        <f>1280-33.8-54.2-50.4-62.4-72.32</f>
        <v>1006.8799999999999</v>
      </c>
      <c r="G219" s="545" t="s">
        <v>3757</v>
      </c>
      <c r="H219" s="41">
        <v>7038784</v>
      </c>
      <c r="I219" s="556" t="s">
        <v>10527</v>
      </c>
      <c r="J219" s="556" t="s">
        <v>10527</v>
      </c>
    </row>
    <row r="220" spans="1:13" s="5" customFormat="1" ht="38.25" customHeight="1" x14ac:dyDescent="0.2">
      <c r="A220" s="556" t="s">
        <v>10695</v>
      </c>
      <c r="B220" s="556" t="s">
        <v>2278</v>
      </c>
      <c r="C220" s="96" t="s">
        <v>5557</v>
      </c>
      <c r="D220" s="553" t="s">
        <v>8093</v>
      </c>
      <c r="E220" s="553" t="s">
        <v>3758</v>
      </c>
      <c r="F220" s="107">
        <v>33.799999999999997</v>
      </c>
      <c r="G220" s="545" t="s">
        <v>3757</v>
      </c>
      <c r="H220" s="429"/>
      <c r="I220" s="544" t="s">
        <v>3716</v>
      </c>
      <c r="J220" s="544" t="s">
        <v>3716</v>
      </c>
    </row>
    <row r="221" spans="1:13" s="5" customFormat="1" ht="38.25" customHeight="1" x14ac:dyDescent="0.2">
      <c r="A221" s="556" t="s">
        <v>10696</v>
      </c>
      <c r="B221" s="556" t="s">
        <v>2278</v>
      </c>
      <c r="C221" s="96" t="s">
        <v>5557</v>
      </c>
      <c r="D221" s="553" t="s">
        <v>8093</v>
      </c>
      <c r="E221" s="553" t="s">
        <v>3758</v>
      </c>
      <c r="F221" s="107">
        <v>54.2</v>
      </c>
      <c r="G221" s="545" t="s">
        <v>3757</v>
      </c>
      <c r="H221" s="174"/>
      <c r="I221" s="544" t="s">
        <v>3716</v>
      </c>
      <c r="J221" s="544" t="s">
        <v>3716</v>
      </c>
    </row>
    <row r="222" spans="1:13" s="5" customFormat="1" ht="56.25" customHeight="1" x14ac:dyDescent="0.2">
      <c r="A222" s="733" t="s">
        <v>10772</v>
      </c>
      <c r="B222" s="733" t="s">
        <v>2278</v>
      </c>
      <c r="C222" s="96" t="s">
        <v>10773</v>
      </c>
      <c r="D222" s="731" t="s">
        <v>10774</v>
      </c>
      <c r="E222" s="731" t="s">
        <v>3758</v>
      </c>
      <c r="F222" s="107">
        <v>62.4</v>
      </c>
      <c r="G222" s="727" t="s">
        <v>3757</v>
      </c>
      <c r="H222" s="41"/>
      <c r="I222" s="729" t="s">
        <v>10775</v>
      </c>
      <c r="J222" s="729" t="s">
        <v>13178</v>
      </c>
    </row>
    <row r="223" spans="1:13" s="5" customFormat="1" ht="25.5" customHeight="1" x14ac:dyDescent="0.2">
      <c r="A223" s="556" t="s">
        <v>11563</v>
      </c>
      <c r="B223" s="556" t="s">
        <v>11564</v>
      </c>
      <c r="C223" s="96" t="s">
        <v>5557</v>
      </c>
      <c r="D223" s="553" t="s">
        <v>8093</v>
      </c>
      <c r="E223" s="553" t="s">
        <v>3758</v>
      </c>
      <c r="F223" s="174">
        <v>72.319999999999993</v>
      </c>
      <c r="G223" s="545" t="s">
        <v>3757</v>
      </c>
      <c r="H223" s="41"/>
      <c r="I223" s="544"/>
      <c r="J223" s="544"/>
    </row>
    <row r="224" spans="1:13" s="5" customFormat="1" ht="23.25" customHeight="1" x14ac:dyDescent="0.2">
      <c r="A224" s="556" t="s">
        <v>11565</v>
      </c>
      <c r="B224" s="556" t="s">
        <v>11566</v>
      </c>
      <c r="C224" s="96" t="s">
        <v>5557</v>
      </c>
      <c r="D224" s="553" t="s">
        <v>8093</v>
      </c>
      <c r="E224" s="553" t="s">
        <v>3758</v>
      </c>
      <c r="F224" s="174">
        <v>72.319999999999993</v>
      </c>
      <c r="G224" s="545" t="s">
        <v>3757</v>
      </c>
      <c r="H224" s="41">
        <v>53972.26</v>
      </c>
      <c r="I224" s="544"/>
      <c r="J224" s="544"/>
    </row>
    <row r="225" spans="1:10" s="67" customFormat="1" ht="35.25" customHeight="1" x14ac:dyDescent="0.2">
      <c r="A225" s="556" t="s">
        <v>3488</v>
      </c>
      <c r="B225" s="556" t="s">
        <v>468</v>
      </c>
      <c r="C225" s="1303" t="s">
        <v>5558</v>
      </c>
      <c r="D225" s="553" t="s">
        <v>5789</v>
      </c>
      <c r="E225" s="553" t="s">
        <v>5750</v>
      </c>
      <c r="F225" s="107">
        <v>5230</v>
      </c>
      <c r="G225" s="556" t="s">
        <v>160</v>
      </c>
      <c r="H225" s="41">
        <v>28760031.5</v>
      </c>
      <c r="I225" s="1303" t="s">
        <v>469</v>
      </c>
      <c r="J225" s="1303" t="s">
        <v>469</v>
      </c>
    </row>
    <row r="226" spans="1:10" s="67" customFormat="1" ht="17.25" customHeight="1" x14ac:dyDescent="0.2">
      <c r="A226" s="556" t="s">
        <v>3489</v>
      </c>
      <c r="B226" s="556" t="s">
        <v>2268</v>
      </c>
      <c r="C226" s="1305"/>
      <c r="D226" s="553"/>
      <c r="E226" s="553" t="s">
        <v>2269</v>
      </c>
      <c r="F226" s="107"/>
      <c r="G226" s="556">
        <v>1989</v>
      </c>
      <c r="H226" s="41"/>
      <c r="I226" s="1305"/>
      <c r="J226" s="1305"/>
    </row>
    <row r="227" spans="1:10" ht="35.25" customHeight="1" x14ac:dyDescent="0.2">
      <c r="A227" s="556" t="s">
        <v>2372</v>
      </c>
      <c r="B227" s="556" t="s">
        <v>9517</v>
      </c>
      <c r="C227" s="1303" t="s">
        <v>5559</v>
      </c>
      <c r="D227" s="553" t="s">
        <v>5498</v>
      </c>
      <c r="E227" s="553" t="s">
        <v>5499</v>
      </c>
      <c r="F227" s="81">
        <v>766.7</v>
      </c>
      <c r="G227" s="556">
        <v>1962</v>
      </c>
      <c r="H227" s="41">
        <v>4216121.6399999997</v>
      </c>
      <c r="I227" s="1303" t="s">
        <v>7924</v>
      </c>
      <c r="J227" s="1303" t="s">
        <v>7924</v>
      </c>
    </row>
    <row r="228" spans="1:10" ht="21.75" customHeight="1" x14ac:dyDescent="0.2">
      <c r="A228" s="556" t="s">
        <v>3084</v>
      </c>
      <c r="B228" s="556" t="s">
        <v>2268</v>
      </c>
      <c r="C228" s="1305"/>
      <c r="D228" s="553"/>
      <c r="E228" s="553" t="s">
        <v>2269</v>
      </c>
      <c r="F228" s="107"/>
      <c r="G228" s="556">
        <v>1971</v>
      </c>
      <c r="H228" s="41"/>
      <c r="I228" s="1305"/>
      <c r="J228" s="1305"/>
    </row>
    <row r="229" spans="1:10" ht="32.25" customHeight="1" x14ac:dyDescent="0.2">
      <c r="A229" s="556" t="s">
        <v>2373</v>
      </c>
      <c r="B229" s="556" t="s">
        <v>9518</v>
      </c>
      <c r="C229" s="1303" t="s">
        <v>5560</v>
      </c>
      <c r="D229" s="553" t="s">
        <v>5500</v>
      </c>
      <c r="E229" s="553" t="s">
        <v>5499</v>
      </c>
      <c r="F229" s="81">
        <v>1596.3</v>
      </c>
      <c r="G229" s="556" t="s">
        <v>67</v>
      </c>
      <c r="H229" s="41">
        <v>8778133.5199999996</v>
      </c>
      <c r="I229" s="1303" t="s">
        <v>7924</v>
      </c>
      <c r="J229" s="1303" t="s">
        <v>7924</v>
      </c>
    </row>
    <row r="230" spans="1:10" ht="19.5" customHeight="1" x14ac:dyDescent="0.2">
      <c r="A230" s="556" t="s">
        <v>2870</v>
      </c>
      <c r="B230" s="556" t="s">
        <v>2268</v>
      </c>
      <c r="C230" s="1305"/>
      <c r="D230" s="553"/>
      <c r="E230" s="553" t="s">
        <v>2269</v>
      </c>
      <c r="F230" s="107"/>
      <c r="G230" s="556">
        <v>1976</v>
      </c>
      <c r="H230" s="41"/>
      <c r="I230" s="1305"/>
      <c r="J230" s="1305"/>
    </row>
    <row r="231" spans="1:10" s="5" customFormat="1" ht="48.75" customHeight="1" x14ac:dyDescent="0.2">
      <c r="A231" s="556" t="s">
        <v>2871</v>
      </c>
      <c r="B231" s="556" t="s">
        <v>4109</v>
      </c>
      <c r="C231" s="556" t="s">
        <v>5557</v>
      </c>
      <c r="D231" s="553" t="s">
        <v>10528</v>
      </c>
      <c r="E231" s="553" t="s">
        <v>177</v>
      </c>
      <c r="F231" s="107">
        <v>113.7</v>
      </c>
      <c r="G231" s="556">
        <v>1995</v>
      </c>
      <c r="H231" s="41">
        <v>625241.99</v>
      </c>
      <c r="I231" s="556" t="s">
        <v>6384</v>
      </c>
      <c r="J231" s="556" t="s">
        <v>6384</v>
      </c>
    </row>
    <row r="232" spans="1:10" s="179" customFormat="1" ht="37.5" customHeight="1" x14ac:dyDescent="0.2">
      <c r="A232" s="556" t="s">
        <v>2872</v>
      </c>
      <c r="B232" s="556" t="s">
        <v>3780</v>
      </c>
      <c r="C232" s="556" t="s">
        <v>5561</v>
      </c>
      <c r="D232" s="553" t="s">
        <v>6160</v>
      </c>
      <c r="E232" s="553" t="s">
        <v>164</v>
      </c>
      <c r="F232" s="107">
        <f>2938.8-530</f>
        <v>2408.8000000000002</v>
      </c>
      <c r="G232" s="556">
        <v>1967</v>
      </c>
      <c r="H232" s="41">
        <v>16160608.140000001</v>
      </c>
      <c r="I232" s="556" t="s">
        <v>3564</v>
      </c>
      <c r="J232" s="556" t="s">
        <v>3564</v>
      </c>
    </row>
    <row r="233" spans="1:10" s="179" customFormat="1" ht="45" customHeight="1" x14ac:dyDescent="0.2">
      <c r="A233" s="556" t="s">
        <v>3490</v>
      </c>
      <c r="B233" s="556" t="s">
        <v>5995</v>
      </c>
      <c r="C233" s="556" t="s">
        <v>5561</v>
      </c>
      <c r="D233" s="553"/>
      <c r="E233" s="553" t="s">
        <v>164</v>
      </c>
      <c r="F233" s="107">
        <v>530</v>
      </c>
      <c r="G233" s="556" t="s">
        <v>475</v>
      </c>
      <c r="H233" s="41"/>
      <c r="I233" s="556" t="s">
        <v>3693</v>
      </c>
      <c r="J233" s="556" t="s">
        <v>3693</v>
      </c>
    </row>
    <row r="234" spans="1:10" s="179" customFormat="1" ht="26.25" customHeight="1" x14ac:dyDescent="0.2">
      <c r="A234" s="556" t="s">
        <v>2374</v>
      </c>
      <c r="B234" s="556" t="s">
        <v>6511</v>
      </c>
      <c r="C234" s="556" t="s">
        <v>5562</v>
      </c>
      <c r="D234" s="553" t="s">
        <v>6216</v>
      </c>
      <c r="E234" s="553" t="s">
        <v>177</v>
      </c>
      <c r="F234" s="107">
        <v>268</v>
      </c>
      <c r="G234" s="556">
        <v>1963</v>
      </c>
      <c r="H234" s="41">
        <v>4919515.2</v>
      </c>
      <c r="I234" s="556" t="s">
        <v>6388</v>
      </c>
      <c r="J234" s="556" t="s">
        <v>6388</v>
      </c>
    </row>
    <row r="235" spans="1:10" s="5" customFormat="1" ht="33.75" customHeight="1" x14ac:dyDescent="0.2">
      <c r="A235" s="556" t="s">
        <v>2873</v>
      </c>
      <c r="B235" s="556" t="s">
        <v>1996</v>
      </c>
      <c r="C235" s="556" t="s">
        <v>11568</v>
      </c>
      <c r="D235" s="553"/>
      <c r="E235" s="553"/>
      <c r="F235" s="107">
        <v>420</v>
      </c>
      <c r="G235" s="556">
        <v>1971</v>
      </c>
      <c r="H235" s="41"/>
      <c r="I235" s="556" t="s">
        <v>496</v>
      </c>
      <c r="J235" s="556" t="s">
        <v>496</v>
      </c>
    </row>
    <row r="236" spans="1:10" s="5" customFormat="1" ht="26.25" customHeight="1" x14ac:dyDescent="0.2">
      <c r="A236" s="556" t="s">
        <v>2375</v>
      </c>
      <c r="B236" s="556" t="s">
        <v>2270</v>
      </c>
      <c r="C236" s="556" t="s">
        <v>5563</v>
      </c>
      <c r="D236" s="398" t="s">
        <v>5311</v>
      </c>
      <c r="E236" s="553" t="s">
        <v>177</v>
      </c>
      <c r="F236" s="107">
        <v>796.8</v>
      </c>
      <c r="G236" s="556">
        <v>1979</v>
      </c>
      <c r="H236" s="41">
        <v>554397.5</v>
      </c>
      <c r="I236" s="556" t="s">
        <v>497</v>
      </c>
      <c r="J236" s="556" t="s">
        <v>497</v>
      </c>
    </row>
    <row r="237" spans="1:10" s="5" customFormat="1" ht="26.25" customHeight="1" x14ac:dyDescent="0.2">
      <c r="A237" s="556" t="s">
        <v>2376</v>
      </c>
      <c r="B237" s="556" t="s">
        <v>3641</v>
      </c>
      <c r="C237" s="556" t="s">
        <v>5564</v>
      </c>
      <c r="D237" s="12" t="s">
        <v>5312</v>
      </c>
      <c r="E237" s="553" t="s">
        <v>177</v>
      </c>
      <c r="F237" s="107">
        <v>429.4</v>
      </c>
      <c r="G237" s="556" t="s">
        <v>18</v>
      </c>
      <c r="H237" s="41">
        <v>2361292.0699999998</v>
      </c>
      <c r="I237" s="556" t="s">
        <v>458</v>
      </c>
      <c r="J237" s="556" t="s">
        <v>458</v>
      </c>
    </row>
    <row r="238" spans="1:10" ht="58.5" customHeight="1" x14ac:dyDescent="0.2">
      <c r="A238" s="556" t="s">
        <v>2377</v>
      </c>
      <c r="B238" s="556" t="s">
        <v>9555</v>
      </c>
      <c r="C238" s="556" t="s">
        <v>9554</v>
      </c>
      <c r="D238" s="553" t="s">
        <v>9575</v>
      </c>
      <c r="E238" s="553" t="s">
        <v>177</v>
      </c>
      <c r="F238" s="107">
        <v>459.7</v>
      </c>
      <c r="G238" s="556">
        <v>1995</v>
      </c>
      <c r="H238" s="41">
        <v>3184944.11</v>
      </c>
      <c r="I238" s="556" t="s">
        <v>329</v>
      </c>
      <c r="J238" s="556" t="s">
        <v>3088</v>
      </c>
    </row>
    <row r="239" spans="1:10" ht="35.25" customHeight="1" x14ac:dyDescent="0.2">
      <c r="A239" s="556" t="s">
        <v>2378</v>
      </c>
      <c r="B239" s="544" t="s">
        <v>9510</v>
      </c>
      <c r="C239" s="556" t="s">
        <v>5670</v>
      </c>
      <c r="D239" s="553" t="s">
        <v>5971</v>
      </c>
      <c r="E239" s="553" t="s">
        <v>5970</v>
      </c>
      <c r="F239" s="107">
        <v>835.1</v>
      </c>
      <c r="G239" s="556">
        <v>1960</v>
      </c>
      <c r="H239" s="41">
        <v>17495896.170000002</v>
      </c>
      <c r="I239" s="1303" t="s">
        <v>3050</v>
      </c>
      <c r="J239" s="1303" t="s">
        <v>3050</v>
      </c>
    </row>
    <row r="240" spans="1:10" s="5" customFormat="1" ht="23.25" customHeight="1" x14ac:dyDescent="0.2">
      <c r="A240" s="556" t="s">
        <v>3491</v>
      </c>
      <c r="B240" s="556" t="s">
        <v>2268</v>
      </c>
      <c r="C240" s="556" t="s">
        <v>5671</v>
      </c>
      <c r="D240" s="553"/>
      <c r="E240" s="553" t="s">
        <v>2269</v>
      </c>
      <c r="F240" s="107"/>
      <c r="G240" s="556">
        <v>1994</v>
      </c>
      <c r="H240" s="41"/>
      <c r="I240" s="1304"/>
      <c r="J240" s="1304"/>
    </row>
    <row r="241" spans="1:10" s="5" customFormat="1" ht="23.25" customHeight="1" x14ac:dyDescent="0.2">
      <c r="A241" s="556" t="s">
        <v>3492</v>
      </c>
      <c r="B241" s="556" t="s">
        <v>2268</v>
      </c>
      <c r="C241" s="556" t="s">
        <v>5671</v>
      </c>
      <c r="D241" s="553"/>
      <c r="E241" s="553" t="s">
        <v>2269</v>
      </c>
      <c r="F241" s="107"/>
      <c r="G241" s="556">
        <v>2008</v>
      </c>
      <c r="H241" s="41"/>
      <c r="I241" s="1305"/>
      <c r="J241" s="1305"/>
    </row>
    <row r="242" spans="1:10" s="67" customFormat="1" ht="47.25" customHeight="1" x14ac:dyDescent="0.2">
      <c r="A242" s="556" t="s">
        <v>2379</v>
      </c>
      <c r="B242" s="556" t="s">
        <v>9513</v>
      </c>
      <c r="C242" s="556" t="s">
        <v>5640</v>
      </c>
      <c r="D242" s="94" t="s">
        <v>5914</v>
      </c>
      <c r="E242" s="553" t="s">
        <v>5915</v>
      </c>
      <c r="F242" s="107">
        <f>1600.1</f>
        <v>1600.1</v>
      </c>
      <c r="G242" s="556" t="s">
        <v>503</v>
      </c>
      <c r="H242" s="41">
        <v>24188407.68</v>
      </c>
      <c r="I242" s="556" t="s">
        <v>95</v>
      </c>
      <c r="J242" s="556" t="s">
        <v>95</v>
      </c>
    </row>
    <row r="243" spans="1:10" s="67" customFormat="1" ht="47.25" customHeight="1" x14ac:dyDescent="0.2">
      <c r="A243" s="556" t="s">
        <v>2380</v>
      </c>
      <c r="B243" s="556" t="s">
        <v>9519</v>
      </c>
      <c r="C243" s="556" t="s">
        <v>5641</v>
      </c>
      <c r="D243" s="31" t="s">
        <v>7735</v>
      </c>
      <c r="E243" s="553" t="s">
        <v>2321</v>
      </c>
      <c r="F243" s="107">
        <v>53</v>
      </c>
      <c r="G243" s="556">
        <v>1962</v>
      </c>
      <c r="H243" s="41">
        <v>1007493.43</v>
      </c>
      <c r="I243" s="556" t="s">
        <v>95</v>
      </c>
      <c r="J243" s="556" t="s">
        <v>95</v>
      </c>
    </row>
    <row r="244" spans="1:10" ht="27" customHeight="1" x14ac:dyDescent="0.2">
      <c r="A244" s="556" t="s">
        <v>3493</v>
      </c>
      <c r="B244" s="556" t="s">
        <v>2268</v>
      </c>
      <c r="C244" s="556" t="s">
        <v>5642</v>
      </c>
      <c r="D244" s="553"/>
      <c r="E244" s="553" t="s">
        <v>2271</v>
      </c>
      <c r="F244" s="107" t="s">
        <v>2272</v>
      </c>
      <c r="G244" s="556">
        <v>1986</v>
      </c>
      <c r="H244" s="41"/>
      <c r="I244" s="1303" t="s">
        <v>3047</v>
      </c>
      <c r="J244" s="1303" t="s">
        <v>3047</v>
      </c>
    </row>
    <row r="245" spans="1:10" ht="23.25" customHeight="1" x14ac:dyDescent="0.2">
      <c r="A245" s="556" t="s">
        <v>3494</v>
      </c>
      <c r="B245" s="556" t="s">
        <v>2268</v>
      </c>
      <c r="C245" s="556" t="s">
        <v>5642</v>
      </c>
      <c r="D245" s="553"/>
      <c r="E245" s="553" t="s">
        <v>2271</v>
      </c>
      <c r="F245" s="107" t="s">
        <v>2273</v>
      </c>
      <c r="G245" s="556">
        <v>1999</v>
      </c>
      <c r="H245" s="41"/>
      <c r="I245" s="1304"/>
      <c r="J245" s="1304"/>
    </row>
    <row r="246" spans="1:10" ht="27" customHeight="1" x14ac:dyDescent="0.2">
      <c r="A246" s="556" t="s">
        <v>3760</v>
      </c>
      <c r="B246" s="556" t="s">
        <v>3761</v>
      </c>
      <c r="C246" s="556" t="s">
        <v>5642</v>
      </c>
      <c r="D246" s="553"/>
      <c r="E246" s="553" t="s">
        <v>3762</v>
      </c>
      <c r="F246" s="107"/>
      <c r="G246" s="556"/>
      <c r="H246" s="41"/>
      <c r="I246" s="1305"/>
      <c r="J246" s="1305"/>
    </row>
    <row r="247" spans="1:10" ht="49.5" customHeight="1" x14ac:dyDescent="0.2">
      <c r="A247" s="556" t="s">
        <v>2381</v>
      </c>
      <c r="B247" s="556" t="s">
        <v>8008</v>
      </c>
      <c r="C247" s="556" t="s">
        <v>5642</v>
      </c>
      <c r="D247" s="31" t="s">
        <v>7980</v>
      </c>
      <c r="E247" s="553" t="s">
        <v>2257</v>
      </c>
      <c r="F247" s="107">
        <v>49.8</v>
      </c>
      <c r="G247" s="556">
        <v>1994</v>
      </c>
      <c r="H247" s="41">
        <v>416995.32</v>
      </c>
      <c r="I247" s="556" t="s">
        <v>3047</v>
      </c>
      <c r="J247" s="556" t="s">
        <v>3047</v>
      </c>
    </row>
    <row r="248" spans="1:10" s="179" customFormat="1" ht="36.75" customHeight="1" x14ac:dyDescent="0.2">
      <c r="A248" s="556" t="s">
        <v>4140</v>
      </c>
      <c r="B248" s="556" t="s">
        <v>5969</v>
      </c>
      <c r="C248" s="556" t="s">
        <v>5643</v>
      </c>
      <c r="D248" s="94" t="s">
        <v>6180</v>
      </c>
      <c r="E248" s="553" t="s">
        <v>164</v>
      </c>
      <c r="F248" s="107">
        <f>2691.3-19</f>
        <v>2672.3</v>
      </c>
      <c r="G248" s="556" t="s">
        <v>77</v>
      </c>
      <c r="H248" s="41">
        <v>22535331.420000002</v>
      </c>
      <c r="I248" s="556" t="s">
        <v>3564</v>
      </c>
      <c r="J248" s="556" t="s">
        <v>3564</v>
      </c>
    </row>
    <row r="249" spans="1:10" ht="102" customHeight="1" x14ac:dyDescent="0.2">
      <c r="A249" s="557" t="s">
        <v>4141</v>
      </c>
      <c r="B249" s="557" t="s">
        <v>281</v>
      </c>
      <c r="C249" s="557" t="s">
        <v>5644</v>
      </c>
      <c r="D249" s="136"/>
      <c r="E249" s="345" t="s">
        <v>3778</v>
      </c>
      <c r="F249" s="56">
        <v>19</v>
      </c>
      <c r="G249" s="557" t="s">
        <v>77</v>
      </c>
      <c r="H249" s="21"/>
      <c r="I249" s="32" t="s">
        <v>4142</v>
      </c>
      <c r="J249" s="32" t="s">
        <v>4142</v>
      </c>
    </row>
    <row r="250" spans="1:10" s="5" customFormat="1" ht="22.5" customHeight="1" x14ac:dyDescent="0.2">
      <c r="A250" s="556" t="s">
        <v>2382</v>
      </c>
      <c r="B250" s="556" t="s">
        <v>1990</v>
      </c>
      <c r="C250" s="556" t="s">
        <v>369</v>
      </c>
      <c r="D250" s="553"/>
      <c r="E250" s="553"/>
      <c r="F250" s="107">
        <v>367.7</v>
      </c>
      <c r="G250" s="556">
        <v>1953</v>
      </c>
      <c r="H250" s="41"/>
      <c r="I250" s="556" t="s">
        <v>497</v>
      </c>
      <c r="J250" s="556" t="s">
        <v>497</v>
      </c>
    </row>
    <row r="251" spans="1:10" ht="25.5" customHeight="1" x14ac:dyDescent="0.2">
      <c r="A251" s="557" t="s">
        <v>2383</v>
      </c>
      <c r="B251" s="557" t="s">
        <v>4184</v>
      </c>
      <c r="C251" s="557" t="s">
        <v>8260</v>
      </c>
      <c r="D251" s="553" t="s">
        <v>5313</v>
      </c>
      <c r="E251" s="345" t="s">
        <v>2274</v>
      </c>
      <c r="F251" s="166">
        <v>355.8</v>
      </c>
      <c r="G251" s="557" t="s">
        <v>504</v>
      </c>
      <c r="H251" s="21">
        <v>2772108.96</v>
      </c>
      <c r="I251" s="547" t="s">
        <v>9605</v>
      </c>
      <c r="J251" s="583" t="s">
        <v>12012</v>
      </c>
    </row>
    <row r="252" spans="1:10" ht="25.5" customHeight="1" x14ac:dyDescent="0.2">
      <c r="A252" s="557" t="s">
        <v>2384</v>
      </c>
      <c r="B252" s="557" t="s">
        <v>4071</v>
      </c>
      <c r="C252" s="557" t="s">
        <v>5647</v>
      </c>
      <c r="D252" s="553" t="s">
        <v>5314</v>
      </c>
      <c r="E252" s="345" t="s">
        <v>2275</v>
      </c>
      <c r="F252" s="166">
        <v>66.8</v>
      </c>
      <c r="G252" s="557">
        <v>1996</v>
      </c>
      <c r="H252" s="21">
        <v>13732.08</v>
      </c>
      <c r="I252" s="557" t="s">
        <v>498</v>
      </c>
      <c r="J252" s="557" t="s">
        <v>498</v>
      </c>
    </row>
    <row r="253" spans="1:10" ht="29.25" customHeight="1" x14ac:dyDescent="0.2">
      <c r="A253" s="557" t="s">
        <v>2385</v>
      </c>
      <c r="B253" s="557" t="s">
        <v>4048</v>
      </c>
      <c r="C253" s="557" t="s">
        <v>5646</v>
      </c>
      <c r="D253" s="553" t="s">
        <v>5315</v>
      </c>
      <c r="E253" s="345" t="s">
        <v>164</v>
      </c>
      <c r="F253" s="166">
        <v>1342.4</v>
      </c>
      <c r="G253" s="557" t="s">
        <v>4049</v>
      </c>
      <c r="H253" s="21">
        <v>11494957.779999999</v>
      </c>
      <c r="I253" s="251" t="s">
        <v>8074</v>
      </c>
      <c r="J253" s="251" t="s">
        <v>8074</v>
      </c>
    </row>
    <row r="254" spans="1:10" s="5" customFormat="1" ht="27" customHeight="1" x14ac:dyDescent="0.2">
      <c r="A254" s="556" t="s">
        <v>2386</v>
      </c>
      <c r="B254" s="556" t="s">
        <v>3452</v>
      </c>
      <c r="C254" s="556" t="s">
        <v>5648</v>
      </c>
      <c r="D254" s="553"/>
      <c r="E254" s="553" t="s">
        <v>2266</v>
      </c>
      <c r="F254" s="107">
        <v>21.7</v>
      </c>
      <c r="G254" s="556" t="s">
        <v>3478</v>
      </c>
      <c r="H254" s="41"/>
      <c r="I254" s="556" t="s">
        <v>9605</v>
      </c>
      <c r="J254" s="584" t="s">
        <v>12012</v>
      </c>
    </row>
    <row r="255" spans="1:10" ht="24.75" customHeight="1" x14ac:dyDescent="0.2">
      <c r="A255" s="557" t="s">
        <v>2387</v>
      </c>
      <c r="B255" s="556" t="s">
        <v>3465</v>
      </c>
      <c r="C255" s="557" t="s">
        <v>7664</v>
      </c>
      <c r="D255" s="553" t="s">
        <v>7698</v>
      </c>
      <c r="E255" s="345" t="s">
        <v>2275</v>
      </c>
      <c r="F255" s="56">
        <v>187.1</v>
      </c>
      <c r="G255" s="557">
        <v>1948</v>
      </c>
      <c r="H255" s="21">
        <v>38462.15</v>
      </c>
      <c r="I255" s="8" t="s">
        <v>13820</v>
      </c>
      <c r="J255" s="8" t="s">
        <v>13820</v>
      </c>
    </row>
    <row r="256" spans="1:10" s="5" customFormat="1" ht="24.75" customHeight="1" x14ac:dyDescent="0.2">
      <c r="A256" s="556" t="s">
        <v>2388</v>
      </c>
      <c r="B256" s="556" t="s">
        <v>9151</v>
      </c>
      <c r="C256" s="556" t="s">
        <v>5649</v>
      </c>
      <c r="D256" s="553" t="s">
        <v>5316</v>
      </c>
      <c r="E256" s="553" t="s">
        <v>2267</v>
      </c>
      <c r="F256" s="81">
        <v>24.3</v>
      </c>
      <c r="G256" s="556" t="s">
        <v>4021</v>
      </c>
      <c r="H256" s="41">
        <v>4995.3500000000004</v>
      </c>
      <c r="I256" s="547" t="s">
        <v>9605</v>
      </c>
      <c r="J256" s="583" t="s">
        <v>12012</v>
      </c>
    </row>
    <row r="257" spans="1:10" s="67" customFormat="1" ht="30.75" customHeight="1" x14ac:dyDescent="0.2">
      <c r="A257" s="106" t="s">
        <v>3495</v>
      </c>
      <c r="B257" s="106" t="s">
        <v>5408</v>
      </c>
      <c r="C257" s="1322" t="s">
        <v>5407</v>
      </c>
      <c r="D257" s="1289" t="s">
        <v>13830</v>
      </c>
      <c r="E257" s="84" t="s">
        <v>2276</v>
      </c>
      <c r="F257" s="121">
        <v>21</v>
      </c>
      <c r="G257" s="106" t="s">
        <v>13819</v>
      </c>
      <c r="H257" s="781">
        <v>145494.51</v>
      </c>
      <c r="I257" s="1322" t="s">
        <v>13820</v>
      </c>
      <c r="J257" s="1322" t="s">
        <v>13820</v>
      </c>
    </row>
    <row r="258" spans="1:10" s="67" customFormat="1" ht="23.25" customHeight="1" x14ac:dyDescent="0.2">
      <c r="A258" s="106" t="s">
        <v>3496</v>
      </c>
      <c r="B258" s="106" t="s">
        <v>13818</v>
      </c>
      <c r="C258" s="1323"/>
      <c r="D258" s="1291"/>
      <c r="E258" s="175"/>
      <c r="F258" s="121">
        <v>26000</v>
      </c>
      <c r="G258" s="106" t="s">
        <v>3408</v>
      </c>
      <c r="H258" s="780"/>
      <c r="I258" s="1323"/>
      <c r="J258" s="1323"/>
    </row>
    <row r="259" spans="1:10" ht="30" customHeight="1" x14ac:dyDescent="0.2">
      <c r="A259" s="557" t="s">
        <v>2389</v>
      </c>
      <c r="B259" s="556" t="s">
        <v>3469</v>
      </c>
      <c r="C259" s="557" t="s">
        <v>5645</v>
      </c>
      <c r="D259" s="553" t="s">
        <v>5317</v>
      </c>
      <c r="E259" s="345" t="s">
        <v>2277</v>
      </c>
      <c r="F259" s="56">
        <v>123.9</v>
      </c>
      <c r="G259" s="557">
        <v>1948</v>
      </c>
      <c r="H259" s="21">
        <v>274006.09000000003</v>
      </c>
      <c r="I259" s="8" t="s">
        <v>13820</v>
      </c>
      <c r="J259" s="8" t="s">
        <v>13820</v>
      </c>
    </row>
    <row r="260" spans="1:10" ht="34.5" customHeight="1" x14ac:dyDescent="0.2">
      <c r="A260" s="106" t="s">
        <v>2874</v>
      </c>
      <c r="B260" s="106" t="s">
        <v>464</v>
      </c>
      <c r="C260" s="106" t="s">
        <v>5565</v>
      </c>
      <c r="D260" s="553"/>
      <c r="E260" s="553"/>
      <c r="F260" s="121">
        <v>1097.0999999999999</v>
      </c>
      <c r="G260" s="106">
        <v>1935</v>
      </c>
      <c r="H260" s="41"/>
      <c r="I260" s="106" t="s">
        <v>3707</v>
      </c>
      <c r="J260" s="106" t="s">
        <v>3707</v>
      </c>
    </row>
    <row r="261" spans="1:10" ht="24" customHeight="1" x14ac:dyDescent="0.2">
      <c r="A261" s="106" t="s">
        <v>2390</v>
      </c>
      <c r="B261" s="106" t="s">
        <v>465</v>
      </c>
      <c r="C261" s="106" t="s">
        <v>5565</v>
      </c>
      <c r="D261" s="553"/>
      <c r="E261" s="553"/>
      <c r="F261" s="121">
        <v>33.200000000000003</v>
      </c>
      <c r="G261" s="106">
        <v>1969</v>
      </c>
      <c r="H261" s="41"/>
      <c r="I261" s="106" t="s">
        <v>3097</v>
      </c>
      <c r="J261" s="106"/>
    </row>
    <row r="262" spans="1:10" s="181" customFormat="1" ht="35.25" customHeight="1" x14ac:dyDescent="0.2">
      <c r="A262" s="556" t="s">
        <v>3699</v>
      </c>
      <c r="B262" s="556" t="s">
        <v>5966</v>
      </c>
      <c r="C262" s="556" t="s">
        <v>5566</v>
      </c>
      <c r="D262" s="553" t="s">
        <v>6178</v>
      </c>
      <c r="E262" s="553" t="s">
        <v>164</v>
      </c>
      <c r="F262" s="107">
        <f>2322.6-F263-F264-F265-F266-F267-F268</f>
        <v>2241.13</v>
      </c>
      <c r="G262" s="556" t="s">
        <v>18</v>
      </c>
      <c r="H262" s="41">
        <v>11752541.810000001</v>
      </c>
      <c r="I262" s="556" t="s">
        <v>3564</v>
      </c>
      <c r="J262" s="556" t="s">
        <v>3564</v>
      </c>
    </row>
    <row r="263" spans="1:10" ht="33.75" customHeight="1" x14ac:dyDescent="0.2">
      <c r="A263" s="733" t="s">
        <v>3700</v>
      </c>
      <c r="B263" s="31" t="s">
        <v>281</v>
      </c>
      <c r="C263" s="130" t="s">
        <v>5566</v>
      </c>
      <c r="D263" s="18"/>
      <c r="E263" s="31" t="s">
        <v>3785</v>
      </c>
      <c r="F263" s="89">
        <v>10</v>
      </c>
      <c r="G263" s="730" t="s">
        <v>18</v>
      </c>
      <c r="H263" s="741"/>
      <c r="I263" s="729" t="s">
        <v>6182</v>
      </c>
      <c r="J263" s="30" t="s">
        <v>13179</v>
      </c>
    </row>
    <row r="264" spans="1:10" ht="48.75" customHeight="1" x14ac:dyDescent="0.2">
      <c r="A264" s="556" t="s">
        <v>3701</v>
      </c>
      <c r="B264" s="31" t="s">
        <v>3090</v>
      </c>
      <c r="C264" s="130" t="s">
        <v>5566</v>
      </c>
      <c r="D264" s="259"/>
      <c r="E264" s="31" t="s">
        <v>3689</v>
      </c>
      <c r="F264" s="89">
        <v>12</v>
      </c>
      <c r="G264" s="551" t="s">
        <v>18</v>
      </c>
      <c r="H264" s="216"/>
      <c r="I264" s="102" t="s">
        <v>6206</v>
      </c>
      <c r="J264" s="102" t="s">
        <v>6206</v>
      </c>
    </row>
    <row r="265" spans="1:10" ht="37.5" customHeight="1" x14ac:dyDescent="0.2">
      <c r="A265" s="556" t="s">
        <v>3702</v>
      </c>
      <c r="B265" s="31" t="s">
        <v>281</v>
      </c>
      <c r="C265" s="130" t="s">
        <v>5566</v>
      </c>
      <c r="D265" s="18"/>
      <c r="E265" s="31" t="s">
        <v>3785</v>
      </c>
      <c r="F265" s="89">
        <v>6</v>
      </c>
      <c r="G265" s="551" t="s">
        <v>18</v>
      </c>
      <c r="H265" s="566"/>
      <c r="I265" s="32" t="s">
        <v>5239</v>
      </c>
      <c r="J265" s="32" t="s">
        <v>11923</v>
      </c>
    </row>
    <row r="266" spans="1:10" ht="24" customHeight="1" x14ac:dyDescent="0.2">
      <c r="A266" s="556" t="s">
        <v>3703</v>
      </c>
      <c r="B266" s="31" t="s">
        <v>281</v>
      </c>
      <c r="C266" s="130" t="s">
        <v>5567</v>
      </c>
      <c r="D266" s="18"/>
      <c r="E266" s="31" t="s">
        <v>164</v>
      </c>
      <c r="F266" s="50">
        <v>8.3699999999999992</v>
      </c>
      <c r="G266" s="551" t="s">
        <v>18</v>
      </c>
      <c r="H266" s="566"/>
      <c r="I266" s="32" t="s">
        <v>5234</v>
      </c>
      <c r="J266" s="32" t="s">
        <v>5234</v>
      </c>
    </row>
    <row r="267" spans="1:10" s="247" customFormat="1" ht="34.5" customHeight="1" x14ac:dyDescent="0.2">
      <c r="A267" s="556" t="s">
        <v>3704</v>
      </c>
      <c r="B267" s="17" t="s">
        <v>281</v>
      </c>
      <c r="C267" s="130" t="s">
        <v>5567</v>
      </c>
      <c r="D267" s="18"/>
      <c r="E267" s="31" t="s">
        <v>4198</v>
      </c>
      <c r="F267" s="89">
        <v>24.2</v>
      </c>
      <c r="G267" s="551" t="s">
        <v>18</v>
      </c>
      <c r="H267" s="566"/>
      <c r="I267" s="32" t="s">
        <v>8015</v>
      </c>
      <c r="J267" s="32" t="s">
        <v>11908</v>
      </c>
    </row>
    <row r="268" spans="1:10" ht="25.5" customHeight="1" x14ac:dyDescent="0.2">
      <c r="A268" s="17" t="s">
        <v>3705</v>
      </c>
      <c r="B268" s="17" t="s">
        <v>281</v>
      </c>
      <c r="C268" s="130" t="s">
        <v>5567</v>
      </c>
      <c r="D268" s="18"/>
      <c r="E268" s="31" t="s">
        <v>4199</v>
      </c>
      <c r="F268" s="89">
        <v>20.9</v>
      </c>
      <c r="G268" s="551" t="s">
        <v>18</v>
      </c>
      <c r="H268" s="566"/>
      <c r="I268" s="32" t="s">
        <v>6161</v>
      </c>
      <c r="J268" s="32" t="s">
        <v>6161</v>
      </c>
    </row>
    <row r="269" spans="1:10" s="179" customFormat="1" ht="36" customHeight="1" x14ac:dyDescent="0.2">
      <c r="A269" s="556" t="s">
        <v>2391</v>
      </c>
      <c r="B269" s="556" t="s">
        <v>3041</v>
      </c>
      <c r="C269" s="556" t="s">
        <v>5568</v>
      </c>
      <c r="D269" s="553" t="s">
        <v>6295</v>
      </c>
      <c r="E269" s="553" t="s">
        <v>3054</v>
      </c>
      <c r="F269" s="107">
        <v>1148.9000000000001</v>
      </c>
      <c r="G269" s="556">
        <v>1976</v>
      </c>
      <c r="H269" s="41">
        <v>10997064</v>
      </c>
      <c r="I269" s="556" t="s">
        <v>6390</v>
      </c>
      <c r="J269" s="556" t="s">
        <v>6390</v>
      </c>
    </row>
    <row r="270" spans="1:10" s="179" customFormat="1" ht="33.75" customHeight="1" x14ac:dyDescent="0.2">
      <c r="A270" s="556" t="s">
        <v>2392</v>
      </c>
      <c r="B270" s="556" t="s">
        <v>319</v>
      </c>
      <c r="C270" s="556" t="s">
        <v>5727</v>
      </c>
      <c r="D270" s="553" t="s">
        <v>14194</v>
      </c>
      <c r="E270" s="553"/>
      <c r="F270" s="107">
        <v>90</v>
      </c>
      <c r="G270" s="556">
        <v>1981</v>
      </c>
      <c r="H270" s="41">
        <v>861463.8</v>
      </c>
      <c r="I270" s="556" t="s">
        <v>4767</v>
      </c>
      <c r="J270" s="556" t="s">
        <v>4767</v>
      </c>
    </row>
    <row r="271" spans="1:10" s="179" customFormat="1" ht="27.75" customHeight="1" x14ac:dyDescent="0.2">
      <c r="A271" s="556" t="s">
        <v>2393</v>
      </c>
      <c r="B271" s="556" t="s">
        <v>1997</v>
      </c>
      <c r="C271" s="556" t="s">
        <v>6271</v>
      </c>
      <c r="D271" s="849" t="s">
        <v>14195</v>
      </c>
      <c r="E271" s="553"/>
      <c r="F271" s="107">
        <v>300</v>
      </c>
      <c r="G271" s="556" t="s">
        <v>3393</v>
      </c>
      <c r="H271" s="41">
        <v>2871546</v>
      </c>
      <c r="I271" s="556" t="s">
        <v>4767</v>
      </c>
      <c r="J271" s="556" t="s">
        <v>4767</v>
      </c>
    </row>
    <row r="272" spans="1:10" s="179" customFormat="1" ht="25.5" customHeight="1" x14ac:dyDescent="0.2">
      <c r="A272" s="544" t="s">
        <v>2394</v>
      </c>
      <c r="B272" s="544" t="s">
        <v>5988</v>
      </c>
      <c r="C272" s="544" t="s">
        <v>5728</v>
      </c>
      <c r="D272" s="553" t="s">
        <v>6235</v>
      </c>
      <c r="E272" s="41"/>
      <c r="F272" s="107">
        <v>160</v>
      </c>
      <c r="G272" s="556">
        <v>1975</v>
      </c>
      <c r="H272" s="548">
        <v>1531491.2</v>
      </c>
      <c r="I272" s="544" t="s">
        <v>4767</v>
      </c>
      <c r="J272" s="544" t="s">
        <v>4767</v>
      </c>
    </row>
    <row r="273" spans="1:10" s="179" customFormat="1" ht="34.5" customHeight="1" x14ac:dyDescent="0.2">
      <c r="A273" s="1303" t="s">
        <v>3497</v>
      </c>
      <c r="B273" s="556" t="s">
        <v>11723</v>
      </c>
      <c r="C273" s="31" t="s">
        <v>39</v>
      </c>
      <c r="D273" s="553" t="s">
        <v>11663</v>
      </c>
      <c r="E273" s="553" t="s">
        <v>8173</v>
      </c>
      <c r="F273" s="107">
        <f>1460-231.7-99.9-83.9-37.6-508</f>
        <v>498.89999999999975</v>
      </c>
      <c r="G273" s="556">
        <v>1989</v>
      </c>
      <c r="H273" s="41">
        <v>124919.57</v>
      </c>
      <c r="I273" s="556" t="s">
        <v>306</v>
      </c>
      <c r="J273" s="556" t="s">
        <v>306</v>
      </c>
    </row>
    <row r="274" spans="1:10" s="179" customFormat="1" ht="33.75" customHeight="1" x14ac:dyDescent="0.2">
      <c r="A274" s="1305"/>
      <c r="B274" s="556" t="s">
        <v>11664</v>
      </c>
      <c r="C274" s="31" t="s">
        <v>11724</v>
      </c>
      <c r="D274" s="553" t="s">
        <v>11665</v>
      </c>
      <c r="E274" s="553" t="s">
        <v>8173</v>
      </c>
      <c r="F274" s="107">
        <f>508</f>
        <v>508</v>
      </c>
      <c r="G274" s="556" t="s">
        <v>160</v>
      </c>
      <c r="H274" s="41">
        <v>3188020.04</v>
      </c>
      <c r="I274" s="556" t="s">
        <v>306</v>
      </c>
      <c r="J274" s="556" t="s">
        <v>306</v>
      </c>
    </row>
    <row r="275" spans="1:10" s="179" customFormat="1" ht="45.75" customHeight="1" x14ac:dyDescent="0.2">
      <c r="A275" s="29" t="s">
        <v>3498</v>
      </c>
      <c r="B275" s="29" t="s">
        <v>281</v>
      </c>
      <c r="C275" s="29" t="s">
        <v>39</v>
      </c>
      <c r="D275" s="18" t="s">
        <v>11663</v>
      </c>
      <c r="E275" s="46" t="s">
        <v>8174</v>
      </c>
      <c r="F275" s="89">
        <v>7.6</v>
      </c>
      <c r="G275" s="17" t="s">
        <v>160</v>
      </c>
      <c r="H275" s="41"/>
      <c r="I275" s="30" t="s">
        <v>5455</v>
      </c>
      <c r="J275" s="30" t="s">
        <v>13187</v>
      </c>
    </row>
    <row r="276" spans="1:10" s="179" customFormat="1" ht="45.75" customHeight="1" x14ac:dyDescent="0.2">
      <c r="A276" s="29" t="s">
        <v>3784</v>
      </c>
      <c r="B276" s="29" t="s">
        <v>281</v>
      </c>
      <c r="C276" s="29" t="s">
        <v>39</v>
      </c>
      <c r="D276" s="18" t="s">
        <v>11663</v>
      </c>
      <c r="E276" s="46" t="s">
        <v>8174</v>
      </c>
      <c r="F276" s="89">
        <f>86-48.4</f>
        <v>37.6</v>
      </c>
      <c r="G276" s="17" t="s">
        <v>160</v>
      </c>
      <c r="H276" s="41"/>
      <c r="I276" s="1330" t="s">
        <v>1</v>
      </c>
      <c r="J276" s="30" t="s">
        <v>13188</v>
      </c>
    </row>
    <row r="277" spans="1:10" s="179" customFormat="1" ht="45.75" customHeight="1" x14ac:dyDescent="0.2">
      <c r="A277" s="29" t="s">
        <v>3499</v>
      </c>
      <c r="B277" s="29" t="s">
        <v>281</v>
      </c>
      <c r="C277" s="29" t="s">
        <v>39</v>
      </c>
      <c r="D277" s="18" t="s">
        <v>11663</v>
      </c>
      <c r="E277" s="46" t="s">
        <v>8174</v>
      </c>
      <c r="F277" s="89">
        <v>48.4</v>
      </c>
      <c r="G277" s="17" t="s">
        <v>160</v>
      </c>
      <c r="H277" s="41"/>
      <c r="I277" s="1331"/>
      <c r="J277" s="30" t="s">
        <v>13189</v>
      </c>
    </row>
    <row r="278" spans="1:10" s="179" customFormat="1" ht="113.25" customHeight="1" x14ac:dyDescent="0.2">
      <c r="A278" s="29" t="s">
        <v>3500</v>
      </c>
      <c r="B278" s="29" t="s">
        <v>281</v>
      </c>
      <c r="C278" s="29" t="s">
        <v>39</v>
      </c>
      <c r="D278" s="18" t="s">
        <v>11663</v>
      </c>
      <c r="E278" s="29" t="s">
        <v>8175</v>
      </c>
      <c r="F278" s="89">
        <v>15.2</v>
      </c>
      <c r="G278" s="17" t="s">
        <v>160</v>
      </c>
      <c r="H278" s="41"/>
      <c r="I278" s="1330" t="s">
        <v>1</v>
      </c>
      <c r="J278" s="745" t="s">
        <v>13190</v>
      </c>
    </row>
    <row r="279" spans="1:10" s="179" customFormat="1" ht="45.75" customHeight="1" x14ac:dyDescent="0.2">
      <c r="A279" s="29" t="s">
        <v>3501</v>
      </c>
      <c r="B279" s="29" t="s">
        <v>281</v>
      </c>
      <c r="C279" s="29" t="s">
        <v>39</v>
      </c>
      <c r="D279" s="18" t="s">
        <v>11663</v>
      </c>
      <c r="E279" s="29" t="s">
        <v>8174</v>
      </c>
      <c r="F279" s="89">
        <v>16.7</v>
      </c>
      <c r="G279" s="17" t="s">
        <v>160</v>
      </c>
      <c r="H279" s="41"/>
      <c r="I279" s="1331"/>
      <c r="J279" s="30" t="s">
        <v>13191</v>
      </c>
    </row>
    <row r="280" spans="1:10" s="179" customFormat="1" ht="45.75" customHeight="1" x14ac:dyDescent="0.2">
      <c r="A280" s="29" t="s">
        <v>3502</v>
      </c>
      <c r="B280" s="29" t="s">
        <v>281</v>
      </c>
      <c r="C280" s="29" t="s">
        <v>39</v>
      </c>
      <c r="D280" s="18" t="s">
        <v>11663</v>
      </c>
      <c r="E280" s="46" t="s">
        <v>11725</v>
      </c>
      <c r="F280" s="89">
        <v>4.5</v>
      </c>
      <c r="G280" s="17" t="s">
        <v>160</v>
      </c>
      <c r="H280" s="41"/>
      <c r="I280" s="8" t="s">
        <v>3562</v>
      </c>
      <c r="J280" s="30" t="s">
        <v>13192</v>
      </c>
    </row>
    <row r="281" spans="1:10" s="179" customFormat="1" ht="45.75" customHeight="1" x14ac:dyDescent="0.2">
      <c r="A281" s="29" t="s">
        <v>3503</v>
      </c>
      <c r="B281" s="29" t="s">
        <v>281</v>
      </c>
      <c r="C281" s="29" t="s">
        <v>39</v>
      </c>
      <c r="D281" s="553" t="s">
        <v>11663</v>
      </c>
      <c r="E281" s="29" t="s">
        <v>8177</v>
      </c>
      <c r="F281" s="89">
        <v>10.1</v>
      </c>
      <c r="G281" s="18" t="s">
        <v>160</v>
      </c>
      <c r="H281" s="41"/>
      <c r="I281" s="30" t="s">
        <v>11613</v>
      </c>
      <c r="J281" s="30" t="s">
        <v>11913</v>
      </c>
    </row>
    <row r="282" spans="1:10" s="179" customFormat="1" ht="43.5" customHeight="1" x14ac:dyDescent="0.2">
      <c r="A282" s="29" t="s">
        <v>3504</v>
      </c>
      <c r="B282" s="29" t="s">
        <v>281</v>
      </c>
      <c r="C282" s="29" t="s">
        <v>39</v>
      </c>
      <c r="D282" s="553" t="s">
        <v>11663</v>
      </c>
      <c r="E282" s="46" t="s">
        <v>8176</v>
      </c>
      <c r="F282" s="107">
        <v>33</v>
      </c>
      <c r="G282" s="17" t="s">
        <v>160</v>
      </c>
      <c r="H282" s="41"/>
      <c r="I282" s="47" t="s">
        <v>5483</v>
      </c>
      <c r="J282" s="30" t="s">
        <v>13193</v>
      </c>
    </row>
    <row r="283" spans="1:10" s="179" customFormat="1" ht="43.5" customHeight="1" x14ac:dyDescent="0.2">
      <c r="A283" s="29" t="s">
        <v>3505</v>
      </c>
      <c r="B283" s="29" t="s">
        <v>281</v>
      </c>
      <c r="C283" s="29" t="s">
        <v>39</v>
      </c>
      <c r="D283" s="553" t="s">
        <v>11663</v>
      </c>
      <c r="E283" s="46" t="s">
        <v>8176</v>
      </c>
      <c r="F283" s="89">
        <v>1</v>
      </c>
      <c r="G283" s="17" t="s">
        <v>160</v>
      </c>
      <c r="H283" s="41"/>
      <c r="I283" s="8" t="s">
        <v>8166</v>
      </c>
      <c r="J283" s="30" t="s">
        <v>11902</v>
      </c>
    </row>
    <row r="284" spans="1:10" s="179" customFormat="1" ht="43.5" customHeight="1" x14ac:dyDescent="0.2">
      <c r="A284" s="29" t="s">
        <v>3506</v>
      </c>
      <c r="B284" s="29" t="s">
        <v>2278</v>
      </c>
      <c r="C284" s="29" t="s">
        <v>39</v>
      </c>
      <c r="D284" s="553" t="s">
        <v>11665</v>
      </c>
      <c r="E284" s="46" t="s">
        <v>8178</v>
      </c>
      <c r="F284" s="107">
        <v>47.6</v>
      </c>
      <c r="G284" s="17" t="s">
        <v>160</v>
      </c>
      <c r="H284" s="41"/>
      <c r="I284" s="30" t="s">
        <v>3097</v>
      </c>
      <c r="J284" s="47"/>
    </row>
    <row r="285" spans="1:10" s="179" customFormat="1" ht="43.5" customHeight="1" x14ac:dyDescent="0.2">
      <c r="A285" s="29" t="s">
        <v>3507</v>
      </c>
      <c r="B285" s="29" t="s">
        <v>2278</v>
      </c>
      <c r="C285" s="29" t="s">
        <v>39</v>
      </c>
      <c r="D285" s="553" t="s">
        <v>11665</v>
      </c>
      <c r="E285" s="29" t="s">
        <v>8180</v>
      </c>
      <c r="F285" s="107">
        <v>17.8</v>
      </c>
      <c r="G285" s="17" t="s">
        <v>160</v>
      </c>
      <c r="H285" s="41"/>
      <c r="I285" s="30" t="s">
        <v>3097</v>
      </c>
      <c r="J285" s="30"/>
    </row>
    <row r="286" spans="1:10" s="179" customFormat="1" ht="43.5" customHeight="1" x14ac:dyDescent="0.2">
      <c r="A286" s="29" t="s">
        <v>3508</v>
      </c>
      <c r="B286" s="29" t="s">
        <v>2278</v>
      </c>
      <c r="C286" s="29" t="s">
        <v>39</v>
      </c>
      <c r="D286" s="553" t="s">
        <v>11665</v>
      </c>
      <c r="E286" s="29" t="s">
        <v>8181</v>
      </c>
      <c r="F286" s="89">
        <v>19.3</v>
      </c>
      <c r="G286" s="17" t="s">
        <v>160</v>
      </c>
      <c r="H286" s="41"/>
      <c r="I286" s="30" t="s">
        <v>3097</v>
      </c>
      <c r="J286" s="30"/>
    </row>
    <row r="287" spans="1:10" s="179" customFormat="1" ht="57" customHeight="1" x14ac:dyDescent="0.2">
      <c r="A287" s="29" t="s">
        <v>3509</v>
      </c>
      <c r="B287" s="29" t="s">
        <v>2278</v>
      </c>
      <c r="C287" s="29" t="s">
        <v>7651</v>
      </c>
      <c r="D287" s="18" t="s">
        <v>6381</v>
      </c>
      <c r="E287" s="46" t="s">
        <v>8182</v>
      </c>
      <c r="F287" s="107">
        <v>37.6</v>
      </c>
      <c r="G287" s="17" t="s">
        <v>160</v>
      </c>
      <c r="H287" s="41">
        <v>9414.66</v>
      </c>
      <c r="I287" s="47" t="s">
        <v>9438</v>
      </c>
      <c r="J287" s="17" t="s">
        <v>13428</v>
      </c>
    </row>
    <row r="288" spans="1:10" s="179" customFormat="1" ht="43.5" customHeight="1" x14ac:dyDescent="0.2">
      <c r="A288" s="29" t="s">
        <v>3510</v>
      </c>
      <c r="B288" s="29" t="s">
        <v>2278</v>
      </c>
      <c r="C288" s="29" t="s">
        <v>39</v>
      </c>
      <c r="D288" s="553" t="s">
        <v>11665</v>
      </c>
      <c r="E288" s="29" t="s">
        <v>8181</v>
      </c>
      <c r="F288" s="89">
        <f>36.3-13</f>
        <v>23.299999999999997</v>
      </c>
      <c r="G288" s="17" t="s">
        <v>160</v>
      </c>
      <c r="H288" s="41"/>
      <c r="I288" s="30" t="s">
        <v>5237</v>
      </c>
      <c r="J288" s="30" t="s">
        <v>13194</v>
      </c>
    </row>
    <row r="289" spans="1:10" s="179" customFormat="1" ht="43.5" customHeight="1" x14ac:dyDescent="0.2">
      <c r="A289" s="29" t="s">
        <v>3511</v>
      </c>
      <c r="B289" s="29" t="s">
        <v>2278</v>
      </c>
      <c r="C289" s="29" t="s">
        <v>39</v>
      </c>
      <c r="D289" s="553" t="s">
        <v>11665</v>
      </c>
      <c r="E289" s="29" t="s">
        <v>8181</v>
      </c>
      <c r="F289" s="89">
        <v>9.6</v>
      </c>
      <c r="G289" s="17" t="s">
        <v>160</v>
      </c>
      <c r="H289" s="41"/>
      <c r="I289" s="30" t="s">
        <v>3097</v>
      </c>
      <c r="J289" s="30"/>
    </row>
    <row r="290" spans="1:10" s="179" customFormat="1" ht="43.5" customHeight="1" x14ac:dyDescent="0.2">
      <c r="A290" s="29" t="s">
        <v>3686</v>
      </c>
      <c r="B290" s="29" t="s">
        <v>2278</v>
      </c>
      <c r="C290" s="29" t="s">
        <v>39</v>
      </c>
      <c r="D290" s="553" t="s">
        <v>11665</v>
      </c>
      <c r="E290" s="29" t="s">
        <v>8181</v>
      </c>
      <c r="F290" s="89">
        <v>16</v>
      </c>
      <c r="G290" s="17" t="s">
        <v>160</v>
      </c>
      <c r="H290" s="41"/>
      <c r="I290" s="30" t="s">
        <v>3097</v>
      </c>
      <c r="J290" s="30"/>
    </row>
    <row r="291" spans="1:10" s="179" customFormat="1" ht="43.5" customHeight="1" x14ac:dyDescent="0.2">
      <c r="A291" s="29" t="s">
        <v>6596</v>
      </c>
      <c r="B291" s="29" t="s">
        <v>2278</v>
      </c>
      <c r="C291" s="29" t="s">
        <v>39</v>
      </c>
      <c r="D291" s="731" t="s">
        <v>11665</v>
      </c>
      <c r="E291" s="29" t="s">
        <v>8180</v>
      </c>
      <c r="F291" s="89">
        <v>14</v>
      </c>
      <c r="G291" s="17" t="s">
        <v>160</v>
      </c>
      <c r="H291" s="41"/>
      <c r="I291" s="30" t="s">
        <v>11905</v>
      </c>
      <c r="J291" s="30" t="s">
        <v>13195</v>
      </c>
    </row>
    <row r="292" spans="1:10" s="179" customFormat="1" ht="43.5" customHeight="1" x14ac:dyDescent="0.2">
      <c r="A292" s="29" t="s">
        <v>8165</v>
      </c>
      <c r="B292" s="29" t="s">
        <v>2278</v>
      </c>
      <c r="C292" s="29" t="s">
        <v>39</v>
      </c>
      <c r="D292" s="553" t="s">
        <v>11665</v>
      </c>
      <c r="E292" s="29" t="s">
        <v>8181</v>
      </c>
      <c r="F292" s="89">
        <v>13</v>
      </c>
      <c r="G292" s="17" t="s">
        <v>160</v>
      </c>
      <c r="H292" s="41"/>
      <c r="I292" s="8" t="s">
        <v>3097</v>
      </c>
      <c r="J292" s="30"/>
    </row>
    <row r="293" spans="1:10" s="179" customFormat="1" ht="44.25" customHeight="1" x14ac:dyDescent="0.2">
      <c r="A293" s="29" t="s">
        <v>11730</v>
      </c>
      <c r="B293" s="29" t="s">
        <v>2278</v>
      </c>
      <c r="C293" s="29" t="s">
        <v>39</v>
      </c>
      <c r="D293" s="105" t="s">
        <v>11665</v>
      </c>
      <c r="E293" s="29" t="s">
        <v>8181</v>
      </c>
      <c r="F293" s="89">
        <v>12.8</v>
      </c>
      <c r="G293" s="18" t="s">
        <v>160</v>
      </c>
      <c r="H293" s="41"/>
      <c r="I293" s="23" t="s">
        <v>13196</v>
      </c>
      <c r="J293" s="704"/>
    </row>
    <row r="294" spans="1:10" s="179" customFormat="1" ht="44.25" customHeight="1" x14ac:dyDescent="0.2">
      <c r="A294" s="29" t="s">
        <v>11914</v>
      </c>
      <c r="B294" s="29" t="s">
        <v>2278</v>
      </c>
      <c r="C294" s="29" t="s">
        <v>39</v>
      </c>
      <c r="D294" s="105" t="s">
        <v>11665</v>
      </c>
      <c r="E294" s="29" t="s">
        <v>13185</v>
      </c>
      <c r="F294" s="89">
        <v>63.4</v>
      </c>
      <c r="G294" s="18" t="s">
        <v>160</v>
      </c>
      <c r="H294" s="41"/>
      <c r="I294" s="1330" t="s">
        <v>13197</v>
      </c>
      <c r="J294" s="1330" t="s">
        <v>13198</v>
      </c>
    </row>
    <row r="295" spans="1:10" s="179" customFormat="1" ht="44.25" customHeight="1" x14ac:dyDescent="0.2">
      <c r="A295" s="29" t="s">
        <v>13180</v>
      </c>
      <c r="B295" s="29" t="s">
        <v>2278</v>
      </c>
      <c r="C295" s="29" t="s">
        <v>39</v>
      </c>
      <c r="D295" s="105" t="s">
        <v>11665</v>
      </c>
      <c r="E295" s="29" t="s">
        <v>8179</v>
      </c>
      <c r="F295" s="89">
        <v>15.2</v>
      </c>
      <c r="G295" s="18" t="s">
        <v>160</v>
      </c>
      <c r="H295" s="41"/>
      <c r="I295" s="1331"/>
      <c r="J295" s="1331"/>
    </row>
    <row r="296" spans="1:10" s="179" customFormat="1" ht="44.25" customHeight="1" x14ac:dyDescent="0.2">
      <c r="A296" s="29" t="s">
        <v>13181</v>
      </c>
      <c r="B296" s="29" t="s">
        <v>2278</v>
      </c>
      <c r="C296" s="29" t="s">
        <v>39</v>
      </c>
      <c r="D296" s="105" t="s">
        <v>11665</v>
      </c>
      <c r="E296" s="46" t="s">
        <v>13186</v>
      </c>
      <c r="F296" s="89">
        <v>281.8</v>
      </c>
      <c r="G296" s="17" t="s">
        <v>160</v>
      </c>
      <c r="H296" s="381"/>
      <c r="I296" s="702" t="s">
        <v>13199</v>
      </c>
      <c r="J296" s="702" t="s">
        <v>13200</v>
      </c>
    </row>
    <row r="297" spans="1:10" s="179" customFormat="1" ht="44.25" customHeight="1" x14ac:dyDescent="0.2">
      <c r="A297" s="29" t="s">
        <v>13182</v>
      </c>
      <c r="B297" s="29" t="s">
        <v>13183</v>
      </c>
      <c r="C297" s="29" t="s">
        <v>39</v>
      </c>
      <c r="D297" s="105"/>
      <c r="E297" s="29" t="s">
        <v>8179</v>
      </c>
      <c r="F297" s="89">
        <v>6</v>
      </c>
      <c r="G297" s="17" t="s">
        <v>160</v>
      </c>
      <c r="H297" s="381"/>
      <c r="I297" s="30" t="s">
        <v>11731</v>
      </c>
      <c r="J297" s="702" t="s">
        <v>13201</v>
      </c>
    </row>
    <row r="298" spans="1:10" s="179" customFormat="1" ht="44.25" customHeight="1" x14ac:dyDescent="0.2">
      <c r="A298" s="29" t="s">
        <v>13184</v>
      </c>
      <c r="B298" s="29" t="s">
        <v>2278</v>
      </c>
      <c r="C298" s="29" t="s">
        <v>39</v>
      </c>
      <c r="D298" s="105"/>
      <c r="E298" s="46" t="s">
        <v>13186</v>
      </c>
      <c r="F298" s="107">
        <v>10.7</v>
      </c>
      <c r="G298" s="17" t="s">
        <v>160</v>
      </c>
      <c r="H298" s="381"/>
      <c r="I298" s="47" t="s">
        <v>3698</v>
      </c>
      <c r="J298" s="47" t="s">
        <v>11915</v>
      </c>
    </row>
    <row r="299" spans="1:10" ht="27.75" customHeight="1" x14ac:dyDescent="0.2">
      <c r="A299" s="556" t="s">
        <v>2395</v>
      </c>
      <c r="B299" s="556" t="s">
        <v>7693</v>
      </c>
      <c r="C299" s="556" t="s">
        <v>5704</v>
      </c>
      <c r="D299" s="553" t="s">
        <v>5318</v>
      </c>
      <c r="E299" s="553" t="s">
        <v>2286</v>
      </c>
      <c r="F299" s="107">
        <f>1570.9</f>
        <v>1570.9</v>
      </c>
      <c r="G299" s="556">
        <v>1934</v>
      </c>
      <c r="H299" s="41">
        <v>17700000</v>
      </c>
      <c r="I299" s="12" t="s">
        <v>3097</v>
      </c>
      <c r="J299" s="556" t="s">
        <v>361</v>
      </c>
    </row>
    <row r="300" spans="1:10" ht="48.75" customHeight="1" x14ac:dyDescent="0.2">
      <c r="A300" s="556" t="s">
        <v>2396</v>
      </c>
      <c r="B300" s="556" t="s">
        <v>3746</v>
      </c>
      <c r="C300" s="556" t="s">
        <v>5703</v>
      </c>
      <c r="D300" s="553" t="s">
        <v>5319</v>
      </c>
      <c r="E300" s="553" t="s">
        <v>5614</v>
      </c>
      <c r="F300" s="107">
        <f>4082.9-1776.1</f>
        <v>2306.8000000000002</v>
      </c>
      <c r="G300" s="556">
        <v>1962</v>
      </c>
      <c r="H300" s="1316">
        <v>57232744.840000004</v>
      </c>
      <c r="I300" s="556" t="s">
        <v>3745</v>
      </c>
      <c r="J300" s="556" t="s">
        <v>3745</v>
      </c>
    </row>
    <row r="301" spans="1:10" ht="46.5" customHeight="1" x14ac:dyDescent="0.2">
      <c r="A301" s="556" t="s">
        <v>3747</v>
      </c>
      <c r="B301" s="556" t="s">
        <v>2279</v>
      </c>
      <c r="C301" s="556" t="s">
        <v>5703</v>
      </c>
      <c r="D301" s="553" t="s">
        <v>5319</v>
      </c>
      <c r="E301" s="553" t="s">
        <v>7674</v>
      </c>
      <c r="F301" s="107">
        <v>1776.1</v>
      </c>
      <c r="G301" s="556">
        <v>2002</v>
      </c>
      <c r="H301" s="1317"/>
      <c r="I301" s="556" t="s">
        <v>3748</v>
      </c>
      <c r="J301" s="556" t="s">
        <v>3748</v>
      </c>
    </row>
    <row r="302" spans="1:10" ht="42.75" customHeight="1" x14ac:dyDescent="0.2">
      <c r="A302" s="556" t="s">
        <v>3512</v>
      </c>
      <c r="B302" s="556" t="s">
        <v>9520</v>
      </c>
      <c r="C302" s="556" t="s">
        <v>5703</v>
      </c>
      <c r="D302" s="553" t="s">
        <v>6215</v>
      </c>
      <c r="E302" s="553" t="s">
        <v>60</v>
      </c>
      <c r="F302" s="107">
        <v>113.6</v>
      </c>
      <c r="G302" s="556">
        <v>1962</v>
      </c>
      <c r="H302" s="41">
        <v>1087358.75</v>
      </c>
      <c r="I302" s="556" t="s">
        <v>3748</v>
      </c>
      <c r="J302" s="556" t="s">
        <v>3748</v>
      </c>
    </row>
    <row r="303" spans="1:10" ht="47.25" customHeight="1" x14ac:dyDescent="0.2">
      <c r="A303" s="556" t="s">
        <v>2397</v>
      </c>
      <c r="B303" s="556" t="s">
        <v>9510</v>
      </c>
      <c r="C303" s="556" t="s">
        <v>9108</v>
      </c>
      <c r="D303" s="553" t="s">
        <v>5779</v>
      </c>
      <c r="E303" s="553" t="s">
        <v>2286</v>
      </c>
      <c r="F303" s="107">
        <v>640.1</v>
      </c>
      <c r="G303" s="556">
        <v>1959</v>
      </c>
      <c r="H303" s="41">
        <v>16513383.01</v>
      </c>
      <c r="I303" s="556" t="s">
        <v>5633</v>
      </c>
      <c r="J303" s="556" t="s">
        <v>5633</v>
      </c>
    </row>
    <row r="304" spans="1:10" ht="48.75" customHeight="1" x14ac:dyDescent="0.2">
      <c r="A304" s="556" t="s">
        <v>2398</v>
      </c>
      <c r="B304" s="556" t="s">
        <v>9510</v>
      </c>
      <c r="C304" s="556" t="s">
        <v>9109</v>
      </c>
      <c r="D304" s="553" t="s">
        <v>5778</v>
      </c>
      <c r="E304" s="553" t="s">
        <v>5614</v>
      </c>
      <c r="F304" s="107">
        <v>1575.7</v>
      </c>
      <c r="G304" s="556">
        <v>1968</v>
      </c>
      <c r="H304" s="41">
        <v>42375347.369999997</v>
      </c>
      <c r="I304" s="556" t="s">
        <v>5633</v>
      </c>
      <c r="J304" s="556" t="s">
        <v>5633</v>
      </c>
    </row>
    <row r="305" spans="1:10" ht="54.75" customHeight="1" x14ac:dyDescent="0.2">
      <c r="A305" s="556" t="s">
        <v>2399</v>
      </c>
      <c r="B305" s="556" t="s">
        <v>3746</v>
      </c>
      <c r="C305" s="556" t="s">
        <v>6546</v>
      </c>
      <c r="D305" s="553" t="s">
        <v>8006</v>
      </c>
      <c r="E305" s="553" t="s">
        <v>2286</v>
      </c>
      <c r="F305" s="107">
        <v>1181.7</v>
      </c>
      <c r="G305" s="556" t="s">
        <v>38</v>
      </c>
      <c r="H305" s="41">
        <v>3405186.72</v>
      </c>
      <c r="I305" s="556" t="s">
        <v>14003</v>
      </c>
      <c r="J305" s="556" t="s">
        <v>14004</v>
      </c>
    </row>
    <row r="306" spans="1:10" s="5" customFormat="1" ht="11.25" customHeight="1" x14ac:dyDescent="0.2">
      <c r="A306" s="556" t="s">
        <v>2400</v>
      </c>
      <c r="B306" s="556" t="s">
        <v>2000</v>
      </c>
      <c r="C306" s="556" t="s">
        <v>336</v>
      </c>
      <c r="D306" s="553"/>
      <c r="E306" s="553"/>
      <c r="F306" s="107">
        <v>50</v>
      </c>
      <c r="G306" s="556">
        <v>1990</v>
      </c>
      <c r="H306" s="41"/>
      <c r="I306" s="556" t="s">
        <v>497</v>
      </c>
      <c r="J306" s="556" t="s">
        <v>497</v>
      </c>
    </row>
    <row r="307" spans="1:10" s="5" customFormat="1" ht="11.25" customHeight="1" x14ac:dyDescent="0.2">
      <c r="A307" s="556" t="s">
        <v>2401</v>
      </c>
      <c r="B307" s="556" t="s">
        <v>1999</v>
      </c>
      <c r="C307" s="556" t="s">
        <v>337</v>
      </c>
      <c r="D307" s="553"/>
      <c r="E307" s="553"/>
      <c r="F307" s="107"/>
      <c r="G307" s="556">
        <v>1967</v>
      </c>
      <c r="H307" s="41"/>
      <c r="I307" s="556" t="s">
        <v>497</v>
      </c>
      <c r="J307" s="556" t="s">
        <v>497</v>
      </c>
    </row>
    <row r="308" spans="1:10" s="5" customFormat="1" ht="24" customHeight="1" x14ac:dyDescent="0.2">
      <c r="A308" s="556" t="s">
        <v>2402</v>
      </c>
      <c r="B308" s="556" t="s">
        <v>2280</v>
      </c>
      <c r="C308" s="556" t="s">
        <v>5705</v>
      </c>
      <c r="D308" s="553"/>
      <c r="E308" s="553" t="s">
        <v>2266</v>
      </c>
      <c r="F308" s="107">
        <v>147.19999999999999</v>
      </c>
      <c r="G308" s="556" t="s">
        <v>3104</v>
      </c>
      <c r="H308" s="41"/>
      <c r="I308" s="556" t="s">
        <v>499</v>
      </c>
      <c r="J308" s="556" t="s">
        <v>499</v>
      </c>
    </row>
    <row r="309" spans="1:10" s="57" customFormat="1" ht="45.75" customHeight="1" x14ac:dyDescent="0.2">
      <c r="A309" s="556" t="s">
        <v>2403</v>
      </c>
      <c r="B309" s="556" t="s">
        <v>7693</v>
      </c>
      <c r="C309" s="556" t="s">
        <v>5706</v>
      </c>
      <c r="D309" s="553" t="s">
        <v>8061</v>
      </c>
      <c r="E309" s="553" t="s">
        <v>7482</v>
      </c>
      <c r="F309" s="107">
        <f>2512-12</f>
        <v>2500</v>
      </c>
      <c r="G309" s="556">
        <v>1977</v>
      </c>
      <c r="H309" s="41">
        <v>30885743.359999999</v>
      </c>
      <c r="I309" s="556" t="s">
        <v>97</v>
      </c>
      <c r="J309" s="556" t="s">
        <v>97</v>
      </c>
    </row>
    <row r="310" spans="1:10" ht="34.5" customHeight="1" x14ac:dyDescent="0.2">
      <c r="A310" s="734" t="s">
        <v>3676</v>
      </c>
      <c r="B310" s="31" t="s">
        <v>3728</v>
      </c>
      <c r="C310" s="130" t="s">
        <v>5707</v>
      </c>
      <c r="D310" s="18"/>
      <c r="E310" s="31" t="s">
        <v>68</v>
      </c>
      <c r="F310" s="89">
        <v>12</v>
      </c>
      <c r="G310" s="18" t="s">
        <v>67</v>
      </c>
      <c r="H310" s="741"/>
      <c r="I310" s="30" t="s">
        <v>3727</v>
      </c>
      <c r="J310" s="30" t="s">
        <v>13202</v>
      </c>
    </row>
    <row r="311" spans="1:10" s="57" customFormat="1" ht="46.5" customHeight="1" x14ac:dyDescent="0.2">
      <c r="A311" s="556" t="s">
        <v>4202</v>
      </c>
      <c r="B311" s="556" t="s">
        <v>98</v>
      </c>
      <c r="C311" s="96" t="s">
        <v>5706</v>
      </c>
      <c r="D311" s="553" t="s">
        <v>6619</v>
      </c>
      <c r="E311" s="31" t="s">
        <v>4204</v>
      </c>
      <c r="F311" s="107">
        <f>249.9-40</f>
        <v>209.9</v>
      </c>
      <c r="G311" s="556" t="s">
        <v>67</v>
      </c>
      <c r="H311" s="1316">
        <v>3072590.47</v>
      </c>
      <c r="I311" s="556" t="s">
        <v>97</v>
      </c>
      <c r="J311" s="556" t="s">
        <v>97</v>
      </c>
    </row>
    <row r="312" spans="1:10" s="57" customFormat="1" ht="43.5" customHeight="1" x14ac:dyDescent="0.2">
      <c r="A312" s="556" t="s">
        <v>4203</v>
      </c>
      <c r="B312" s="556" t="s">
        <v>6443</v>
      </c>
      <c r="C312" s="96" t="s">
        <v>5706</v>
      </c>
      <c r="D312" s="553" t="s">
        <v>6619</v>
      </c>
      <c r="E312" s="31" t="s">
        <v>4204</v>
      </c>
      <c r="F312" s="107">
        <v>40</v>
      </c>
      <c r="G312" s="556">
        <v>1977</v>
      </c>
      <c r="H312" s="1317"/>
      <c r="I312" s="80" t="s">
        <v>6666</v>
      </c>
      <c r="J312" s="80" t="s">
        <v>6666</v>
      </c>
    </row>
    <row r="313" spans="1:10" ht="38.25" customHeight="1" x14ac:dyDescent="0.2">
      <c r="A313" s="556" t="s">
        <v>2404</v>
      </c>
      <c r="B313" s="556" t="s">
        <v>9518</v>
      </c>
      <c r="C313" s="556" t="s">
        <v>5708</v>
      </c>
      <c r="D313" s="553" t="s">
        <v>8225</v>
      </c>
      <c r="E313" s="553" t="s">
        <v>86</v>
      </c>
      <c r="F313" s="107">
        <v>400.22</v>
      </c>
      <c r="G313" s="556">
        <v>1962</v>
      </c>
      <c r="H313" s="41">
        <v>4920571.05</v>
      </c>
      <c r="I313" s="556" t="s">
        <v>2878</v>
      </c>
      <c r="J313" s="556" t="s">
        <v>2878</v>
      </c>
    </row>
    <row r="314" spans="1:10" ht="84.75" customHeight="1" x14ac:dyDescent="0.2">
      <c r="A314" s="556" t="s">
        <v>2405</v>
      </c>
      <c r="B314" s="556" t="s">
        <v>9518</v>
      </c>
      <c r="C314" s="556" t="s">
        <v>9162</v>
      </c>
      <c r="D314" s="553" t="s">
        <v>9298</v>
      </c>
      <c r="E314" s="31" t="s">
        <v>4204</v>
      </c>
      <c r="F314" s="107">
        <v>217.2</v>
      </c>
      <c r="G314" s="556">
        <v>1953</v>
      </c>
      <c r="H314" s="41">
        <v>2686840.02</v>
      </c>
      <c r="I314" s="556" t="s">
        <v>7600</v>
      </c>
      <c r="J314" s="430" t="s">
        <v>10953</v>
      </c>
    </row>
    <row r="315" spans="1:10" ht="36" customHeight="1" x14ac:dyDescent="0.2">
      <c r="A315" s="556" t="s">
        <v>2406</v>
      </c>
      <c r="B315" s="556" t="s">
        <v>9518</v>
      </c>
      <c r="C315" s="556" t="s">
        <v>7683</v>
      </c>
      <c r="D315" s="553" t="s">
        <v>7745</v>
      </c>
      <c r="E315" s="553" t="s">
        <v>164</v>
      </c>
      <c r="F315" s="107">
        <f>1698.3-778.51</f>
        <v>919.79</v>
      </c>
      <c r="G315" s="556">
        <v>1964</v>
      </c>
      <c r="H315" s="1312">
        <v>14349921.710000001</v>
      </c>
      <c r="I315" s="556" t="s">
        <v>7600</v>
      </c>
      <c r="J315" s="556" t="s">
        <v>7600</v>
      </c>
    </row>
    <row r="316" spans="1:10" ht="46.5" customHeight="1" x14ac:dyDescent="0.2">
      <c r="A316" s="557" t="s">
        <v>11614</v>
      </c>
      <c r="B316" s="31" t="s">
        <v>281</v>
      </c>
      <c r="C316" s="557" t="s">
        <v>7683</v>
      </c>
      <c r="D316" s="553" t="s">
        <v>7745</v>
      </c>
      <c r="E316" s="553" t="s">
        <v>164</v>
      </c>
      <c r="F316" s="219">
        <v>778.51</v>
      </c>
      <c r="G316" s="557" t="s">
        <v>66</v>
      </c>
      <c r="H316" s="1313"/>
      <c r="I316" s="556" t="s">
        <v>3743</v>
      </c>
      <c r="J316" s="556" t="s">
        <v>3743</v>
      </c>
    </row>
    <row r="317" spans="1:10" ht="36" customHeight="1" x14ac:dyDescent="0.2">
      <c r="A317" s="556" t="s">
        <v>2407</v>
      </c>
      <c r="B317" s="556" t="s">
        <v>9518</v>
      </c>
      <c r="C317" s="556" t="s">
        <v>7684</v>
      </c>
      <c r="D317" s="94" t="s">
        <v>7829</v>
      </c>
      <c r="E317" s="553" t="s">
        <v>7689</v>
      </c>
      <c r="F317" s="107">
        <f>1527.5-29.5</f>
        <v>1498</v>
      </c>
      <c r="G317" s="556">
        <v>1982</v>
      </c>
      <c r="H317" s="41">
        <v>14100398.33</v>
      </c>
      <c r="I317" s="556" t="s">
        <v>7905</v>
      </c>
      <c r="J317" s="556" t="s">
        <v>7905</v>
      </c>
    </row>
    <row r="318" spans="1:10" ht="36" customHeight="1" x14ac:dyDescent="0.2">
      <c r="A318" s="556" t="s">
        <v>2408</v>
      </c>
      <c r="B318" s="556" t="s">
        <v>7925</v>
      </c>
      <c r="C318" s="556" t="s">
        <v>5709</v>
      </c>
      <c r="D318" s="94" t="s">
        <v>7827</v>
      </c>
      <c r="E318" s="553" t="s">
        <v>7689</v>
      </c>
      <c r="F318" s="107">
        <v>2275.9</v>
      </c>
      <c r="G318" s="556" t="s">
        <v>64</v>
      </c>
      <c r="H318" s="41">
        <v>8571449.0600000005</v>
      </c>
      <c r="I318" s="556" t="s">
        <v>7905</v>
      </c>
      <c r="J318" s="556" t="s">
        <v>7905</v>
      </c>
    </row>
    <row r="319" spans="1:10" s="57" customFormat="1" ht="46.5" customHeight="1" x14ac:dyDescent="0.2">
      <c r="A319" s="556" t="s">
        <v>2409</v>
      </c>
      <c r="B319" s="556" t="s">
        <v>471</v>
      </c>
      <c r="C319" s="556" t="s">
        <v>6218</v>
      </c>
      <c r="D319" s="94" t="s">
        <v>6266</v>
      </c>
      <c r="E319" s="553" t="s">
        <v>65</v>
      </c>
      <c r="F319" s="107">
        <f>4827.6</f>
        <v>4827.6000000000004</v>
      </c>
      <c r="G319" s="556">
        <v>1974</v>
      </c>
      <c r="H319" s="41">
        <v>53230952.090000004</v>
      </c>
      <c r="I319" s="556" t="s">
        <v>3743</v>
      </c>
      <c r="J319" s="556" t="s">
        <v>3743</v>
      </c>
    </row>
    <row r="320" spans="1:10" s="179" customFormat="1" ht="34.5" customHeight="1" x14ac:dyDescent="0.2">
      <c r="A320" s="556" t="s">
        <v>2411</v>
      </c>
      <c r="B320" s="96" t="s">
        <v>3451</v>
      </c>
      <c r="C320" s="96" t="s">
        <v>5968</v>
      </c>
      <c r="D320" s="553" t="s">
        <v>6177</v>
      </c>
      <c r="E320" s="553" t="s">
        <v>2284</v>
      </c>
      <c r="F320" s="107">
        <v>531.70000000000005</v>
      </c>
      <c r="G320" s="556" t="s">
        <v>165</v>
      </c>
      <c r="H320" s="41">
        <v>4492641.6900000004</v>
      </c>
      <c r="I320" s="556" t="s">
        <v>3564</v>
      </c>
      <c r="J320" s="556" t="s">
        <v>3564</v>
      </c>
    </row>
    <row r="321" spans="1:18" ht="26.25" customHeight="1" x14ac:dyDescent="0.2">
      <c r="A321" s="557" t="s">
        <v>5592</v>
      </c>
      <c r="B321" s="218"/>
      <c r="C321" s="218"/>
      <c r="D321" s="553"/>
      <c r="E321" s="345" t="s">
        <v>5672</v>
      </c>
      <c r="F321" s="56">
        <v>8</v>
      </c>
      <c r="G321" s="557" t="s">
        <v>165</v>
      </c>
      <c r="H321" s="21"/>
      <c r="I321" s="557" t="s">
        <v>5602</v>
      </c>
      <c r="J321" s="556" t="s">
        <v>3564</v>
      </c>
    </row>
    <row r="322" spans="1:18" ht="37.5" customHeight="1" x14ac:dyDescent="0.2">
      <c r="A322" s="557" t="s">
        <v>8281</v>
      </c>
      <c r="B322" s="218" t="s">
        <v>8282</v>
      </c>
      <c r="C322" s="96" t="s">
        <v>5968</v>
      </c>
      <c r="D322" s="553"/>
      <c r="E322" s="345" t="s">
        <v>8283</v>
      </c>
      <c r="F322" s="56">
        <v>9</v>
      </c>
      <c r="G322" s="557" t="s">
        <v>165</v>
      </c>
      <c r="H322" s="21"/>
      <c r="I322" s="557" t="s">
        <v>8284</v>
      </c>
      <c r="J322" s="556" t="s">
        <v>3564</v>
      </c>
    </row>
    <row r="323" spans="1:18" ht="36" customHeight="1" x14ac:dyDescent="0.2">
      <c r="A323" s="556" t="s">
        <v>2412</v>
      </c>
      <c r="B323" s="556" t="s">
        <v>5969</v>
      </c>
      <c r="C323" s="556" t="s">
        <v>5710</v>
      </c>
      <c r="D323" s="553" t="s">
        <v>8073</v>
      </c>
      <c r="E323" s="553" t="s">
        <v>65</v>
      </c>
      <c r="F323" s="107">
        <f>2216.6-142</f>
        <v>2074.6</v>
      </c>
      <c r="G323" s="556">
        <v>1953</v>
      </c>
      <c r="H323" s="41">
        <v>27420117.809999999</v>
      </c>
      <c r="I323" s="556" t="s">
        <v>3564</v>
      </c>
      <c r="J323" s="556" t="s">
        <v>3564</v>
      </c>
    </row>
    <row r="324" spans="1:18" ht="36" customHeight="1" x14ac:dyDescent="0.2">
      <c r="A324" s="556" t="s">
        <v>10776</v>
      </c>
      <c r="B324" s="63" t="s">
        <v>281</v>
      </c>
      <c r="C324" s="556" t="s">
        <v>5710</v>
      </c>
      <c r="D324" s="553" t="s">
        <v>8073</v>
      </c>
      <c r="E324" s="553" t="s">
        <v>10777</v>
      </c>
      <c r="F324" s="107">
        <v>142</v>
      </c>
      <c r="G324" s="556" t="s">
        <v>521</v>
      </c>
      <c r="I324" s="556" t="s">
        <v>10778</v>
      </c>
      <c r="J324" s="556" t="s">
        <v>3564</v>
      </c>
    </row>
    <row r="325" spans="1:18" s="57" customFormat="1" ht="35.25" customHeight="1" x14ac:dyDescent="0.2">
      <c r="A325" s="556" t="s">
        <v>5475</v>
      </c>
      <c r="B325" s="63" t="s">
        <v>5427</v>
      </c>
      <c r="C325" s="556" t="s">
        <v>5711</v>
      </c>
      <c r="D325" s="553"/>
      <c r="E325" s="553"/>
      <c r="F325" s="107">
        <v>32</v>
      </c>
      <c r="G325" s="556" t="s">
        <v>67</v>
      </c>
      <c r="H325" s="41"/>
      <c r="I325" s="30" t="s">
        <v>5428</v>
      </c>
      <c r="J325" s="30" t="s">
        <v>5428</v>
      </c>
      <c r="K325" s="4"/>
      <c r="L325" s="4"/>
      <c r="M325" s="4"/>
      <c r="N325" s="4"/>
      <c r="O325" s="4"/>
      <c r="P325" s="4"/>
      <c r="Q325" s="4"/>
      <c r="R325" s="4"/>
    </row>
    <row r="326" spans="1:18" s="5" customFormat="1" ht="23.25" customHeight="1" x14ac:dyDescent="0.2">
      <c r="A326" s="556" t="s">
        <v>2413</v>
      </c>
      <c r="B326" s="556" t="s">
        <v>1991</v>
      </c>
      <c r="C326" s="556" t="s">
        <v>5712</v>
      </c>
      <c r="D326" s="553"/>
      <c r="E326" s="553"/>
      <c r="F326" s="107">
        <v>1750</v>
      </c>
      <c r="G326" s="556">
        <v>1973</v>
      </c>
      <c r="H326" s="41"/>
      <c r="I326" s="556"/>
      <c r="J326" s="556"/>
    </row>
    <row r="327" spans="1:18" s="57" customFormat="1" ht="36.75" customHeight="1" x14ac:dyDescent="0.2">
      <c r="A327" s="556" t="s">
        <v>4220</v>
      </c>
      <c r="B327" s="556" t="s">
        <v>11</v>
      </c>
      <c r="C327" s="556" t="s">
        <v>9214</v>
      </c>
      <c r="D327" s="553" t="s">
        <v>10723</v>
      </c>
      <c r="E327" s="553" t="s">
        <v>2321</v>
      </c>
      <c r="F327" s="107">
        <f>1397</f>
        <v>1397</v>
      </c>
      <c r="G327" s="556">
        <v>1971</v>
      </c>
      <c r="H327" s="41">
        <v>29812510.859999999</v>
      </c>
      <c r="I327" s="556" t="s">
        <v>3097</v>
      </c>
      <c r="J327" s="556" t="s">
        <v>6852</v>
      </c>
    </row>
    <row r="328" spans="1:18" s="57" customFormat="1" ht="48" customHeight="1" x14ac:dyDescent="0.2">
      <c r="A328" s="556" t="s">
        <v>2414</v>
      </c>
      <c r="B328" s="556" t="s">
        <v>10529</v>
      </c>
      <c r="C328" s="556" t="s">
        <v>9214</v>
      </c>
      <c r="D328" s="553"/>
      <c r="E328" s="553" t="s">
        <v>2257</v>
      </c>
      <c r="F328" s="107">
        <v>57.34</v>
      </c>
      <c r="G328" s="556">
        <v>1972</v>
      </c>
      <c r="H328" s="41"/>
      <c r="I328" s="80" t="s">
        <v>9332</v>
      </c>
      <c r="J328" s="80" t="s">
        <v>9332</v>
      </c>
    </row>
    <row r="329" spans="1:18" s="183" customFormat="1" ht="38.25" customHeight="1" x14ac:dyDescent="0.2">
      <c r="A329" s="556" t="s">
        <v>2415</v>
      </c>
      <c r="B329" s="556" t="s">
        <v>10120</v>
      </c>
      <c r="C329" s="556" t="s">
        <v>5901</v>
      </c>
      <c r="D329" s="18" t="s">
        <v>9445</v>
      </c>
      <c r="E329" s="553" t="s">
        <v>2286</v>
      </c>
      <c r="F329" s="107">
        <f>511.4-31.6</f>
        <v>479.79999999999995</v>
      </c>
      <c r="G329" s="556">
        <v>1974</v>
      </c>
      <c r="H329" s="41">
        <v>10239114.32</v>
      </c>
      <c r="I329" s="556" t="s">
        <v>3564</v>
      </c>
      <c r="J329" s="556" t="s">
        <v>3564</v>
      </c>
    </row>
    <row r="330" spans="1:18" s="183" customFormat="1" ht="78" customHeight="1" x14ac:dyDescent="0.2">
      <c r="A330" s="556" t="s">
        <v>8227</v>
      </c>
      <c r="B330" s="63" t="s">
        <v>9450</v>
      </c>
      <c r="C330" s="556" t="s">
        <v>5901</v>
      </c>
      <c r="D330" s="18" t="s">
        <v>9446</v>
      </c>
      <c r="E330" s="31" t="s">
        <v>3799</v>
      </c>
      <c r="F330" s="89">
        <v>31.6</v>
      </c>
      <c r="G330" s="553">
        <v>1974</v>
      </c>
      <c r="H330" s="566">
        <v>674356.01</v>
      </c>
      <c r="I330" s="32" t="s">
        <v>5526</v>
      </c>
      <c r="J330" s="32" t="s">
        <v>5526</v>
      </c>
    </row>
    <row r="331" spans="1:18" s="57" customFormat="1" ht="33.75" customHeight="1" x14ac:dyDescent="0.2">
      <c r="A331" s="556" t="s">
        <v>2416</v>
      </c>
      <c r="B331" s="556" t="s">
        <v>9787</v>
      </c>
      <c r="C331" s="556" t="s">
        <v>5900</v>
      </c>
      <c r="D331" s="553"/>
      <c r="E331" s="553"/>
      <c r="F331" s="107">
        <v>116</v>
      </c>
      <c r="G331" s="556">
        <v>1972</v>
      </c>
      <c r="H331" s="41"/>
      <c r="I331" s="556" t="s">
        <v>388</v>
      </c>
      <c r="J331" s="556" t="s">
        <v>388</v>
      </c>
    </row>
    <row r="332" spans="1:18" s="57" customFormat="1" ht="46.5" customHeight="1" x14ac:dyDescent="0.2">
      <c r="A332" s="556" t="s">
        <v>2417</v>
      </c>
      <c r="B332" s="556" t="s">
        <v>7693</v>
      </c>
      <c r="C332" s="556" t="s">
        <v>7825</v>
      </c>
      <c r="D332" s="94" t="s">
        <v>7738</v>
      </c>
      <c r="E332" s="553" t="s">
        <v>7902</v>
      </c>
      <c r="F332" s="107">
        <f>720-222.5</f>
        <v>497.5</v>
      </c>
      <c r="G332" s="556">
        <v>1940</v>
      </c>
      <c r="H332" s="1316">
        <v>6481800</v>
      </c>
      <c r="I332" s="556" t="s">
        <v>514</v>
      </c>
      <c r="J332" s="556" t="s">
        <v>514</v>
      </c>
    </row>
    <row r="333" spans="1:18" s="57" customFormat="1" ht="45.75" customHeight="1" x14ac:dyDescent="0.2">
      <c r="A333" s="556" t="s">
        <v>3513</v>
      </c>
      <c r="B333" s="556" t="s">
        <v>9521</v>
      </c>
      <c r="C333" s="556" t="s">
        <v>7825</v>
      </c>
      <c r="D333" s="94" t="s">
        <v>7738</v>
      </c>
      <c r="E333" s="553" t="s">
        <v>164</v>
      </c>
      <c r="F333" s="107">
        <v>222.5</v>
      </c>
      <c r="G333" s="556">
        <v>1965</v>
      </c>
      <c r="H333" s="1317"/>
      <c r="I333" s="556" t="s">
        <v>514</v>
      </c>
      <c r="J333" s="556" t="s">
        <v>514</v>
      </c>
    </row>
    <row r="334" spans="1:18" s="57" customFormat="1" ht="48" customHeight="1" x14ac:dyDescent="0.2">
      <c r="A334" s="556" t="s">
        <v>2418</v>
      </c>
      <c r="B334" s="556" t="s">
        <v>9522</v>
      </c>
      <c r="C334" s="556" t="s">
        <v>7825</v>
      </c>
      <c r="D334" s="18" t="s">
        <v>7739</v>
      </c>
      <c r="E334" s="553" t="s">
        <v>7903</v>
      </c>
      <c r="F334" s="107">
        <v>73.099999999999994</v>
      </c>
      <c r="G334" s="556">
        <v>1940</v>
      </c>
      <c r="H334" s="41">
        <v>658082.75</v>
      </c>
      <c r="I334" s="556" t="s">
        <v>514</v>
      </c>
      <c r="J334" s="556" t="s">
        <v>514</v>
      </c>
    </row>
    <row r="335" spans="1:18" s="57" customFormat="1" ht="48.75" customHeight="1" x14ac:dyDescent="0.2">
      <c r="A335" s="556" t="s">
        <v>2419</v>
      </c>
      <c r="B335" s="556" t="s">
        <v>9523</v>
      </c>
      <c r="C335" s="556" t="s">
        <v>7383</v>
      </c>
      <c r="D335" s="18" t="s">
        <v>6661</v>
      </c>
      <c r="E335" s="553" t="s">
        <v>7903</v>
      </c>
      <c r="F335" s="107">
        <f>287.9+15</f>
        <v>302.89999999999998</v>
      </c>
      <c r="G335" s="556">
        <v>1950</v>
      </c>
      <c r="H335" s="41">
        <v>981647.41</v>
      </c>
      <c r="I335" s="556" t="s">
        <v>88</v>
      </c>
      <c r="J335" s="556" t="s">
        <v>88</v>
      </c>
    </row>
    <row r="336" spans="1:18" s="183" customFormat="1" ht="33.75" customHeight="1" x14ac:dyDescent="0.2">
      <c r="A336" s="556" t="s">
        <v>2420</v>
      </c>
      <c r="B336" s="556" t="s">
        <v>3444</v>
      </c>
      <c r="C336" s="556" t="s">
        <v>5713</v>
      </c>
      <c r="D336" s="553"/>
      <c r="E336" s="553"/>
      <c r="F336" s="107">
        <v>56</v>
      </c>
      <c r="G336" s="556">
        <v>1994</v>
      </c>
      <c r="H336" s="41"/>
      <c r="I336" s="556" t="s">
        <v>3564</v>
      </c>
      <c r="J336" s="556" t="s">
        <v>3564</v>
      </c>
    </row>
    <row r="337" spans="1:10" s="57" customFormat="1" ht="48" customHeight="1" x14ac:dyDescent="0.2">
      <c r="A337" s="556" t="s">
        <v>2421</v>
      </c>
      <c r="B337" s="556" t="s">
        <v>6225</v>
      </c>
      <c r="C337" s="556" t="s">
        <v>6663</v>
      </c>
      <c r="D337" s="553" t="s">
        <v>6718</v>
      </c>
      <c r="E337" s="553" t="s">
        <v>2287</v>
      </c>
      <c r="F337" s="107">
        <v>856.6</v>
      </c>
      <c r="G337" s="556" t="s">
        <v>3757</v>
      </c>
      <c r="H337" s="1316">
        <v>4685916.0999999996</v>
      </c>
      <c r="I337" s="556" t="s">
        <v>88</v>
      </c>
      <c r="J337" s="556" t="s">
        <v>88</v>
      </c>
    </row>
    <row r="338" spans="1:10" s="57" customFormat="1" ht="46.5" customHeight="1" x14ac:dyDescent="0.2">
      <c r="A338" s="556" t="s">
        <v>6575</v>
      </c>
      <c r="B338" s="556" t="s">
        <v>6224</v>
      </c>
      <c r="C338" s="556" t="s">
        <v>6663</v>
      </c>
      <c r="D338" s="553" t="s">
        <v>6718</v>
      </c>
      <c r="E338" s="553" t="s">
        <v>2287</v>
      </c>
      <c r="F338" s="107">
        <v>589.29999999999995</v>
      </c>
      <c r="G338" s="556">
        <v>1992</v>
      </c>
      <c r="H338" s="1317"/>
      <c r="I338" s="556" t="s">
        <v>88</v>
      </c>
      <c r="J338" s="556" t="s">
        <v>88</v>
      </c>
    </row>
    <row r="339" spans="1:10" s="57" customFormat="1" ht="45.75" customHeight="1" x14ac:dyDescent="0.2">
      <c r="A339" s="556" t="s">
        <v>2422</v>
      </c>
      <c r="B339" s="556" t="s">
        <v>7693</v>
      </c>
      <c r="C339" s="556" t="s">
        <v>8998</v>
      </c>
      <c r="D339" s="553" t="s">
        <v>6659</v>
      </c>
      <c r="E339" s="553" t="s">
        <v>2287</v>
      </c>
      <c r="F339" s="107">
        <v>1036.7</v>
      </c>
      <c r="G339" s="556">
        <v>1971</v>
      </c>
      <c r="H339" s="41">
        <v>16422976.35</v>
      </c>
      <c r="I339" s="556" t="s">
        <v>88</v>
      </c>
      <c r="J339" s="556" t="s">
        <v>88</v>
      </c>
    </row>
    <row r="340" spans="1:10" s="57" customFormat="1" ht="47.25" customHeight="1" x14ac:dyDescent="0.2">
      <c r="A340" s="556" t="s">
        <v>2423</v>
      </c>
      <c r="B340" s="556" t="s">
        <v>7801</v>
      </c>
      <c r="C340" s="556" t="s">
        <v>7800</v>
      </c>
      <c r="D340" s="553" t="s">
        <v>8059</v>
      </c>
      <c r="E340" s="553" t="s">
        <v>2287</v>
      </c>
      <c r="F340" s="193">
        <v>109.3</v>
      </c>
      <c r="G340" s="556"/>
      <c r="H340" s="41">
        <v>1513147.01</v>
      </c>
      <c r="I340" s="556" t="s">
        <v>7899</v>
      </c>
      <c r="J340" s="556" t="s">
        <v>7899</v>
      </c>
    </row>
    <row r="341" spans="1:10" s="5" customFormat="1" ht="25.5" customHeight="1" x14ac:dyDescent="0.2">
      <c r="A341" s="556" t="s">
        <v>2424</v>
      </c>
      <c r="B341" s="556" t="s">
        <v>2001</v>
      </c>
      <c r="C341" s="556" t="s">
        <v>5714</v>
      </c>
      <c r="D341" s="553"/>
      <c r="E341" s="553"/>
      <c r="F341" s="107">
        <v>300</v>
      </c>
      <c r="G341" s="556">
        <v>1988</v>
      </c>
      <c r="H341" s="41"/>
      <c r="I341" s="556" t="s">
        <v>3678</v>
      </c>
      <c r="J341" s="556" t="s">
        <v>3678</v>
      </c>
    </row>
    <row r="342" spans="1:10" ht="36" customHeight="1" x14ac:dyDescent="0.2">
      <c r="A342" s="557" t="s">
        <v>4150</v>
      </c>
      <c r="B342" s="557" t="s">
        <v>9461</v>
      </c>
      <c r="C342" s="557" t="s">
        <v>5715</v>
      </c>
      <c r="D342" s="553" t="s">
        <v>9460</v>
      </c>
      <c r="E342" s="345" t="s">
        <v>2287</v>
      </c>
      <c r="F342" s="56">
        <f>284.7-27.7-1-1</f>
        <v>255</v>
      </c>
      <c r="G342" s="557" t="s">
        <v>80</v>
      </c>
      <c r="H342" s="21">
        <v>3557902.86</v>
      </c>
      <c r="I342" s="11" t="s">
        <v>6354</v>
      </c>
      <c r="J342" s="11" t="s">
        <v>6354</v>
      </c>
    </row>
    <row r="343" spans="1:10" ht="67.5" customHeight="1" x14ac:dyDescent="0.2">
      <c r="A343" s="556" t="s">
        <v>4151</v>
      </c>
      <c r="B343" s="31" t="s">
        <v>9450</v>
      </c>
      <c r="C343" s="130" t="s">
        <v>5715</v>
      </c>
      <c r="D343" s="18" t="s">
        <v>9459</v>
      </c>
      <c r="E343" s="31" t="s">
        <v>2149</v>
      </c>
      <c r="F343" s="193">
        <v>27.7</v>
      </c>
      <c r="G343" s="18" t="s">
        <v>80</v>
      </c>
      <c r="H343" s="41">
        <v>383478.25</v>
      </c>
      <c r="I343" s="32" t="s">
        <v>4147</v>
      </c>
      <c r="J343" s="32" t="s">
        <v>4147</v>
      </c>
    </row>
    <row r="344" spans="1:10" ht="38.25" customHeight="1" x14ac:dyDescent="0.2">
      <c r="A344" s="734" t="s">
        <v>5895</v>
      </c>
      <c r="B344" s="29" t="s">
        <v>281</v>
      </c>
      <c r="C344" s="79" t="s">
        <v>5715</v>
      </c>
      <c r="D344" s="18"/>
      <c r="E344" s="345" t="s">
        <v>168</v>
      </c>
      <c r="F344" s="33">
        <v>1</v>
      </c>
      <c r="G344" s="46" t="s">
        <v>80</v>
      </c>
      <c r="H344" s="25"/>
      <c r="I344" s="102" t="s">
        <v>5151</v>
      </c>
      <c r="J344" s="106" t="s">
        <v>13437</v>
      </c>
    </row>
    <row r="345" spans="1:10" s="5" customFormat="1" ht="47.25" customHeight="1" x14ac:dyDescent="0.2">
      <c r="A345" s="556" t="s">
        <v>6449</v>
      </c>
      <c r="B345" s="31" t="s">
        <v>281</v>
      </c>
      <c r="C345" s="130" t="s">
        <v>5715</v>
      </c>
      <c r="D345" s="18"/>
      <c r="E345" s="553" t="s">
        <v>6450</v>
      </c>
      <c r="F345" s="89">
        <v>1</v>
      </c>
      <c r="G345" s="18" t="s">
        <v>80</v>
      </c>
      <c r="H345" s="566"/>
      <c r="I345" s="544" t="s">
        <v>6446</v>
      </c>
      <c r="J345" s="544" t="s">
        <v>6446</v>
      </c>
    </row>
    <row r="346" spans="1:10" ht="33.75" customHeight="1" x14ac:dyDescent="0.2">
      <c r="A346" s="556" t="s">
        <v>2425</v>
      </c>
      <c r="B346" s="556" t="s">
        <v>465</v>
      </c>
      <c r="C346" s="556" t="s">
        <v>5714</v>
      </c>
      <c r="D346" s="553"/>
      <c r="E346" s="553" t="s">
        <v>2287</v>
      </c>
      <c r="F346" s="107">
        <v>68.5</v>
      </c>
      <c r="G346" s="556" t="s">
        <v>5423</v>
      </c>
      <c r="H346" s="41"/>
      <c r="I346" s="10" t="s">
        <v>6354</v>
      </c>
      <c r="J346" s="10" t="s">
        <v>6354</v>
      </c>
    </row>
    <row r="347" spans="1:10" s="57" customFormat="1" ht="45.75" customHeight="1" x14ac:dyDescent="0.2">
      <c r="A347" s="556" t="s">
        <v>2426</v>
      </c>
      <c r="B347" s="556" t="s">
        <v>9523</v>
      </c>
      <c r="C347" s="556" t="s">
        <v>5994</v>
      </c>
      <c r="D347" s="553" t="s">
        <v>6353</v>
      </c>
      <c r="E347" s="553" t="s">
        <v>2287</v>
      </c>
      <c r="F347" s="107">
        <f>399.7-117.8</f>
        <v>281.89999999999998</v>
      </c>
      <c r="G347" s="556">
        <v>1994</v>
      </c>
      <c r="H347" s="41">
        <v>5533438.8099999996</v>
      </c>
      <c r="I347" s="556" t="s">
        <v>3774</v>
      </c>
      <c r="J347" s="556" t="s">
        <v>3774</v>
      </c>
    </row>
    <row r="348" spans="1:10" s="57" customFormat="1" ht="42.75" customHeight="1" x14ac:dyDescent="0.2">
      <c r="A348" s="556" t="s">
        <v>6607</v>
      </c>
      <c r="B348" s="31" t="s">
        <v>6608</v>
      </c>
      <c r="C348" s="556" t="s">
        <v>5994</v>
      </c>
      <c r="D348" s="553"/>
      <c r="E348" s="553" t="s">
        <v>6450</v>
      </c>
      <c r="F348" s="107">
        <v>117.8</v>
      </c>
      <c r="G348" s="556" t="s">
        <v>3110</v>
      </c>
      <c r="H348" s="41"/>
      <c r="I348" s="557" t="s">
        <v>6666</v>
      </c>
      <c r="J348" s="557" t="s">
        <v>6666</v>
      </c>
    </row>
    <row r="349" spans="1:10" s="57" customFormat="1" ht="35.25" customHeight="1" x14ac:dyDescent="0.2">
      <c r="A349" s="556" t="s">
        <v>2427</v>
      </c>
      <c r="B349" s="556" t="s">
        <v>91</v>
      </c>
      <c r="C349" s="556" t="s">
        <v>5572</v>
      </c>
      <c r="D349" s="129"/>
      <c r="E349" s="553"/>
      <c r="F349" s="107">
        <f>53-53</f>
        <v>0</v>
      </c>
      <c r="G349" s="556">
        <v>1995</v>
      </c>
      <c r="H349" s="41"/>
      <c r="I349" s="556"/>
      <c r="J349" s="556" t="s">
        <v>92</v>
      </c>
    </row>
    <row r="350" spans="1:10" ht="45" customHeight="1" x14ac:dyDescent="0.2">
      <c r="A350" s="544" t="s">
        <v>2428</v>
      </c>
      <c r="B350" s="544" t="s">
        <v>3775</v>
      </c>
      <c r="C350" s="544" t="s">
        <v>6257</v>
      </c>
      <c r="D350" s="553" t="s">
        <v>6259</v>
      </c>
      <c r="E350" s="553" t="s">
        <v>6258</v>
      </c>
      <c r="F350" s="107">
        <v>1860.2</v>
      </c>
      <c r="G350" s="556">
        <v>1968</v>
      </c>
      <c r="H350" s="41">
        <v>25752571.600000001</v>
      </c>
      <c r="I350" s="544" t="s">
        <v>3774</v>
      </c>
      <c r="J350" s="544" t="s">
        <v>3774</v>
      </c>
    </row>
    <row r="351" spans="1:10" s="5" customFormat="1" ht="33.75" customHeight="1" x14ac:dyDescent="0.2">
      <c r="A351" s="556" t="s">
        <v>2429</v>
      </c>
      <c r="B351" s="556" t="s">
        <v>2002</v>
      </c>
      <c r="C351" s="556" t="s">
        <v>5630</v>
      </c>
      <c r="D351" s="553"/>
      <c r="E351" s="553"/>
      <c r="F351" s="107">
        <v>9</v>
      </c>
      <c r="G351" s="556">
        <v>1992</v>
      </c>
      <c r="H351" s="41"/>
      <c r="I351" s="553" t="s">
        <v>6354</v>
      </c>
      <c r="J351" s="553" t="s">
        <v>6354</v>
      </c>
    </row>
    <row r="352" spans="1:10" ht="25.5" customHeight="1" x14ac:dyDescent="0.2">
      <c r="A352" s="556" t="s">
        <v>2430</v>
      </c>
      <c r="B352" s="557" t="s">
        <v>5424</v>
      </c>
      <c r="C352" s="557" t="s">
        <v>5629</v>
      </c>
      <c r="D352" s="553"/>
      <c r="E352" s="345"/>
      <c r="F352" s="56">
        <v>140</v>
      </c>
      <c r="G352" s="557">
        <v>1993</v>
      </c>
      <c r="H352" s="21"/>
      <c r="I352" s="10" t="s">
        <v>304</v>
      </c>
      <c r="J352" s="557" t="s">
        <v>389</v>
      </c>
    </row>
    <row r="353" spans="1:10" s="179" customFormat="1" ht="36" customHeight="1" x14ac:dyDescent="0.2">
      <c r="A353" s="556" t="s">
        <v>2431</v>
      </c>
      <c r="B353" s="556" t="s">
        <v>3444</v>
      </c>
      <c r="C353" s="556" t="s">
        <v>5628</v>
      </c>
      <c r="D353" s="553" t="s">
        <v>9413</v>
      </c>
      <c r="E353" s="553" t="s">
        <v>9358</v>
      </c>
      <c r="F353" s="107">
        <v>283.89999999999998</v>
      </c>
      <c r="G353" s="556">
        <v>1973</v>
      </c>
      <c r="H353" s="41">
        <v>2243272.7599999998</v>
      </c>
      <c r="I353" s="556" t="s">
        <v>3564</v>
      </c>
      <c r="J353" s="556" t="s">
        <v>3564</v>
      </c>
    </row>
    <row r="354" spans="1:10" s="57" customFormat="1" ht="45.75" customHeight="1" x14ac:dyDescent="0.2">
      <c r="A354" s="556" t="s">
        <v>2432</v>
      </c>
      <c r="B354" s="556" t="s">
        <v>7693</v>
      </c>
      <c r="C354" s="556" t="s">
        <v>5626</v>
      </c>
      <c r="D354" s="553" t="s">
        <v>8063</v>
      </c>
      <c r="E354" s="553" t="s">
        <v>7828</v>
      </c>
      <c r="F354" s="107">
        <v>768</v>
      </c>
      <c r="G354" s="556">
        <v>1973</v>
      </c>
      <c r="H354" s="41">
        <v>6068451.8399999999</v>
      </c>
      <c r="I354" s="556" t="s">
        <v>14005</v>
      </c>
      <c r="J354" s="831" t="s">
        <v>14005</v>
      </c>
    </row>
    <row r="355" spans="1:10" s="5" customFormat="1" ht="45.75" customHeight="1" x14ac:dyDescent="0.2">
      <c r="A355" s="733" t="s">
        <v>2433</v>
      </c>
      <c r="B355" s="733" t="s">
        <v>5425</v>
      </c>
      <c r="C355" s="733" t="s">
        <v>5631</v>
      </c>
      <c r="D355" s="731" t="s">
        <v>11615</v>
      </c>
      <c r="E355" s="731" t="s">
        <v>2287</v>
      </c>
      <c r="F355" s="107">
        <v>16</v>
      </c>
      <c r="G355" s="733">
        <v>1994</v>
      </c>
      <c r="H355" s="41">
        <v>221503.68</v>
      </c>
      <c r="I355" s="10" t="s">
        <v>13439</v>
      </c>
      <c r="J355" s="731" t="s">
        <v>13440</v>
      </c>
    </row>
    <row r="356" spans="1:10" s="5" customFormat="1" ht="27" customHeight="1" x14ac:dyDescent="0.2">
      <c r="A356" s="556" t="s">
        <v>2434</v>
      </c>
      <c r="B356" s="556" t="s">
        <v>465</v>
      </c>
      <c r="C356" s="556" t="s">
        <v>5723</v>
      </c>
      <c r="D356" s="553"/>
      <c r="E356" s="553"/>
      <c r="F356" s="107">
        <v>24</v>
      </c>
      <c r="G356" s="556">
        <v>1996</v>
      </c>
      <c r="H356" s="41"/>
      <c r="I356" s="10" t="s">
        <v>6355</v>
      </c>
      <c r="J356" s="10" t="s">
        <v>6355</v>
      </c>
    </row>
    <row r="357" spans="1:10" ht="27" customHeight="1" x14ac:dyDescent="0.2">
      <c r="A357" s="556" t="s">
        <v>2435</v>
      </c>
      <c r="B357" s="556" t="s">
        <v>5426</v>
      </c>
      <c r="C357" s="556" t="s">
        <v>5724</v>
      </c>
      <c r="D357" s="553"/>
      <c r="E357" s="553"/>
      <c r="F357" s="107">
        <v>48</v>
      </c>
      <c r="G357" s="556">
        <v>1994</v>
      </c>
      <c r="H357" s="41"/>
      <c r="I357" s="10" t="s">
        <v>6354</v>
      </c>
      <c r="J357" s="10" t="s">
        <v>6354</v>
      </c>
    </row>
    <row r="358" spans="1:10" ht="24.75" customHeight="1" x14ac:dyDescent="0.2">
      <c r="A358" s="556" t="s">
        <v>2436</v>
      </c>
      <c r="B358" s="556" t="s">
        <v>3468</v>
      </c>
      <c r="C358" s="556" t="s">
        <v>5725</v>
      </c>
      <c r="D358" s="553"/>
      <c r="E358" s="553"/>
      <c r="F358" s="107">
        <v>48</v>
      </c>
      <c r="G358" s="556">
        <v>1987</v>
      </c>
      <c r="H358" s="41"/>
      <c r="I358" s="188" t="s">
        <v>6356</v>
      </c>
      <c r="J358" s="188" t="s">
        <v>6356</v>
      </c>
    </row>
    <row r="359" spans="1:10" ht="26.25" customHeight="1" x14ac:dyDescent="0.2">
      <c r="A359" s="556" t="s">
        <v>4148</v>
      </c>
      <c r="B359" s="556" t="s">
        <v>3043</v>
      </c>
      <c r="C359" s="556" t="s">
        <v>5726</v>
      </c>
      <c r="D359" s="553" t="s">
        <v>11616</v>
      </c>
      <c r="E359" s="553" t="s">
        <v>451</v>
      </c>
      <c r="F359" s="107">
        <f>126.1-20.2</f>
        <v>105.89999999999999</v>
      </c>
      <c r="G359" s="556">
        <v>1982</v>
      </c>
      <c r="H359" s="41"/>
      <c r="I359" s="188" t="s">
        <v>6356</v>
      </c>
      <c r="J359" s="188" t="s">
        <v>6356</v>
      </c>
    </row>
    <row r="360" spans="1:10" ht="67.5" customHeight="1" x14ac:dyDescent="0.2">
      <c r="A360" s="31" t="s">
        <v>4149</v>
      </c>
      <c r="B360" s="31" t="s">
        <v>281</v>
      </c>
      <c r="C360" s="130" t="s">
        <v>6265</v>
      </c>
      <c r="D360" s="553" t="s">
        <v>11617</v>
      </c>
      <c r="E360" s="31" t="s">
        <v>2671</v>
      </c>
      <c r="F360" s="89">
        <v>20.2</v>
      </c>
      <c r="G360" s="18" t="s">
        <v>2658</v>
      </c>
      <c r="H360" s="566"/>
      <c r="I360" s="32" t="s">
        <v>4147</v>
      </c>
      <c r="J360" s="32" t="s">
        <v>4147</v>
      </c>
    </row>
    <row r="361" spans="1:10" s="5" customFormat="1" ht="45.75" customHeight="1" x14ac:dyDescent="0.2">
      <c r="A361" s="31" t="s">
        <v>6447</v>
      </c>
      <c r="B361" s="31" t="s">
        <v>281</v>
      </c>
      <c r="C361" s="130" t="s">
        <v>6265</v>
      </c>
      <c r="D361" s="18"/>
      <c r="E361" s="553" t="s">
        <v>6448</v>
      </c>
      <c r="F361" s="89">
        <v>1</v>
      </c>
      <c r="G361" s="18" t="s">
        <v>2658</v>
      </c>
      <c r="H361" s="566"/>
      <c r="I361" s="544" t="s">
        <v>6446</v>
      </c>
      <c r="J361" s="544" t="s">
        <v>6446</v>
      </c>
    </row>
    <row r="362" spans="1:10" s="57" customFormat="1" ht="47.25" customHeight="1" x14ac:dyDescent="0.2">
      <c r="A362" s="556" t="s">
        <v>2437</v>
      </c>
      <c r="B362" s="556" t="s">
        <v>7693</v>
      </c>
      <c r="C362" s="556" t="s">
        <v>10581</v>
      </c>
      <c r="D362" s="553" t="s">
        <v>7694</v>
      </c>
      <c r="E362" s="553" t="s">
        <v>7686</v>
      </c>
      <c r="F362" s="107">
        <f>600-25</f>
        <v>575</v>
      </c>
      <c r="G362" s="556">
        <v>1986</v>
      </c>
      <c r="H362" s="41">
        <v>3207407.5</v>
      </c>
      <c r="I362" s="556" t="s">
        <v>8</v>
      </c>
      <c r="J362" s="556" t="s">
        <v>8</v>
      </c>
    </row>
    <row r="363" spans="1:10" s="57" customFormat="1" ht="45" customHeight="1" x14ac:dyDescent="0.2">
      <c r="A363" s="556" t="s">
        <v>6667</v>
      </c>
      <c r="B363" s="31" t="s">
        <v>6608</v>
      </c>
      <c r="C363" s="556" t="s">
        <v>6470</v>
      </c>
      <c r="D363" s="553"/>
      <c r="E363" s="553"/>
      <c r="F363" s="107">
        <v>25</v>
      </c>
      <c r="G363" s="556" t="s">
        <v>73</v>
      </c>
      <c r="H363" s="41"/>
      <c r="I363" s="80" t="s">
        <v>6668</v>
      </c>
      <c r="J363" s="80" t="s">
        <v>6668</v>
      </c>
    </row>
    <row r="364" spans="1:10" s="5" customFormat="1" ht="24" customHeight="1" x14ac:dyDescent="0.2">
      <c r="A364" s="556" t="s">
        <v>2438</v>
      </c>
      <c r="B364" s="556" t="s">
        <v>2288</v>
      </c>
      <c r="C364" s="556" t="s">
        <v>5721</v>
      </c>
      <c r="D364" s="553"/>
      <c r="E364" s="553" t="s">
        <v>2289</v>
      </c>
      <c r="F364" s="107"/>
      <c r="G364" s="556">
        <v>1991</v>
      </c>
      <c r="H364" s="41"/>
      <c r="I364" s="556" t="s">
        <v>390</v>
      </c>
      <c r="J364" s="556" t="s">
        <v>390</v>
      </c>
    </row>
    <row r="365" spans="1:10" s="5" customFormat="1" ht="22.5" customHeight="1" x14ac:dyDescent="0.2">
      <c r="A365" s="556" t="s">
        <v>2439</v>
      </c>
      <c r="B365" s="556" t="s">
        <v>2003</v>
      </c>
      <c r="C365" s="556" t="s">
        <v>5721</v>
      </c>
      <c r="D365" s="553"/>
      <c r="E365" s="553"/>
      <c r="F365" s="107"/>
      <c r="G365" s="556">
        <v>1996</v>
      </c>
      <c r="H365" s="41"/>
      <c r="I365" s="556" t="s">
        <v>497</v>
      </c>
      <c r="J365" s="556" t="s">
        <v>497</v>
      </c>
    </row>
    <row r="366" spans="1:10" s="5" customFormat="1" ht="23.25" customHeight="1" x14ac:dyDescent="0.2">
      <c r="A366" s="556" t="s">
        <v>2440</v>
      </c>
      <c r="B366" s="556" t="s">
        <v>2004</v>
      </c>
      <c r="C366" s="556" t="s">
        <v>5721</v>
      </c>
      <c r="D366" s="553"/>
      <c r="E366" s="553"/>
      <c r="F366" s="107"/>
      <c r="G366" s="556">
        <v>1987</v>
      </c>
      <c r="H366" s="41"/>
      <c r="I366" s="556" t="s">
        <v>497</v>
      </c>
      <c r="J366" s="556" t="s">
        <v>497</v>
      </c>
    </row>
    <row r="367" spans="1:10" s="5" customFormat="1" ht="22.5" customHeight="1" x14ac:dyDescent="0.2">
      <c r="A367" s="556" t="s">
        <v>2441</v>
      </c>
      <c r="B367" s="556" t="s">
        <v>2290</v>
      </c>
      <c r="C367" s="556" t="s">
        <v>5721</v>
      </c>
      <c r="D367" s="553"/>
      <c r="E367" s="553" t="s">
        <v>2250</v>
      </c>
      <c r="F367" s="107"/>
      <c r="G367" s="556">
        <v>1996</v>
      </c>
      <c r="H367" s="41"/>
      <c r="I367" s="556" t="s">
        <v>390</v>
      </c>
      <c r="J367" s="556" t="s">
        <v>390</v>
      </c>
    </row>
    <row r="368" spans="1:10" s="57" customFormat="1" ht="57.75" customHeight="1" x14ac:dyDescent="0.2">
      <c r="A368" s="556" t="s">
        <v>2875</v>
      </c>
      <c r="B368" s="556" t="s">
        <v>7693</v>
      </c>
      <c r="C368" s="556" t="s">
        <v>7726</v>
      </c>
      <c r="D368" s="553" t="s">
        <v>7894</v>
      </c>
      <c r="E368" s="553" t="s">
        <v>7725</v>
      </c>
      <c r="F368" s="107">
        <v>570.5</v>
      </c>
      <c r="G368" s="556">
        <v>1971</v>
      </c>
      <c r="H368" s="41">
        <v>11067066.75</v>
      </c>
      <c r="I368" s="556" t="s">
        <v>87</v>
      </c>
      <c r="J368" s="556" t="s">
        <v>87</v>
      </c>
    </row>
    <row r="369" spans="1:10" s="57" customFormat="1" ht="90.75" customHeight="1" x14ac:dyDescent="0.2">
      <c r="A369" s="556" t="s">
        <v>2722</v>
      </c>
      <c r="B369" s="556" t="s">
        <v>9510</v>
      </c>
      <c r="C369" s="556" t="s">
        <v>5680</v>
      </c>
      <c r="D369" s="553" t="s">
        <v>5956</v>
      </c>
      <c r="E369" s="553" t="s">
        <v>7919</v>
      </c>
      <c r="F369" s="107">
        <v>310.3</v>
      </c>
      <c r="G369" s="556">
        <v>1941</v>
      </c>
      <c r="H369" s="41">
        <v>8296075.2999999998</v>
      </c>
      <c r="I369" s="556" t="s">
        <v>10697</v>
      </c>
      <c r="J369" s="430" t="s">
        <v>10698</v>
      </c>
    </row>
    <row r="370" spans="1:10" s="57" customFormat="1" ht="33.75" customHeight="1" x14ac:dyDescent="0.2">
      <c r="A370" s="556" t="s">
        <v>2723</v>
      </c>
      <c r="B370" s="556" t="s">
        <v>9510</v>
      </c>
      <c r="C370" s="1303" t="s">
        <v>5681</v>
      </c>
      <c r="D370" s="94" t="s">
        <v>5993</v>
      </c>
      <c r="E370" s="553" t="s">
        <v>5893</v>
      </c>
      <c r="F370" s="107">
        <v>1089.3</v>
      </c>
      <c r="G370" s="556">
        <v>1964</v>
      </c>
      <c r="H370" s="41">
        <v>32075549.59</v>
      </c>
      <c r="I370" s="1303" t="s">
        <v>8247</v>
      </c>
      <c r="J370" s="1303" t="s">
        <v>8247</v>
      </c>
    </row>
    <row r="371" spans="1:10" ht="11.25" customHeight="1" x14ac:dyDescent="0.2">
      <c r="A371" s="556" t="s">
        <v>3514</v>
      </c>
      <c r="B371" s="556" t="s">
        <v>2268</v>
      </c>
      <c r="C371" s="1305"/>
      <c r="D371" s="18"/>
      <c r="E371" s="553" t="s">
        <v>2269</v>
      </c>
      <c r="F371" s="107"/>
      <c r="G371" s="556">
        <v>2004</v>
      </c>
      <c r="H371" s="41"/>
      <c r="I371" s="1305"/>
      <c r="J371" s="1305"/>
    </row>
    <row r="372" spans="1:10" ht="36" customHeight="1" x14ac:dyDescent="0.2">
      <c r="A372" s="556" t="s">
        <v>2724</v>
      </c>
      <c r="B372" s="556" t="s">
        <v>9510</v>
      </c>
      <c r="C372" s="556" t="s">
        <v>5682</v>
      </c>
      <c r="D372" s="96" t="s">
        <v>5320</v>
      </c>
      <c r="E372" s="553" t="s">
        <v>5258</v>
      </c>
      <c r="F372" s="107">
        <f>667.6</f>
        <v>667.6</v>
      </c>
      <c r="G372" s="556" t="s">
        <v>4096</v>
      </c>
      <c r="H372" s="41">
        <v>21000000</v>
      </c>
      <c r="I372" s="556" t="s">
        <v>7918</v>
      </c>
      <c r="J372" s="556" t="s">
        <v>7918</v>
      </c>
    </row>
    <row r="373" spans="1:10" ht="36.75" customHeight="1" x14ac:dyDescent="0.2">
      <c r="A373" s="556" t="s">
        <v>2725</v>
      </c>
      <c r="B373" s="556" t="s">
        <v>467</v>
      </c>
      <c r="C373" s="556" t="s">
        <v>5682</v>
      </c>
      <c r="D373" s="556" t="s">
        <v>7742</v>
      </c>
      <c r="E373" s="553" t="s">
        <v>60</v>
      </c>
      <c r="F373" s="107">
        <v>172</v>
      </c>
      <c r="G373" s="556">
        <v>1976</v>
      </c>
      <c r="H373" s="41">
        <v>2245320.6800000002</v>
      </c>
      <c r="I373" s="556" t="s">
        <v>7900</v>
      </c>
      <c r="J373" s="556" t="s">
        <v>7900</v>
      </c>
    </row>
    <row r="374" spans="1:10" s="57" customFormat="1" ht="34.5" customHeight="1" x14ac:dyDescent="0.2">
      <c r="A374" s="556" t="s">
        <v>2726</v>
      </c>
      <c r="B374" s="556" t="s">
        <v>9510</v>
      </c>
      <c r="C374" s="96" t="s">
        <v>5484</v>
      </c>
      <c r="D374" s="96" t="s">
        <v>5321</v>
      </c>
      <c r="E374" s="553" t="s">
        <v>5259</v>
      </c>
      <c r="F374" s="107">
        <f>968.6</f>
        <v>968.6</v>
      </c>
      <c r="G374" s="556">
        <v>1980</v>
      </c>
      <c r="H374" s="41">
        <v>27000000</v>
      </c>
      <c r="I374" s="556" t="s">
        <v>7920</v>
      </c>
      <c r="J374" s="556" t="s">
        <v>7920</v>
      </c>
    </row>
    <row r="375" spans="1:10" s="57" customFormat="1" ht="34.5" customHeight="1" x14ac:dyDescent="0.2">
      <c r="A375" s="556" t="s">
        <v>2727</v>
      </c>
      <c r="B375" s="556" t="s">
        <v>467</v>
      </c>
      <c r="C375" s="556" t="s">
        <v>5683</v>
      </c>
      <c r="D375" s="556" t="s">
        <v>7741</v>
      </c>
      <c r="E375" s="553" t="s">
        <v>60</v>
      </c>
      <c r="F375" s="107">
        <v>183</v>
      </c>
      <c r="G375" s="556">
        <v>1980</v>
      </c>
      <c r="H375" s="41">
        <v>2388916.77</v>
      </c>
      <c r="I375" s="556" t="s">
        <v>7901</v>
      </c>
      <c r="J375" s="556" t="s">
        <v>7901</v>
      </c>
    </row>
    <row r="376" spans="1:10" s="57" customFormat="1" ht="36.75" customHeight="1" x14ac:dyDescent="0.2">
      <c r="A376" s="556" t="s">
        <v>2728</v>
      </c>
      <c r="B376" s="556" t="s">
        <v>9524</v>
      </c>
      <c r="C376" s="96" t="s">
        <v>7737</v>
      </c>
      <c r="D376" s="94" t="s">
        <v>5322</v>
      </c>
      <c r="E376" s="553" t="s">
        <v>5260</v>
      </c>
      <c r="F376" s="107">
        <f>3361</f>
        <v>3361</v>
      </c>
      <c r="G376" s="556" t="s">
        <v>2657</v>
      </c>
      <c r="H376" s="41">
        <v>89000000</v>
      </c>
      <c r="I376" s="556" t="s">
        <v>7926</v>
      </c>
      <c r="J376" s="556" t="s">
        <v>7926</v>
      </c>
    </row>
    <row r="377" spans="1:10" s="57" customFormat="1" ht="36.75" customHeight="1" x14ac:dyDescent="0.2">
      <c r="A377" s="556" t="s">
        <v>3515</v>
      </c>
      <c r="B377" s="556" t="s">
        <v>2268</v>
      </c>
      <c r="C377" s="556" t="s">
        <v>7737</v>
      </c>
      <c r="D377" s="136"/>
      <c r="E377" s="553" t="s">
        <v>2269</v>
      </c>
      <c r="F377" s="107"/>
      <c r="G377" s="556">
        <v>2007</v>
      </c>
      <c r="H377" s="41"/>
      <c r="I377" s="556" t="s">
        <v>7926</v>
      </c>
      <c r="J377" s="556" t="s">
        <v>7926</v>
      </c>
    </row>
    <row r="378" spans="1:10" s="5" customFormat="1" ht="38.25" customHeight="1" x14ac:dyDescent="0.2">
      <c r="A378" s="556" t="s">
        <v>2729</v>
      </c>
      <c r="B378" s="556" t="s">
        <v>3444</v>
      </c>
      <c r="C378" s="556" t="s">
        <v>10724</v>
      </c>
      <c r="D378" s="553" t="s">
        <v>6046</v>
      </c>
      <c r="E378" s="553" t="s">
        <v>2266</v>
      </c>
      <c r="F378" s="107">
        <f>376.5-44.8</f>
        <v>331.7</v>
      </c>
      <c r="G378" s="556" t="s">
        <v>2657</v>
      </c>
      <c r="H378" s="41">
        <v>3389441.25</v>
      </c>
      <c r="I378" s="556" t="s">
        <v>3564</v>
      </c>
      <c r="J378" s="556" t="s">
        <v>3564</v>
      </c>
    </row>
    <row r="379" spans="1:10" s="5" customFormat="1" ht="49.5" customHeight="1" x14ac:dyDescent="0.2">
      <c r="A379" s="556" t="s">
        <v>6029</v>
      </c>
      <c r="B379" s="556" t="s">
        <v>5931</v>
      </c>
      <c r="C379" s="556" t="s">
        <v>5722</v>
      </c>
      <c r="D379" s="553"/>
      <c r="E379" s="553" t="s">
        <v>2266</v>
      </c>
      <c r="F379" s="107">
        <f>29.5+15.3</f>
        <v>44.8</v>
      </c>
      <c r="G379" s="556" t="s">
        <v>2657</v>
      </c>
      <c r="H379" s="41"/>
      <c r="I379" s="32" t="s">
        <v>8263</v>
      </c>
      <c r="J379" s="32" t="s">
        <v>8263</v>
      </c>
    </row>
    <row r="380" spans="1:10" ht="35.25" customHeight="1" x14ac:dyDescent="0.2">
      <c r="A380" s="556" t="s">
        <v>2730</v>
      </c>
      <c r="B380" s="556" t="s">
        <v>3444</v>
      </c>
      <c r="C380" s="556" t="s">
        <v>8010</v>
      </c>
      <c r="D380" s="553" t="s">
        <v>6153</v>
      </c>
      <c r="E380" s="553" t="s">
        <v>2266</v>
      </c>
      <c r="F380" s="107">
        <v>128.9</v>
      </c>
      <c r="G380" s="556">
        <v>1999</v>
      </c>
      <c r="H380" s="41">
        <v>2041980.95</v>
      </c>
      <c r="I380" s="556" t="s">
        <v>3564</v>
      </c>
      <c r="J380" s="556" t="s">
        <v>3564</v>
      </c>
    </row>
    <row r="381" spans="1:10" ht="57.75" customHeight="1" x14ac:dyDescent="0.2">
      <c r="A381" s="556" t="s">
        <v>7895</v>
      </c>
      <c r="B381" s="556" t="s">
        <v>7896</v>
      </c>
      <c r="C381" s="556" t="s">
        <v>10753</v>
      </c>
      <c r="D381" s="553" t="s">
        <v>10754</v>
      </c>
      <c r="E381" s="553"/>
      <c r="F381" s="107">
        <v>72</v>
      </c>
      <c r="G381" s="556">
        <v>1997</v>
      </c>
      <c r="H381" s="41">
        <v>793899.36</v>
      </c>
      <c r="I381" s="32" t="s">
        <v>7897</v>
      </c>
      <c r="J381" s="32" t="s">
        <v>7897</v>
      </c>
    </row>
    <row r="382" spans="1:10" ht="43.5" customHeight="1" x14ac:dyDescent="0.2">
      <c r="A382" s="556" t="s">
        <v>2876</v>
      </c>
      <c r="B382" s="556" t="s">
        <v>9</v>
      </c>
      <c r="C382" s="556" t="s">
        <v>6470</v>
      </c>
      <c r="D382" s="553"/>
      <c r="E382" s="553"/>
      <c r="F382" s="107">
        <v>80</v>
      </c>
      <c r="G382" s="556">
        <v>1986</v>
      </c>
      <c r="H382" s="41"/>
      <c r="I382" s="556" t="s">
        <v>8</v>
      </c>
      <c r="J382" s="556" t="s">
        <v>8</v>
      </c>
    </row>
    <row r="383" spans="1:10" ht="56.25" customHeight="1" x14ac:dyDescent="0.2">
      <c r="A383" s="556" t="s">
        <v>2731</v>
      </c>
      <c r="B383" s="556" t="s">
        <v>5</v>
      </c>
      <c r="C383" s="556" t="s">
        <v>10779</v>
      </c>
      <c r="D383" s="553" t="s">
        <v>7695</v>
      </c>
      <c r="E383" s="553" t="s">
        <v>2266</v>
      </c>
      <c r="F383" s="107">
        <v>1000</v>
      </c>
      <c r="G383" s="556">
        <v>1987</v>
      </c>
      <c r="H383" s="41">
        <v>19398890</v>
      </c>
      <c r="I383" s="556" t="s">
        <v>7</v>
      </c>
      <c r="J383" s="556" t="s">
        <v>7</v>
      </c>
    </row>
    <row r="384" spans="1:10" ht="45.75" customHeight="1" x14ac:dyDescent="0.2">
      <c r="A384" s="556" t="s">
        <v>2732</v>
      </c>
      <c r="B384" s="556" t="s">
        <v>6</v>
      </c>
      <c r="C384" s="556" t="s">
        <v>10780</v>
      </c>
      <c r="D384" s="553" t="s">
        <v>7696</v>
      </c>
      <c r="E384" s="553" t="s">
        <v>7659</v>
      </c>
      <c r="F384" s="107">
        <v>40</v>
      </c>
      <c r="G384" s="556">
        <v>1987</v>
      </c>
      <c r="H384" s="41">
        <v>223124</v>
      </c>
      <c r="I384" s="556" t="s">
        <v>7</v>
      </c>
      <c r="J384" s="556" t="s">
        <v>7</v>
      </c>
    </row>
    <row r="385" spans="1:10" s="57" customFormat="1" ht="34.5" customHeight="1" x14ac:dyDescent="0.2">
      <c r="A385" s="251" t="s">
        <v>2733</v>
      </c>
      <c r="B385" s="251" t="s">
        <v>140</v>
      </c>
      <c r="C385" s="251" t="s">
        <v>6509</v>
      </c>
      <c r="D385" s="76"/>
      <c r="E385" s="251"/>
      <c r="F385" s="107"/>
      <c r="G385" s="553" t="s">
        <v>159</v>
      </c>
      <c r="H385" s="41"/>
      <c r="I385" s="251" t="s">
        <v>8074</v>
      </c>
      <c r="J385" s="251" t="s">
        <v>8074</v>
      </c>
    </row>
    <row r="386" spans="1:10" s="5" customFormat="1" ht="27" customHeight="1" x14ac:dyDescent="0.2">
      <c r="A386" s="556" t="s">
        <v>2734</v>
      </c>
      <c r="B386" s="556" t="s">
        <v>2291</v>
      </c>
      <c r="C386" s="556" t="s">
        <v>5720</v>
      </c>
      <c r="D386" s="553"/>
      <c r="E386" s="553" t="s">
        <v>177</v>
      </c>
      <c r="F386" s="107">
        <v>29</v>
      </c>
      <c r="G386" s="556">
        <v>1978</v>
      </c>
      <c r="H386" s="41"/>
      <c r="I386" s="556"/>
      <c r="J386" s="556"/>
    </row>
    <row r="387" spans="1:10" s="5" customFormat="1" ht="33.75" customHeight="1" x14ac:dyDescent="0.2">
      <c r="A387" s="556" t="s">
        <v>2735</v>
      </c>
      <c r="B387" s="556" t="s">
        <v>2005</v>
      </c>
      <c r="C387" s="556" t="s">
        <v>5684</v>
      </c>
      <c r="D387" s="553"/>
      <c r="E387" s="553"/>
      <c r="F387" s="107">
        <v>50</v>
      </c>
      <c r="G387" s="556">
        <v>1980</v>
      </c>
      <c r="H387" s="41"/>
      <c r="I387" s="556" t="s">
        <v>391</v>
      </c>
      <c r="J387" s="556" t="s">
        <v>391</v>
      </c>
    </row>
    <row r="388" spans="1:10" s="5" customFormat="1" ht="33" customHeight="1" x14ac:dyDescent="0.2">
      <c r="A388" s="556" t="s">
        <v>2877</v>
      </c>
      <c r="B388" s="556" t="s">
        <v>319</v>
      </c>
      <c r="C388" s="556" t="s">
        <v>7634</v>
      </c>
      <c r="D388" s="553" t="s">
        <v>5323</v>
      </c>
      <c r="E388" s="553"/>
      <c r="F388" s="107">
        <v>26.4</v>
      </c>
      <c r="G388" s="556">
        <v>1997</v>
      </c>
      <c r="H388" s="41">
        <v>70952.22</v>
      </c>
      <c r="I388" s="556"/>
      <c r="J388" s="556"/>
    </row>
    <row r="389" spans="1:10" s="5" customFormat="1" ht="24.75" customHeight="1" x14ac:dyDescent="0.2">
      <c r="A389" s="556" t="s">
        <v>2736</v>
      </c>
      <c r="B389" s="556" t="s">
        <v>2006</v>
      </c>
      <c r="C389" s="556" t="s">
        <v>5719</v>
      </c>
      <c r="D389" s="553"/>
      <c r="E389" s="553"/>
      <c r="F389" s="107" t="s">
        <v>361</v>
      </c>
      <c r="G389" s="556">
        <v>1967</v>
      </c>
      <c r="H389" s="41"/>
      <c r="I389" s="556"/>
      <c r="J389" s="556"/>
    </row>
    <row r="390" spans="1:10" s="5" customFormat="1" ht="23.25" customHeight="1" x14ac:dyDescent="0.2">
      <c r="A390" s="556" t="s">
        <v>2737</v>
      </c>
      <c r="B390" s="556" t="s">
        <v>2006</v>
      </c>
      <c r="C390" s="556" t="s">
        <v>5719</v>
      </c>
      <c r="D390" s="553"/>
      <c r="E390" s="553"/>
      <c r="F390" s="107" t="s">
        <v>361</v>
      </c>
      <c r="G390" s="556">
        <v>1964</v>
      </c>
      <c r="H390" s="41"/>
      <c r="I390" s="556"/>
      <c r="J390" s="556"/>
    </row>
    <row r="391" spans="1:10" s="5" customFormat="1" ht="25.5" customHeight="1" x14ac:dyDescent="0.2">
      <c r="A391" s="556" t="s">
        <v>2738</v>
      </c>
      <c r="B391" s="556" t="s">
        <v>1997</v>
      </c>
      <c r="C391" s="556" t="s">
        <v>5719</v>
      </c>
      <c r="D391" s="553"/>
      <c r="E391" s="553"/>
      <c r="F391" s="107" t="s">
        <v>361</v>
      </c>
      <c r="G391" s="556">
        <v>1967</v>
      </c>
      <c r="H391" s="41"/>
      <c r="I391" s="556" t="s">
        <v>497</v>
      </c>
      <c r="J391" s="556" t="s">
        <v>497</v>
      </c>
    </row>
    <row r="392" spans="1:10" s="5" customFormat="1" ht="39" customHeight="1" x14ac:dyDescent="0.2">
      <c r="A392" s="556" t="s">
        <v>2739</v>
      </c>
      <c r="B392" s="556" t="s">
        <v>9329</v>
      </c>
      <c r="C392" s="556" t="s">
        <v>5719</v>
      </c>
      <c r="D392" s="12" t="s">
        <v>5324</v>
      </c>
      <c r="E392" s="553" t="s">
        <v>2256</v>
      </c>
      <c r="F392" s="107">
        <v>27.2</v>
      </c>
      <c r="G392" s="556" t="s">
        <v>36</v>
      </c>
      <c r="H392" s="41">
        <v>62059.519999999997</v>
      </c>
      <c r="I392" s="8" t="s">
        <v>13815</v>
      </c>
      <c r="J392" s="8" t="s">
        <v>13815</v>
      </c>
    </row>
    <row r="393" spans="1:10" s="5" customFormat="1" ht="39" customHeight="1" x14ac:dyDescent="0.2">
      <c r="A393" s="556" t="s">
        <v>10711</v>
      </c>
      <c r="B393" s="556" t="s">
        <v>10710</v>
      </c>
      <c r="C393" s="557" t="s">
        <v>5719</v>
      </c>
      <c r="D393" s="553" t="s">
        <v>10712</v>
      </c>
      <c r="E393" s="553" t="s">
        <v>2256</v>
      </c>
      <c r="F393" s="107">
        <v>133.1</v>
      </c>
      <c r="G393" s="556" t="s">
        <v>36</v>
      </c>
      <c r="H393" s="41">
        <v>383540.96</v>
      </c>
      <c r="I393" s="550" t="s">
        <v>3730</v>
      </c>
      <c r="J393" s="550" t="s">
        <v>3730</v>
      </c>
    </row>
    <row r="394" spans="1:10" ht="36.75" customHeight="1" x14ac:dyDescent="0.2">
      <c r="A394" s="556" t="s">
        <v>3516</v>
      </c>
      <c r="B394" s="557" t="s">
        <v>6512</v>
      </c>
      <c r="C394" s="557" t="s">
        <v>5719</v>
      </c>
      <c r="D394" s="553" t="s">
        <v>5325</v>
      </c>
      <c r="E394" s="345" t="s">
        <v>2293</v>
      </c>
      <c r="F394" s="56">
        <v>12.8</v>
      </c>
      <c r="G394" s="557" t="s">
        <v>4096</v>
      </c>
      <c r="H394" s="21">
        <v>36884.480000000003</v>
      </c>
      <c r="I394" s="550" t="s">
        <v>3730</v>
      </c>
      <c r="J394" s="550" t="s">
        <v>3730</v>
      </c>
    </row>
    <row r="395" spans="1:10" ht="47.25" customHeight="1" x14ac:dyDescent="0.2">
      <c r="A395" s="556" t="s">
        <v>2740</v>
      </c>
      <c r="B395" s="556" t="s">
        <v>7832</v>
      </c>
      <c r="C395" s="556" t="s">
        <v>5718</v>
      </c>
      <c r="D395" s="553" t="s">
        <v>10725</v>
      </c>
      <c r="E395" s="553" t="s">
        <v>7833</v>
      </c>
      <c r="F395" s="107">
        <v>233.6</v>
      </c>
      <c r="G395" s="556" t="s">
        <v>473</v>
      </c>
      <c r="H395" s="41">
        <v>1744779.42</v>
      </c>
      <c r="I395" s="556" t="s">
        <v>3693</v>
      </c>
      <c r="J395" s="556" t="s">
        <v>3693</v>
      </c>
    </row>
    <row r="396" spans="1:10" ht="48.75" customHeight="1" x14ac:dyDescent="0.2">
      <c r="A396" s="556" t="s">
        <v>2741</v>
      </c>
      <c r="B396" s="556" t="s">
        <v>5716</v>
      </c>
      <c r="C396" s="556" t="s">
        <v>5717</v>
      </c>
      <c r="D396" s="553" t="s">
        <v>5843</v>
      </c>
      <c r="E396" s="553" t="s">
        <v>164</v>
      </c>
      <c r="F396" s="107">
        <v>1293.5</v>
      </c>
      <c r="G396" s="556">
        <v>1993</v>
      </c>
      <c r="H396" s="41">
        <v>7113021.1799999997</v>
      </c>
      <c r="I396" s="556" t="s">
        <v>3693</v>
      </c>
      <c r="J396" s="556" t="s">
        <v>3693</v>
      </c>
    </row>
    <row r="397" spans="1:10" s="5" customFormat="1" ht="22.5" customHeight="1" x14ac:dyDescent="0.2">
      <c r="A397" s="556" t="s">
        <v>2742</v>
      </c>
      <c r="B397" s="556" t="s">
        <v>2294</v>
      </c>
      <c r="C397" s="556" t="s">
        <v>5685</v>
      </c>
      <c r="D397" s="553"/>
      <c r="E397" s="553" t="s">
        <v>2262</v>
      </c>
      <c r="F397" s="107">
        <v>60</v>
      </c>
      <c r="G397" s="556">
        <v>2000</v>
      </c>
      <c r="H397" s="41"/>
      <c r="I397" s="556" t="s">
        <v>391</v>
      </c>
      <c r="J397" s="556" t="s">
        <v>391</v>
      </c>
    </row>
    <row r="398" spans="1:10" s="5" customFormat="1" ht="22.5" customHeight="1" x14ac:dyDescent="0.2">
      <c r="A398" s="556" t="s">
        <v>2743</v>
      </c>
      <c r="B398" s="556" t="s">
        <v>2294</v>
      </c>
      <c r="C398" s="556" t="s">
        <v>5685</v>
      </c>
      <c r="D398" s="553"/>
      <c r="E398" s="553" t="s">
        <v>2262</v>
      </c>
      <c r="F398" s="107">
        <v>130</v>
      </c>
      <c r="G398" s="556">
        <v>2001</v>
      </c>
      <c r="H398" s="41"/>
      <c r="I398" s="556" t="s">
        <v>391</v>
      </c>
      <c r="J398" s="556" t="s">
        <v>391</v>
      </c>
    </row>
    <row r="399" spans="1:10" s="57" customFormat="1" ht="44.25" customHeight="1" x14ac:dyDescent="0.2">
      <c r="A399" s="556" t="s">
        <v>7802</v>
      </c>
      <c r="B399" s="556" t="s">
        <v>445</v>
      </c>
      <c r="C399" s="556" t="s">
        <v>7803</v>
      </c>
      <c r="D399" s="553" t="s">
        <v>8058</v>
      </c>
      <c r="E399" s="553" t="s">
        <v>2287</v>
      </c>
      <c r="F399" s="107">
        <v>29.2</v>
      </c>
      <c r="G399" s="556">
        <v>2001</v>
      </c>
      <c r="H399" s="41">
        <v>404244.22</v>
      </c>
      <c r="I399" s="556" t="s">
        <v>7899</v>
      </c>
      <c r="J399" s="556" t="s">
        <v>7899</v>
      </c>
    </row>
    <row r="400" spans="1:10" s="5" customFormat="1" ht="24.75" customHeight="1" x14ac:dyDescent="0.2">
      <c r="A400" s="556" t="s">
        <v>2744</v>
      </c>
      <c r="B400" s="556" t="s">
        <v>2294</v>
      </c>
      <c r="C400" s="556" t="s">
        <v>5218</v>
      </c>
      <c r="D400" s="553"/>
      <c r="E400" s="553" t="s">
        <v>2262</v>
      </c>
      <c r="F400" s="107"/>
      <c r="G400" s="556">
        <v>2000</v>
      </c>
      <c r="H400" s="41"/>
      <c r="I400" s="556"/>
      <c r="J400" s="556"/>
    </row>
    <row r="401" spans="1:17" s="57" customFormat="1" ht="33.75" customHeight="1" x14ac:dyDescent="0.2">
      <c r="A401" s="556" t="s">
        <v>2745</v>
      </c>
      <c r="B401" s="556" t="s">
        <v>15</v>
      </c>
      <c r="C401" s="556" t="s">
        <v>5656</v>
      </c>
      <c r="D401" s="553"/>
      <c r="E401" s="553" t="s">
        <v>2306</v>
      </c>
      <c r="F401" s="107">
        <v>119.7</v>
      </c>
      <c r="G401" s="556">
        <v>1988</v>
      </c>
      <c r="H401" s="41"/>
      <c r="I401" s="143" t="s">
        <v>5268</v>
      </c>
      <c r="J401" s="143" t="s">
        <v>5268</v>
      </c>
    </row>
    <row r="402" spans="1:17" s="5" customFormat="1" ht="22.5" customHeight="1" x14ac:dyDescent="0.2">
      <c r="A402" s="1293" t="s">
        <v>2746</v>
      </c>
      <c r="B402" s="1293" t="s">
        <v>3609</v>
      </c>
      <c r="C402" s="1293" t="s">
        <v>5668</v>
      </c>
      <c r="D402" s="553"/>
      <c r="E402" s="345" t="s">
        <v>177</v>
      </c>
      <c r="F402" s="107"/>
      <c r="G402" s="556">
        <v>1981</v>
      </c>
      <c r="H402" s="1306"/>
      <c r="I402" s="1332" t="s">
        <v>9605</v>
      </c>
      <c r="J402" s="1293" t="s">
        <v>12012</v>
      </c>
    </row>
    <row r="403" spans="1:17" ht="20.25" customHeight="1" x14ac:dyDescent="0.2">
      <c r="A403" s="1295"/>
      <c r="B403" s="1295"/>
      <c r="C403" s="1295"/>
      <c r="D403" s="255"/>
      <c r="E403" s="227" t="s">
        <v>3122</v>
      </c>
      <c r="F403" s="230"/>
      <c r="G403" s="557" t="s">
        <v>483</v>
      </c>
      <c r="H403" s="1308"/>
      <c r="I403" s="1295"/>
      <c r="J403" s="1295"/>
    </row>
    <row r="404" spans="1:17" s="5" customFormat="1" ht="29.25" customHeight="1" x14ac:dyDescent="0.2">
      <c r="A404" s="556" t="s">
        <v>2747</v>
      </c>
      <c r="B404" s="556" t="s">
        <v>3455</v>
      </c>
      <c r="C404" s="556" t="s">
        <v>5741</v>
      </c>
      <c r="D404" s="553" t="s">
        <v>5326</v>
      </c>
      <c r="E404" s="553" t="s">
        <v>2307</v>
      </c>
      <c r="F404" s="107">
        <v>157.69999999999999</v>
      </c>
      <c r="G404" s="556" t="s">
        <v>66</v>
      </c>
      <c r="H404" s="41">
        <v>912363.89</v>
      </c>
      <c r="I404" s="251" t="s">
        <v>8074</v>
      </c>
      <c r="J404" s="251" t="s">
        <v>8074</v>
      </c>
    </row>
    <row r="405" spans="1:17" ht="28.5" customHeight="1" x14ac:dyDescent="0.2">
      <c r="A405" s="556" t="s">
        <v>2748</v>
      </c>
      <c r="B405" s="557" t="s">
        <v>3456</v>
      </c>
      <c r="C405" s="557" t="s">
        <v>5686</v>
      </c>
      <c r="D405" s="553" t="s">
        <v>5327</v>
      </c>
      <c r="E405" s="345" t="s">
        <v>177</v>
      </c>
      <c r="F405" s="56">
        <v>23.7</v>
      </c>
      <c r="G405" s="557" t="s">
        <v>3104</v>
      </c>
      <c r="H405" s="21">
        <v>92730.04</v>
      </c>
      <c r="I405" s="251" t="s">
        <v>8074</v>
      </c>
      <c r="J405" s="251" t="s">
        <v>8074</v>
      </c>
    </row>
    <row r="406" spans="1:17" ht="27" customHeight="1" x14ac:dyDescent="0.2">
      <c r="A406" s="556" t="s">
        <v>2749</v>
      </c>
      <c r="B406" s="557" t="s">
        <v>3457</v>
      </c>
      <c r="C406" s="557" t="s">
        <v>8153</v>
      </c>
      <c r="D406" s="553" t="s">
        <v>5328</v>
      </c>
      <c r="E406" s="345" t="s">
        <v>2306</v>
      </c>
      <c r="F406" s="56">
        <v>8.1</v>
      </c>
      <c r="G406" s="557" t="s">
        <v>64</v>
      </c>
      <c r="H406" s="21">
        <v>35360.47</v>
      </c>
      <c r="I406" s="251" t="s">
        <v>8074</v>
      </c>
      <c r="J406" s="251" t="s">
        <v>8074</v>
      </c>
    </row>
    <row r="407" spans="1:17" s="5" customFormat="1" ht="24.75" customHeight="1" x14ac:dyDescent="0.2">
      <c r="A407" s="556" t="s">
        <v>2750</v>
      </c>
      <c r="B407" s="556" t="s">
        <v>2308</v>
      </c>
      <c r="C407" s="556" t="s">
        <v>5742</v>
      </c>
      <c r="D407" s="553"/>
      <c r="E407" s="553"/>
      <c r="F407" s="107"/>
      <c r="G407" s="556">
        <v>1991</v>
      </c>
      <c r="H407" s="41"/>
      <c r="I407" s="556" t="s">
        <v>4405</v>
      </c>
      <c r="J407" s="556" t="s">
        <v>4405</v>
      </c>
    </row>
    <row r="408" spans="1:17" s="5" customFormat="1" ht="45.75" customHeight="1" x14ac:dyDescent="0.2">
      <c r="A408" s="556" t="s">
        <v>2751</v>
      </c>
      <c r="B408" s="556" t="s">
        <v>2867</v>
      </c>
      <c r="C408" s="556" t="s">
        <v>5557</v>
      </c>
      <c r="D408" s="553"/>
      <c r="E408" s="553"/>
      <c r="F408" s="107">
        <v>24</v>
      </c>
      <c r="G408" s="556">
        <v>1997</v>
      </c>
      <c r="H408" s="41"/>
      <c r="I408" s="556" t="s">
        <v>6384</v>
      </c>
      <c r="J408" s="556" t="s">
        <v>6384</v>
      </c>
    </row>
    <row r="409" spans="1:17" ht="22.5" customHeight="1" x14ac:dyDescent="0.2">
      <c r="A409" s="556" t="s">
        <v>2752</v>
      </c>
      <c r="B409" s="556" t="s">
        <v>2292</v>
      </c>
      <c r="C409" s="556" t="s">
        <v>5435</v>
      </c>
      <c r="D409" s="553"/>
      <c r="E409" s="553" t="s">
        <v>2309</v>
      </c>
      <c r="F409" s="107">
        <v>69.3</v>
      </c>
      <c r="G409" s="556" t="s">
        <v>70</v>
      </c>
      <c r="H409" s="41"/>
      <c r="I409" s="1303" t="s">
        <v>3693</v>
      </c>
      <c r="J409" s="1303" t="s">
        <v>3693</v>
      </c>
    </row>
    <row r="410" spans="1:17" s="6" customFormat="1" ht="27.75" customHeight="1" x14ac:dyDescent="0.2">
      <c r="A410" s="556" t="s">
        <v>3517</v>
      </c>
      <c r="B410" s="556" t="s">
        <v>6513</v>
      </c>
      <c r="C410" s="556" t="s">
        <v>5435</v>
      </c>
      <c r="D410" s="553"/>
      <c r="E410" s="553" t="s">
        <v>3600</v>
      </c>
      <c r="F410" s="107">
        <v>1830</v>
      </c>
      <c r="G410" s="556" t="s">
        <v>70</v>
      </c>
      <c r="H410" s="41"/>
      <c r="I410" s="1305"/>
      <c r="J410" s="1305"/>
    </row>
    <row r="411" spans="1:17" s="57" customFormat="1" ht="48.75" customHeight="1" x14ac:dyDescent="0.2">
      <c r="A411" s="556" t="s">
        <v>2753</v>
      </c>
      <c r="B411" s="556" t="s">
        <v>99</v>
      </c>
      <c r="C411" s="556" t="s">
        <v>5706</v>
      </c>
      <c r="D411" s="553"/>
      <c r="E411" s="553"/>
      <c r="F411" s="107">
        <v>24</v>
      </c>
      <c r="G411" s="556">
        <v>1989</v>
      </c>
      <c r="H411" s="41"/>
      <c r="I411" s="556" t="s">
        <v>97</v>
      </c>
      <c r="J411" s="556" t="s">
        <v>97</v>
      </c>
    </row>
    <row r="412" spans="1:17" ht="33.75" customHeight="1" x14ac:dyDescent="0.2">
      <c r="A412" s="556" t="s">
        <v>2754</v>
      </c>
      <c r="B412" s="556" t="s">
        <v>2310</v>
      </c>
      <c r="C412" s="556" t="s">
        <v>5629</v>
      </c>
      <c r="D412" s="553"/>
      <c r="E412" s="553"/>
      <c r="F412" s="107">
        <f>60-1-19.5</f>
        <v>39.5</v>
      </c>
      <c r="G412" s="556">
        <v>1972</v>
      </c>
      <c r="H412" s="41"/>
      <c r="I412" s="10" t="s">
        <v>304</v>
      </c>
      <c r="J412" s="556" t="s">
        <v>375</v>
      </c>
    </row>
    <row r="413" spans="1:17" ht="42.75" customHeight="1" x14ac:dyDescent="0.2">
      <c r="A413" s="556" t="s">
        <v>10781</v>
      </c>
      <c r="B413" s="63" t="s">
        <v>281</v>
      </c>
      <c r="C413" s="556" t="s">
        <v>5629</v>
      </c>
      <c r="D413" s="553"/>
      <c r="E413" s="553"/>
      <c r="F413" s="107">
        <v>1</v>
      </c>
      <c r="G413" s="556">
        <v>1972</v>
      </c>
      <c r="H413" s="8"/>
      <c r="I413" s="544" t="s">
        <v>6446</v>
      </c>
      <c r="J413" s="544" t="s">
        <v>6446</v>
      </c>
      <c r="K413" s="57"/>
      <c r="L413" s="57"/>
      <c r="M413" s="57"/>
      <c r="N413" s="57"/>
      <c r="O413" s="57"/>
      <c r="P413" s="57"/>
      <c r="Q413" s="57"/>
    </row>
    <row r="414" spans="1:17" ht="24.75" customHeight="1" x14ac:dyDescent="0.2">
      <c r="A414" s="556" t="s">
        <v>10782</v>
      </c>
      <c r="B414" s="63" t="s">
        <v>281</v>
      </c>
      <c r="C414" s="556" t="s">
        <v>5629</v>
      </c>
      <c r="D414" s="553"/>
      <c r="E414" s="553"/>
      <c r="F414" s="107">
        <v>19.5</v>
      </c>
      <c r="G414" s="556" t="s">
        <v>76</v>
      </c>
      <c r="H414" s="8"/>
      <c r="I414" s="544"/>
      <c r="J414" s="174"/>
      <c r="K414" s="57"/>
      <c r="L414" s="57"/>
      <c r="M414" s="57"/>
      <c r="N414" s="57"/>
      <c r="O414" s="57"/>
      <c r="P414" s="57"/>
      <c r="Q414" s="57"/>
    </row>
    <row r="415" spans="1:17" ht="36.75" customHeight="1" x14ac:dyDescent="0.2">
      <c r="A415" s="544" t="s">
        <v>2755</v>
      </c>
      <c r="B415" s="547" t="s">
        <v>6541</v>
      </c>
      <c r="C415" s="557" t="s">
        <v>6107</v>
      </c>
      <c r="D415" s="553" t="s">
        <v>5329</v>
      </c>
      <c r="E415" s="345" t="s">
        <v>2311</v>
      </c>
      <c r="F415" s="56">
        <v>7070.7</v>
      </c>
      <c r="G415" s="557">
        <v>1974</v>
      </c>
      <c r="H415" s="21">
        <v>64031410.719999999</v>
      </c>
      <c r="I415" s="150" t="s">
        <v>8074</v>
      </c>
      <c r="J415" s="150" t="s">
        <v>8074</v>
      </c>
    </row>
    <row r="416" spans="1:17" ht="36.75" customHeight="1" x14ac:dyDescent="0.2">
      <c r="A416" s="17" t="s">
        <v>3518</v>
      </c>
      <c r="B416" s="11" t="s">
        <v>3126</v>
      </c>
      <c r="C416" s="557" t="s">
        <v>6107</v>
      </c>
      <c r="D416" s="553" t="s">
        <v>5330</v>
      </c>
      <c r="E416" s="8" t="s">
        <v>5593</v>
      </c>
      <c r="F416" s="195"/>
      <c r="G416" s="11">
        <v>1974</v>
      </c>
      <c r="H416" s="77"/>
      <c r="I416" s="251" t="s">
        <v>8074</v>
      </c>
      <c r="J416" s="251" t="s">
        <v>8074</v>
      </c>
    </row>
    <row r="417" spans="1:10" ht="34.5" customHeight="1" x14ac:dyDescent="0.2">
      <c r="A417" s="17" t="s">
        <v>3519</v>
      </c>
      <c r="B417" s="557" t="s">
        <v>4284</v>
      </c>
      <c r="C417" s="557" t="s">
        <v>6107</v>
      </c>
      <c r="D417" s="553" t="s">
        <v>5331</v>
      </c>
      <c r="E417" s="345" t="s">
        <v>2712</v>
      </c>
      <c r="F417" s="56">
        <v>92.1</v>
      </c>
      <c r="G417" s="557">
        <v>1974</v>
      </c>
      <c r="H417" s="21">
        <v>834046.55</v>
      </c>
      <c r="I417" s="251" t="s">
        <v>8074</v>
      </c>
      <c r="J417" s="251" t="s">
        <v>8074</v>
      </c>
    </row>
    <row r="418" spans="1:10" ht="25.5" customHeight="1" x14ac:dyDescent="0.2">
      <c r="A418" s="17" t="s">
        <v>3520</v>
      </c>
      <c r="B418" s="557" t="s">
        <v>4285</v>
      </c>
      <c r="C418" s="557" t="s">
        <v>6107</v>
      </c>
      <c r="D418" s="553" t="s">
        <v>5332</v>
      </c>
      <c r="E418" s="345" t="s">
        <v>2713</v>
      </c>
      <c r="F418" s="56">
        <v>375.3</v>
      </c>
      <c r="G418" s="557">
        <v>1974</v>
      </c>
      <c r="H418" s="21">
        <v>3398671.76</v>
      </c>
      <c r="I418" s="251" t="s">
        <v>8074</v>
      </c>
      <c r="J418" s="251" t="s">
        <v>8074</v>
      </c>
    </row>
    <row r="419" spans="1:10" ht="25.5" customHeight="1" x14ac:dyDescent="0.2">
      <c r="A419" s="17" t="s">
        <v>3521</v>
      </c>
      <c r="B419" s="557" t="s">
        <v>4218</v>
      </c>
      <c r="C419" s="557" t="s">
        <v>6107</v>
      </c>
      <c r="D419" s="553" t="s">
        <v>5333</v>
      </c>
      <c r="E419" s="345" t="s">
        <v>2312</v>
      </c>
      <c r="F419" s="56">
        <v>164.6</v>
      </c>
      <c r="G419" s="557">
        <v>1974</v>
      </c>
      <c r="H419" s="21">
        <v>33836.82</v>
      </c>
      <c r="I419" s="251" t="s">
        <v>8074</v>
      </c>
      <c r="J419" s="251" t="s">
        <v>8074</v>
      </c>
    </row>
    <row r="420" spans="1:10" ht="25.5" customHeight="1" x14ac:dyDescent="0.2">
      <c r="A420" s="17" t="s">
        <v>3522</v>
      </c>
      <c r="B420" s="557" t="s">
        <v>4164</v>
      </c>
      <c r="C420" s="557" t="s">
        <v>6107</v>
      </c>
      <c r="D420" s="553" t="s">
        <v>5334</v>
      </c>
      <c r="E420" s="345" t="s">
        <v>2313</v>
      </c>
      <c r="F420" s="56">
        <v>4379.3</v>
      </c>
      <c r="G420" s="557">
        <v>1974</v>
      </c>
      <c r="H420" s="21">
        <v>39658415.280000001</v>
      </c>
      <c r="I420" s="251" t="s">
        <v>8074</v>
      </c>
      <c r="J420" s="251" t="s">
        <v>8074</v>
      </c>
    </row>
    <row r="421" spans="1:10" ht="25.5" customHeight="1" x14ac:dyDescent="0.2">
      <c r="A421" s="17" t="s">
        <v>3523</v>
      </c>
      <c r="B421" s="557" t="s">
        <v>4158</v>
      </c>
      <c r="C421" s="557" t="s">
        <v>6107</v>
      </c>
      <c r="D421" s="553" t="s">
        <v>5335</v>
      </c>
      <c r="E421" s="345" t="s">
        <v>2314</v>
      </c>
      <c r="F421" s="56">
        <v>1927.9</v>
      </c>
      <c r="G421" s="557">
        <v>1974</v>
      </c>
      <c r="H421" s="21"/>
      <c r="I421" s="251" t="s">
        <v>8074</v>
      </c>
      <c r="J421" s="251" t="s">
        <v>8074</v>
      </c>
    </row>
    <row r="422" spans="1:10" ht="25.5" customHeight="1" x14ac:dyDescent="0.2">
      <c r="A422" s="17" t="s">
        <v>3524</v>
      </c>
      <c r="B422" s="557" t="s">
        <v>4157</v>
      </c>
      <c r="C422" s="557" t="s">
        <v>6107</v>
      </c>
      <c r="D422" s="553" t="s">
        <v>5336</v>
      </c>
      <c r="E422" s="345" t="s">
        <v>2315</v>
      </c>
      <c r="F422" s="56">
        <v>39.200000000000003</v>
      </c>
      <c r="G422" s="557">
        <v>1974</v>
      </c>
      <c r="H422" s="21">
        <v>354990.5</v>
      </c>
      <c r="I422" s="251" t="s">
        <v>8074</v>
      </c>
      <c r="J422" s="251" t="s">
        <v>8074</v>
      </c>
    </row>
    <row r="423" spans="1:10" ht="25.5" customHeight="1" x14ac:dyDescent="0.2">
      <c r="A423" s="17" t="s">
        <v>3525</v>
      </c>
      <c r="B423" s="557" t="s">
        <v>4283</v>
      </c>
      <c r="C423" s="557" t="s">
        <v>6107</v>
      </c>
      <c r="D423" s="553" t="s">
        <v>5337</v>
      </c>
      <c r="E423" s="345" t="s">
        <v>2315</v>
      </c>
      <c r="F423" s="56">
        <v>242.7</v>
      </c>
      <c r="G423" s="557">
        <v>1989</v>
      </c>
      <c r="H423" s="21">
        <v>2197862.08</v>
      </c>
      <c r="I423" s="251" t="s">
        <v>8074</v>
      </c>
      <c r="J423" s="251" t="s">
        <v>8074</v>
      </c>
    </row>
    <row r="424" spans="1:10" s="173" customFormat="1" ht="27.75" customHeight="1" x14ac:dyDescent="0.2">
      <c r="A424" s="17" t="s">
        <v>3526</v>
      </c>
      <c r="B424" s="557" t="s">
        <v>6506</v>
      </c>
      <c r="C424" s="557" t="s">
        <v>6107</v>
      </c>
      <c r="D424" s="553" t="s">
        <v>5338</v>
      </c>
      <c r="E424" s="345" t="s">
        <v>2315</v>
      </c>
      <c r="F424" s="56">
        <v>110.4</v>
      </c>
      <c r="G424" s="557">
        <v>1989</v>
      </c>
      <c r="H424" s="21">
        <v>999769.15</v>
      </c>
      <c r="I424" s="557"/>
      <c r="J424" s="557"/>
    </row>
    <row r="425" spans="1:10" ht="25.5" customHeight="1" x14ac:dyDescent="0.2">
      <c r="A425" s="17" t="s">
        <v>3527</v>
      </c>
      <c r="B425" s="557" t="s">
        <v>4038</v>
      </c>
      <c r="C425" s="557" t="s">
        <v>6107</v>
      </c>
      <c r="D425" s="553" t="s">
        <v>5339</v>
      </c>
      <c r="E425" s="345" t="s">
        <v>2316</v>
      </c>
      <c r="F425" s="56">
        <v>44.2</v>
      </c>
      <c r="G425" s="557">
        <v>1989</v>
      </c>
      <c r="H425" s="21">
        <v>400269.9</v>
      </c>
      <c r="I425" s="251" t="s">
        <v>8074</v>
      </c>
      <c r="J425" s="251" t="s">
        <v>8074</v>
      </c>
    </row>
    <row r="426" spans="1:10" ht="25.5" customHeight="1" x14ac:dyDescent="0.2">
      <c r="A426" s="17" t="s">
        <v>3528</v>
      </c>
      <c r="B426" s="557" t="s">
        <v>4039</v>
      </c>
      <c r="C426" s="557" t="s">
        <v>6107</v>
      </c>
      <c r="D426" s="553" t="s">
        <v>5340</v>
      </c>
      <c r="E426" s="345" t="s">
        <v>2315</v>
      </c>
      <c r="F426" s="56">
        <v>31.3</v>
      </c>
      <c r="G426" s="557">
        <v>1989</v>
      </c>
      <c r="H426" s="21">
        <v>283449.03999999998</v>
      </c>
      <c r="I426" s="251" t="s">
        <v>8074</v>
      </c>
      <c r="J426" s="251" t="s">
        <v>8074</v>
      </c>
    </row>
    <row r="427" spans="1:10" ht="25.5" customHeight="1" x14ac:dyDescent="0.2">
      <c r="A427" s="17" t="s">
        <v>3529</v>
      </c>
      <c r="B427" s="557" t="s">
        <v>4032</v>
      </c>
      <c r="C427" s="557" t="s">
        <v>6107</v>
      </c>
      <c r="D427" s="553" t="s">
        <v>5341</v>
      </c>
      <c r="E427" s="345" t="s">
        <v>2315</v>
      </c>
      <c r="F427" s="56">
        <v>22.8</v>
      </c>
      <c r="G427" s="557">
        <v>1989</v>
      </c>
      <c r="H427" s="21">
        <v>206474.06</v>
      </c>
      <c r="I427" s="251" t="s">
        <v>8074</v>
      </c>
      <c r="J427" s="251" t="s">
        <v>8074</v>
      </c>
    </row>
    <row r="428" spans="1:10" ht="25.5" customHeight="1" x14ac:dyDescent="0.2">
      <c r="A428" s="17" t="s">
        <v>3530</v>
      </c>
      <c r="B428" s="557" t="s">
        <v>4031</v>
      </c>
      <c r="C428" s="557" t="s">
        <v>6107</v>
      </c>
      <c r="D428" s="553" t="s">
        <v>5342</v>
      </c>
      <c r="E428" s="345" t="s">
        <v>2315</v>
      </c>
      <c r="F428" s="56">
        <v>22.1</v>
      </c>
      <c r="G428" s="557">
        <v>1989</v>
      </c>
      <c r="H428" s="21">
        <v>200134.95</v>
      </c>
      <c r="I428" s="251" t="s">
        <v>8074</v>
      </c>
      <c r="J428" s="251" t="s">
        <v>8074</v>
      </c>
    </row>
    <row r="429" spans="1:10" s="57" customFormat="1" ht="36" customHeight="1" x14ac:dyDescent="0.2">
      <c r="A429" s="1303" t="s">
        <v>2756</v>
      </c>
      <c r="B429" s="544" t="s">
        <v>9893</v>
      </c>
      <c r="C429" s="1303" t="s">
        <v>10783</v>
      </c>
      <c r="D429" s="94" t="s">
        <v>5343</v>
      </c>
      <c r="E429" s="553" t="s">
        <v>4211</v>
      </c>
      <c r="F429" s="107">
        <v>1629.3</v>
      </c>
      <c r="G429" s="556">
        <v>1951</v>
      </c>
      <c r="H429" s="41">
        <v>15239184.33</v>
      </c>
      <c r="I429" s="8" t="s">
        <v>8074</v>
      </c>
      <c r="J429" s="1286" t="s">
        <v>12013</v>
      </c>
    </row>
    <row r="430" spans="1:10" s="57" customFormat="1" ht="45.75" customHeight="1" x14ac:dyDescent="0.2">
      <c r="A430" s="1304"/>
      <c r="B430" s="556" t="s">
        <v>9892</v>
      </c>
      <c r="C430" s="1304"/>
      <c r="D430" s="128"/>
      <c r="E430" s="553" t="s">
        <v>4212</v>
      </c>
      <c r="F430" s="107">
        <v>116.5</v>
      </c>
      <c r="G430" s="556">
        <v>1961</v>
      </c>
      <c r="H430" s="41"/>
      <c r="I430" s="8" t="s">
        <v>8074</v>
      </c>
      <c r="J430" s="1287"/>
    </row>
    <row r="431" spans="1:10" s="57" customFormat="1" ht="45" customHeight="1" x14ac:dyDescent="0.2">
      <c r="A431" s="1304"/>
      <c r="B431" s="556" t="s">
        <v>9894</v>
      </c>
      <c r="C431" s="1305"/>
      <c r="D431" s="128"/>
      <c r="E431" s="553" t="s">
        <v>4213</v>
      </c>
      <c r="F431" s="107">
        <v>294.5</v>
      </c>
      <c r="G431" s="556">
        <v>1970</v>
      </c>
      <c r="H431" s="41"/>
      <c r="I431" s="8" t="s">
        <v>8074</v>
      </c>
      <c r="J431" s="1288"/>
    </row>
    <row r="432" spans="1:10" s="57" customFormat="1" ht="56.25" customHeight="1" x14ac:dyDescent="0.2">
      <c r="A432" s="556" t="s">
        <v>10787</v>
      </c>
      <c r="B432" s="10" t="s">
        <v>6514</v>
      </c>
      <c r="C432" s="96" t="s">
        <v>10784</v>
      </c>
      <c r="D432" s="94" t="s">
        <v>5344</v>
      </c>
      <c r="E432" s="12" t="s">
        <v>55</v>
      </c>
      <c r="F432" s="140">
        <v>12.6</v>
      </c>
      <c r="G432" s="10">
        <v>1970</v>
      </c>
      <c r="H432" s="144"/>
      <c r="I432" s="8" t="s">
        <v>8074</v>
      </c>
      <c r="J432" s="8" t="s">
        <v>12013</v>
      </c>
    </row>
    <row r="433" spans="1:10" s="57" customFormat="1" ht="55.5" customHeight="1" x14ac:dyDescent="0.2">
      <c r="A433" s="556" t="s">
        <v>2757</v>
      </c>
      <c r="B433" s="556" t="s">
        <v>7972</v>
      </c>
      <c r="C433" s="96" t="s">
        <v>13839</v>
      </c>
      <c r="D433" s="94" t="s">
        <v>7898</v>
      </c>
      <c r="E433" s="553"/>
      <c r="F433" s="107">
        <v>85</v>
      </c>
      <c r="G433" s="556">
        <v>1951</v>
      </c>
      <c r="H433" s="41">
        <v>634872.65</v>
      </c>
      <c r="I433" s="8" t="s">
        <v>13820</v>
      </c>
      <c r="J433" s="8" t="s">
        <v>13820</v>
      </c>
    </row>
    <row r="434" spans="1:10" s="57" customFormat="1" ht="54.75" customHeight="1" x14ac:dyDescent="0.2">
      <c r="A434" s="556" t="s">
        <v>2758</v>
      </c>
      <c r="B434" s="556" t="s">
        <v>4206</v>
      </c>
      <c r="C434" s="96" t="s">
        <v>13840</v>
      </c>
      <c r="D434" s="553" t="s">
        <v>5345</v>
      </c>
      <c r="E434" s="553"/>
      <c r="F434" s="107">
        <v>53</v>
      </c>
      <c r="G434" s="556">
        <v>1961</v>
      </c>
      <c r="H434" s="41">
        <v>34777.01</v>
      </c>
      <c r="I434" s="8" t="s">
        <v>13820</v>
      </c>
      <c r="J434" s="802" t="s">
        <v>13820</v>
      </c>
    </row>
    <row r="435" spans="1:10" s="57" customFormat="1" ht="57.75" customHeight="1" x14ac:dyDescent="0.2">
      <c r="A435" s="551" t="s">
        <v>2759</v>
      </c>
      <c r="B435" s="551" t="s">
        <v>2410</v>
      </c>
      <c r="C435" s="551" t="s">
        <v>10785</v>
      </c>
      <c r="D435" s="553" t="s">
        <v>7697</v>
      </c>
      <c r="E435" s="553" t="s">
        <v>56</v>
      </c>
      <c r="F435" s="107">
        <v>346.9</v>
      </c>
      <c r="G435" s="556">
        <v>1963</v>
      </c>
      <c r="H435" s="41">
        <v>2591027.3199999998</v>
      </c>
      <c r="I435" s="8" t="s">
        <v>8074</v>
      </c>
      <c r="J435" s="8" t="s">
        <v>12013</v>
      </c>
    </row>
    <row r="436" spans="1:10" s="5" customFormat="1" ht="54" customHeight="1" x14ac:dyDescent="0.2">
      <c r="A436" s="556" t="s">
        <v>2760</v>
      </c>
      <c r="B436" s="556" t="s">
        <v>4764</v>
      </c>
      <c r="C436" s="556" t="s">
        <v>13841</v>
      </c>
      <c r="D436" s="553" t="s">
        <v>5346</v>
      </c>
      <c r="E436" s="553" t="s">
        <v>2256</v>
      </c>
      <c r="F436" s="107">
        <v>50.8</v>
      </c>
      <c r="G436" s="556">
        <v>1961</v>
      </c>
      <c r="H436" s="41">
        <v>280000.96000000002</v>
      </c>
      <c r="I436" s="8" t="s">
        <v>13820</v>
      </c>
      <c r="J436" s="802" t="s">
        <v>13820</v>
      </c>
    </row>
    <row r="437" spans="1:10" ht="26.25" customHeight="1" x14ac:dyDescent="0.2">
      <c r="A437" s="556" t="s">
        <v>2761</v>
      </c>
      <c r="B437" s="557" t="s">
        <v>4209</v>
      </c>
      <c r="C437" s="557" t="s">
        <v>5743</v>
      </c>
      <c r="D437" s="553" t="s">
        <v>5347</v>
      </c>
      <c r="E437" s="345" t="s">
        <v>58</v>
      </c>
      <c r="F437" s="56">
        <v>347</v>
      </c>
      <c r="G437" s="557">
        <v>1993</v>
      </c>
      <c r="H437" s="21">
        <v>1306864.46</v>
      </c>
      <c r="I437" s="547" t="s">
        <v>9605</v>
      </c>
      <c r="J437" s="584" t="s">
        <v>12012</v>
      </c>
    </row>
    <row r="438" spans="1:10" s="57" customFormat="1" ht="25.5" customHeight="1" x14ac:dyDescent="0.2">
      <c r="A438" s="556" t="s">
        <v>2868</v>
      </c>
      <c r="B438" s="556" t="s">
        <v>9155</v>
      </c>
      <c r="C438" s="556" t="s">
        <v>5438</v>
      </c>
      <c r="D438" s="553" t="s">
        <v>5348</v>
      </c>
      <c r="E438" s="553" t="s">
        <v>177</v>
      </c>
      <c r="F438" s="107">
        <v>58.5</v>
      </c>
      <c r="G438" s="556">
        <v>1993</v>
      </c>
      <c r="H438" s="41">
        <v>436941.77</v>
      </c>
      <c r="I438" s="547" t="s">
        <v>9605</v>
      </c>
      <c r="J438" s="584" t="s">
        <v>12012</v>
      </c>
    </row>
    <row r="439" spans="1:10" ht="26.25" customHeight="1" x14ac:dyDescent="0.2">
      <c r="A439" s="556" t="s">
        <v>2762</v>
      </c>
      <c r="B439" s="557" t="s">
        <v>2007</v>
      </c>
      <c r="C439" s="556" t="s">
        <v>5438</v>
      </c>
      <c r="D439" s="553"/>
      <c r="E439" s="345"/>
      <c r="F439" s="56">
        <v>50</v>
      </c>
      <c r="G439" s="557">
        <v>2000</v>
      </c>
      <c r="H439" s="21"/>
      <c r="I439" s="557" t="s">
        <v>9626</v>
      </c>
      <c r="J439" s="557" t="s">
        <v>9626</v>
      </c>
    </row>
    <row r="440" spans="1:10" ht="36.75" customHeight="1" x14ac:dyDescent="0.2">
      <c r="A440" s="556" t="s">
        <v>2763</v>
      </c>
      <c r="B440" s="557" t="s">
        <v>9156</v>
      </c>
      <c r="C440" s="556" t="s">
        <v>5438</v>
      </c>
      <c r="D440" s="553" t="s">
        <v>5349</v>
      </c>
      <c r="E440" s="345" t="s">
        <v>2256</v>
      </c>
      <c r="F440" s="56">
        <v>29.5</v>
      </c>
      <c r="G440" s="557">
        <v>2001</v>
      </c>
      <c r="H440" s="21">
        <v>73936.740000000005</v>
      </c>
      <c r="I440" s="547" t="s">
        <v>9605</v>
      </c>
      <c r="J440" s="584" t="s">
        <v>12012</v>
      </c>
    </row>
    <row r="441" spans="1:10" ht="26.25" customHeight="1" x14ac:dyDescent="0.2">
      <c r="A441" s="556" t="s">
        <v>2764</v>
      </c>
      <c r="B441" s="557" t="s">
        <v>3853</v>
      </c>
      <c r="C441" s="556" t="s">
        <v>5438</v>
      </c>
      <c r="D441" s="553" t="s">
        <v>5350</v>
      </c>
      <c r="E441" s="345" t="s">
        <v>2256</v>
      </c>
      <c r="F441" s="56">
        <v>127.8</v>
      </c>
      <c r="G441" s="557">
        <v>2001</v>
      </c>
      <c r="H441" s="21">
        <v>320308.96999999997</v>
      </c>
      <c r="I441" s="547" t="s">
        <v>9605</v>
      </c>
      <c r="J441" s="584" t="s">
        <v>12012</v>
      </c>
    </row>
    <row r="442" spans="1:10" ht="38.25" customHeight="1" x14ac:dyDescent="0.2">
      <c r="A442" s="556" t="s">
        <v>2765</v>
      </c>
      <c r="B442" s="557" t="s">
        <v>4286</v>
      </c>
      <c r="C442" s="557" t="s">
        <v>5744</v>
      </c>
      <c r="D442" s="553" t="s">
        <v>5351</v>
      </c>
      <c r="E442" s="345" t="s">
        <v>164</v>
      </c>
      <c r="F442" s="56">
        <v>246.3</v>
      </c>
      <c r="G442" s="557">
        <v>1965</v>
      </c>
      <c r="H442" s="21">
        <v>1839636.87</v>
      </c>
      <c r="I442" s="557" t="s">
        <v>3257</v>
      </c>
      <c r="J442" s="557" t="s">
        <v>3257</v>
      </c>
    </row>
    <row r="443" spans="1:10" s="57" customFormat="1" ht="26.25" customHeight="1" x14ac:dyDescent="0.2">
      <c r="A443" s="556" t="s">
        <v>2766</v>
      </c>
      <c r="B443" s="556" t="s">
        <v>4214</v>
      </c>
      <c r="C443" s="556" t="s">
        <v>5438</v>
      </c>
      <c r="D443" s="553" t="s">
        <v>5352</v>
      </c>
      <c r="E443" s="553" t="s">
        <v>177</v>
      </c>
      <c r="F443" s="107">
        <v>77.5</v>
      </c>
      <c r="G443" s="556">
        <v>1970</v>
      </c>
      <c r="H443" s="41">
        <v>578854.48</v>
      </c>
      <c r="I443" s="8" t="s">
        <v>8074</v>
      </c>
      <c r="J443" s="8" t="s">
        <v>12013</v>
      </c>
    </row>
    <row r="444" spans="1:10" s="5" customFormat="1" ht="28.5" customHeight="1" x14ac:dyDescent="0.2">
      <c r="A444" s="556" t="s">
        <v>2767</v>
      </c>
      <c r="B444" s="556" t="s">
        <v>2008</v>
      </c>
      <c r="C444" s="556" t="s">
        <v>5438</v>
      </c>
      <c r="D444" s="553"/>
      <c r="E444" s="553"/>
      <c r="F444" s="107"/>
      <c r="G444" s="556">
        <v>1966</v>
      </c>
      <c r="H444" s="41"/>
      <c r="I444" s="556" t="s">
        <v>377</v>
      </c>
      <c r="J444" s="556" t="s">
        <v>377</v>
      </c>
    </row>
    <row r="445" spans="1:10" s="57" customFormat="1" ht="26.25" customHeight="1" x14ac:dyDescent="0.2">
      <c r="A445" s="556" t="s">
        <v>2768</v>
      </c>
      <c r="B445" s="556" t="s">
        <v>9638</v>
      </c>
      <c r="C445" s="556" t="s">
        <v>5438</v>
      </c>
      <c r="D445" s="553" t="s">
        <v>5353</v>
      </c>
      <c r="E445" s="553" t="s">
        <v>2256</v>
      </c>
      <c r="F445" s="107">
        <v>66.8</v>
      </c>
      <c r="G445" s="556">
        <v>1992</v>
      </c>
      <c r="H445" s="41">
        <v>498935.21</v>
      </c>
      <c r="I445" s="8" t="s">
        <v>9605</v>
      </c>
      <c r="J445" s="584" t="s">
        <v>12012</v>
      </c>
    </row>
    <row r="446" spans="1:10" s="57" customFormat="1" ht="26.25" customHeight="1" x14ac:dyDescent="0.2">
      <c r="A446" s="556" t="s">
        <v>2769</v>
      </c>
      <c r="B446" s="556" t="s">
        <v>2319</v>
      </c>
      <c r="C446" s="556" t="s">
        <v>5435</v>
      </c>
      <c r="D446" s="553" t="s">
        <v>5354</v>
      </c>
      <c r="E446" s="553" t="s">
        <v>2318</v>
      </c>
      <c r="F446" s="107">
        <v>387.4</v>
      </c>
      <c r="G446" s="556" t="s">
        <v>82</v>
      </c>
      <c r="H446" s="41">
        <v>2130331.9700000002</v>
      </c>
      <c r="I446" s="8" t="s">
        <v>9605</v>
      </c>
      <c r="J446" s="584" t="s">
        <v>12012</v>
      </c>
    </row>
    <row r="447" spans="1:10" s="57" customFormat="1" ht="26.25" customHeight="1" x14ac:dyDescent="0.2">
      <c r="A447" s="556" t="s">
        <v>2770</v>
      </c>
      <c r="B447" s="556" t="s">
        <v>2320</v>
      </c>
      <c r="C447" s="556" t="s">
        <v>5435</v>
      </c>
      <c r="D447" s="553" t="s">
        <v>5355</v>
      </c>
      <c r="E447" s="553" t="s">
        <v>2256</v>
      </c>
      <c r="F447" s="107">
        <v>23.2</v>
      </c>
      <c r="G447" s="556" t="s">
        <v>502</v>
      </c>
      <c r="H447" s="41">
        <v>127577.96</v>
      </c>
      <c r="I447" s="8" t="s">
        <v>9605</v>
      </c>
      <c r="J447" s="584" t="s">
        <v>12012</v>
      </c>
    </row>
    <row r="448" spans="1:10" ht="58.5" customHeight="1" x14ac:dyDescent="0.2">
      <c r="A448" s="556" t="s">
        <v>2771</v>
      </c>
      <c r="B448" s="557" t="s">
        <v>4215</v>
      </c>
      <c r="C448" s="556" t="s">
        <v>10786</v>
      </c>
      <c r="D448" s="553" t="s">
        <v>5356</v>
      </c>
      <c r="E448" s="345" t="s">
        <v>58</v>
      </c>
      <c r="F448" s="56">
        <v>451.5</v>
      </c>
      <c r="G448" s="557">
        <v>1984</v>
      </c>
      <c r="H448" s="21">
        <v>1700430.27</v>
      </c>
      <c r="I448" s="8" t="s">
        <v>8074</v>
      </c>
      <c r="J448" s="8" t="s">
        <v>12013</v>
      </c>
    </row>
    <row r="449" spans="1:10" ht="33.75" customHeight="1" x14ac:dyDescent="0.2">
      <c r="A449" s="556" t="s">
        <v>2772</v>
      </c>
      <c r="B449" s="556" t="s">
        <v>2322</v>
      </c>
      <c r="C449" s="556" t="s">
        <v>5745</v>
      </c>
      <c r="D449" s="553"/>
      <c r="E449" s="553" t="s">
        <v>2321</v>
      </c>
      <c r="F449" s="107">
        <v>12</v>
      </c>
      <c r="G449" s="556">
        <v>2004</v>
      </c>
      <c r="H449" s="41"/>
      <c r="I449" s="556" t="s">
        <v>303</v>
      </c>
      <c r="J449" s="556" t="s">
        <v>303</v>
      </c>
    </row>
    <row r="450" spans="1:10" ht="33.75" customHeight="1" x14ac:dyDescent="0.2">
      <c r="A450" s="556" t="s">
        <v>2773</v>
      </c>
      <c r="B450" s="556" t="s">
        <v>2322</v>
      </c>
      <c r="C450" s="556" t="s">
        <v>5746</v>
      </c>
      <c r="D450" s="553"/>
      <c r="E450" s="553" t="s">
        <v>2321</v>
      </c>
      <c r="F450" s="107">
        <v>12</v>
      </c>
      <c r="G450" s="556">
        <v>2004</v>
      </c>
      <c r="H450" s="41"/>
      <c r="I450" s="556" t="s">
        <v>303</v>
      </c>
      <c r="J450" s="556" t="s">
        <v>303</v>
      </c>
    </row>
    <row r="451" spans="1:10" s="5" customFormat="1" ht="57.75" customHeight="1" x14ac:dyDescent="0.2">
      <c r="A451" s="556" t="s">
        <v>2869</v>
      </c>
      <c r="B451" s="556" t="s">
        <v>3636</v>
      </c>
      <c r="C451" s="726" t="s">
        <v>12956</v>
      </c>
      <c r="D451" s="18" t="s">
        <v>5357</v>
      </c>
      <c r="E451" s="18" t="s">
        <v>2323</v>
      </c>
      <c r="F451" s="107">
        <v>217.6</v>
      </c>
      <c r="G451" s="556">
        <v>1967</v>
      </c>
      <c r="H451" s="41">
        <v>2285015.42</v>
      </c>
      <c r="I451" s="211" t="s">
        <v>8074</v>
      </c>
      <c r="J451" s="211" t="s">
        <v>8074</v>
      </c>
    </row>
    <row r="452" spans="1:10" s="5" customFormat="1" ht="23.25" customHeight="1" x14ac:dyDescent="0.2">
      <c r="A452" s="556" t="s">
        <v>9334</v>
      </c>
      <c r="B452" s="556" t="s">
        <v>6512</v>
      </c>
      <c r="C452" s="544" t="s">
        <v>8258</v>
      </c>
      <c r="D452" s="18" t="s">
        <v>9432</v>
      </c>
      <c r="E452" s="18" t="s">
        <v>9335</v>
      </c>
      <c r="F452" s="107">
        <v>92.9</v>
      </c>
      <c r="G452" s="556" t="s">
        <v>3644</v>
      </c>
      <c r="H452" s="41">
        <v>643640</v>
      </c>
      <c r="I452" s="211" t="s">
        <v>8074</v>
      </c>
      <c r="J452" s="211" t="s">
        <v>8074</v>
      </c>
    </row>
    <row r="453" spans="1:10" s="5" customFormat="1" ht="23.25" customHeight="1" x14ac:dyDescent="0.2">
      <c r="A453" s="556" t="s">
        <v>2774</v>
      </c>
      <c r="B453" s="556" t="s">
        <v>518</v>
      </c>
      <c r="C453" s="544" t="s">
        <v>280</v>
      </c>
      <c r="D453" s="18" t="s">
        <v>5358</v>
      </c>
      <c r="E453" s="18" t="s">
        <v>2256</v>
      </c>
      <c r="F453" s="107">
        <v>20.5</v>
      </c>
      <c r="G453" s="556" t="s">
        <v>3644</v>
      </c>
      <c r="H453" s="41">
        <v>215270.3</v>
      </c>
      <c r="I453" s="211" t="s">
        <v>8074</v>
      </c>
      <c r="J453" s="211" t="s">
        <v>8074</v>
      </c>
    </row>
    <row r="454" spans="1:10" s="5" customFormat="1" ht="36.75" customHeight="1" x14ac:dyDescent="0.2">
      <c r="A454" s="556" t="s">
        <v>2775</v>
      </c>
      <c r="B454" s="556" t="s">
        <v>3444</v>
      </c>
      <c r="C454" s="556" t="s">
        <v>9452</v>
      </c>
      <c r="D454" s="553" t="s">
        <v>9415</v>
      </c>
      <c r="E454" s="553" t="s">
        <v>2266</v>
      </c>
      <c r="F454" s="107">
        <v>153.80000000000001</v>
      </c>
      <c r="G454" s="556">
        <v>2001</v>
      </c>
      <c r="H454" s="41">
        <v>325802.23</v>
      </c>
      <c r="I454" s="556" t="s">
        <v>3564</v>
      </c>
      <c r="J454" s="556" t="s">
        <v>3564</v>
      </c>
    </row>
    <row r="455" spans="1:10" s="179" customFormat="1" ht="39.75" customHeight="1" x14ac:dyDescent="0.2">
      <c r="A455" s="556" t="s">
        <v>2776</v>
      </c>
      <c r="B455" s="556" t="s">
        <v>3444</v>
      </c>
      <c r="C455" s="556" t="s">
        <v>5747</v>
      </c>
      <c r="D455" s="553" t="s">
        <v>6104</v>
      </c>
      <c r="E455" s="553" t="s">
        <v>2266</v>
      </c>
      <c r="F455" s="107">
        <v>202.7</v>
      </c>
      <c r="G455" s="556">
        <v>1979</v>
      </c>
      <c r="H455" s="41">
        <v>3583545.46</v>
      </c>
      <c r="I455" s="556" t="s">
        <v>3564</v>
      </c>
      <c r="J455" s="556" t="s">
        <v>3564</v>
      </c>
    </row>
    <row r="456" spans="1:10" s="179" customFormat="1" ht="35.25" customHeight="1" x14ac:dyDescent="0.2">
      <c r="A456" s="556" t="s">
        <v>4144</v>
      </c>
      <c r="B456" s="556" t="s">
        <v>3444</v>
      </c>
      <c r="C456" s="556" t="s">
        <v>5740</v>
      </c>
      <c r="D456" s="553" t="s">
        <v>6211</v>
      </c>
      <c r="E456" s="553" t="s">
        <v>2266</v>
      </c>
      <c r="F456" s="107">
        <f>440-13</f>
        <v>427</v>
      </c>
      <c r="G456" s="556" t="s">
        <v>3563</v>
      </c>
      <c r="H456" s="1316">
        <v>2454364</v>
      </c>
      <c r="I456" s="556" t="s">
        <v>3564</v>
      </c>
      <c r="J456" s="556" t="s">
        <v>3564</v>
      </c>
    </row>
    <row r="457" spans="1:10" ht="102" customHeight="1" x14ac:dyDescent="0.2">
      <c r="A457" s="556" t="s">
        <v>4145</v>
      </c>
      <c r="B457" s="557" t="s">
        <v>281</v>
      </c>
      <c r="C457" s="557" t="s">
        <v>5740</v>
      </c>
      <c r="D457" s="553"/>
      <c r="E457" s="345" t="s">
        <v>2266</v>
      </c>
      <c r="F457" s="56">
        <v>13</v>
      </c>
      <c r="G457" s="557" t="s">
        <v>3563</v>
      </c>
      <c r="H457" s="1308"/>
      <c r="I457" s="32" t="s">
        <v>4142</v>
      </c>
      <c r="J457" s="32" t="s">
        <v>4142</v>
      </c>
    </row>
    <row r="458" spans="1:10" ht="37.5" customHeight="1" x14ac:dyDescent="0.2">
      <c r="A458" s="556" t="s">
        <v>2777</v>
      </c>
      <c r="B458" s="556" t="s">
        <v>3444</v>
      </c>
      <c r="C458" s="557" t="s">
        <v>9583</v>
      </c>
      <c r="D458" s="553" t="s">
        <v>6158</v>
      </c>
      <c r="E458" s="553" t="s">
        <v>2266</v>
      </c>
      <c r="F458" s="107">
        <v>362.9</v>
      </c>
      <c r="G458" s="556">
        <v>1999</v>
      </c>
      <c r="H458" s="41">
        <v>5023980.34</v>
      </c>
      <c r="I458" s="556" t="s">
        <v>3564</v>
      </c>
      <c r="J458" s="556" t="s">
        <v>3564</v>
      </c>
    </row>
    <row r="459" spans="1:10" ht="38.25" customHeight="1" x14ac:dyDescent="0.2">
      <c r="A459" s="556" t="s">
        <v>2778</v>
      </c>
      <c r="B459" s="556" t="s">
        <v>3444</v>
      </c>
      <c r="C459" s="556" t="s">
        <v>9789</v>
      </c>
      <c r="D459" s="553" t="s">
        <v>6157</v>
      </c>
      <c r="E459" s="553" t="s">
        <v>2266</v>
      </c>
      <c r="F459" s="107">
        <v>150.69999999999999</v>
      </c>
      <c r="G459" s="556">
        <v>2002</v>
      </c>
      <c r="H459" s="41">
        <v>488393.08</v>
      </c>
      <c r="I459" s="556" t="s">
        <v>3564</v>
      </c>
      <c r="J459" s="556" t="s">
        <v>3564</v>
      </c>
    </row>
    <row r="460" spans="1:10" s="57" customFormat="1" ht="22.5" customHeight="1" x14ac:dyDescent="0.2">
      <c r="A460" s="556" t="s">
        <v>2779</v>
      </c>
      <c r="B460" s="556" t="s">
        <v>3106</v>
      </c>
      <c r="C460" s="556" t="s">
        <v>5687</v>
      </c>
      <c r="D460" s="553" t="s">
        <v>5359</v>
      </c>
      <c r="E460" s="553" t="s">
        <v>2256</v>
      </c>
      <c r="F460" s="107">
        <v>28.4</v>
      </c>
      <c r="G460" s="556" t="s">
        <v>3105</v>
      </c>
      <c r="H460" s="41">
        <v>208399.53</v>
      </c>
      <c r="I460" s="556" t="s">
        <v>5153</v>
      </c>
      <c r="J460" s="556" t="s">
        <v>5153</v>
      </c>
    </row>
    <row r="461" spans="1:10" s="5" customFormat="1" ht="33" customHeight="1" x14ac:dyDescent="0.2">
      <c r="A461" s="556" t="s">
        <v>2780</v>
      </c>
      <c r="B461" s="556" t="s">
        <v>7804</v>
      </c>
      <c r="C461" s="556" t="s">
        <v>5739</v>
      </c>
      <c r="D461" s="553"/>
      <c r="E461" s="556" t="s">
        <v>3080</v>
      </c>
      <c r="F461" s="107"/>
      <c r="G461" s="556">
        <v>2004</v>
      </c>
      <c r="H461" s="41"/>
      <c r="I461" s="556" t="s">
        <v>3051</v>
      </c>
      <c r="J461" s="556" t="s">
        <v>3051</v>
      </c>
    </row>
    <row r="462" spans="1:10" ht="39" customHeight="1" x14ac:dyDescent="0.2">
      <c r="A462" s="556" t="s">
        <v>2781</v>
      </c>
      <c r="B462" s="557" t="s">
        <v>2324</v>
      </c>
      <c r="C462" s="557" t="s">
        <v>5739</v>
      </c>
      <c r="D462" s="553"/>
      <c r="E462" s="557" t="s">
        <v>3080</v>
      </c>
      <c r="F462" s="56">
        <v>22</v>
      </c>
      <c r="G462" s="557">
        <v>2004</v>
      </c>
      <c r="H462" s="21"/>
      <c r="I462" s="556" t="s">
        <v>4128</v>
      </c>
      <c r="J462" s="556" t="s">
        <v>4128</v>
      </c>
    </row>
    <row r="463" spans="1:10" ht="57" customHeight="1" x14ac:dyDescent="0.2">
      <c r="A463" s="557" t="s">
        <v>2782</v>
      </c>
      <c r="B463" s="557" t="s">
        <v>11618</v>
      </c>
      <c r="C463" s="557" t="s">
        <v>11619</v>
      </c>
      <c r="D463" s="553" t="s">
        <v>11620</v>
      </c>
      <c r="E463" s="345" t="s">
        <v>11621</v>
      </c>
      <c r="F463" s="56">
        <v>64</v>
      </c>
      <c r="G463" s="557">
        <v>1972</v>
      </c>
      <c r="H463" s="21">
        <v>799927.04</v>
      </c>
      <c r="I463" s="557" t="s">
        <v>5429</v>
      </c>
      <c r="J463" s="557" t="s">
        <v>5429</v>
      </c>
    </row>
    <row r="464" spans="1:10" s="5" customFormat="1" ht="24.75" customHeight="1" x14ac:dyDescent="0.2">
      <c r="A464" s="556" t="s">
        <v>2783</v>
      </c>
      <c r="B464" s="556" t="s">
        <v>2325</v>
      </c>
      <c r="C464" s="556" t="s">
        <v>5738</v>
      </c>
      <c r="D464" s="553"/>
      <c r="E464" s="553"/>
      <c r="F464" s="107">
        <v>12</v>
      </c>
      <c r="G464" s="556">
        <v>1995</v>
      </c>
      <c r="H464" s="41"/>
      <c r="I464" s="556" t="s">
        <v>388</v>
      </c>
      <c r="J464" s="556" t="s">
        <v>388</v>
      </c>
    </row>
    <row r="465" spans="1:10" ht="46.5" customHeight="1" x14ac:dyDescent="0.2">
      <c r="A465" s="557" t="s">
        <v>2784</v>
      </c>
      <c r="B465" s="556" t="s">
        <v>3465</v>
      </c>
      <c r="C465" s="557" t="s">
        <v>8304</v>
      </c>
      <c r="D465" s="553" t="s">
        <v>8305</v>
      </c>
      <c r="E465" s="345" t="s">
        <v>3121</v>
      </c>
      <c r="F465" s="56">
        <v>77.8</v>
      </c>
      <c r="G465" s="557">
        <v>1982</v>
      </c>
      <c r="H465" s="21">
        <v>956572.78</v>
      </c>
      <c r="I465" s="8" t="s">
        <v>13820</v>
      </c>
      <c r="J465" s="802" t="s">
        <v>13820</v>
      </c>
    </row>
    <row r="466" spans="1:10" s="801" customFormat="1" ht="56.25" customHeight="1" x14ac:dyDescent="0.2">
      <c r="A466" s="814" t="s">
        <v>13842</v>
      </c>
      <c r="B466" s="810" t="s">
        <v>13845</v>
      </c>
      <c r="C466" s="814" t="s">
        <v>14155</v>
      </c>
      <c r="D466" s="809" t="s">
        <v>14154</v>
      </c>
      <c r="E466" s="56" t="s">
        <v>13846</v>
      </c>
      <c r="F466" s="56"/>
      <c r="G466" s="814" t="s">
        <v>461</v>
      </c>
      <c r="H466" s="21"/>
      <c r="I466" s="802" t="s">
        <v>13820</v>
      </c>
      <c r="J466" s="802" t="s">
        <v>13820</v>
      </c>
    </row>
    <row r="467" spans="1:10" s="801" customFormat="1" ht="56.25" customHeight="1" x14ac:dyDescent="0.2">
      <c r="A467" s="814" t="s">
        <v>13843</v>
      </c>
      <c r="B467" s="810" t="s">
        <v>13845</v>
      </c>
      <c r="C467" s="814" t="s">
        <v>14159</v>
      </c>
      <c r="D467" s="809" t="s">
        <v>14157</v>
      </c>
      <c r="E467" s="56" t="s">
        <v>13847</v>
      </c>
      <c r="F467" s="56"/>
      <c r="G467" s="814" t="s">
        <v>461</v>
      </c>
      <c r="H467" s="21"/>
      <c r="I467" s="802" t="s">
        <v>13820</v>
      </c>
      <c r="J467" s="802" t="s">
        <v>13820</v>
      </c>
    </row>
    <row r="468" spans="1:10" s="801" customFormat="1" ht="54.75" customHeight="1" x14ac:dyDescent="0.2">
      <c r="A468" s="814" t="s">
        <v>13844</v>
      </c>
      <c r="B468" s="810" t="s">
        <v>13845</v>
      </c>
      <c r="C468" s="814" t="s">
        <v>14160</v>
      </c>
      <c r="D468" s="848" t="s">
        <v>14158</v>
      </c>
      <c r="E468" s="56" t="s">
        <v>13847</v>
      </c>
      <c r="F468" s="56"/>
      <c r="G468" s="814" t="s">
        <v>461</v>
      </c>
      <c r="H468" s="21"/>
      <c r="I468" s="802" t="s">
        <v>13820</v>
      </c>
      <c r="J468" s="802" t="s">
        <v>13820</v>
      </c>
    </row>
    <row r="469" spans="1:10" s="5" customFormat="1" ht="36" customHeight="1" x14ac:dyDescent="0.2">
      <c r="A469" s="556" t="s">
        <v>2785</v>
      </c>
      <c r="B469" s="556" t="s">
        <v>319</v>
      </c>
      <c r="C469" s="556" t="s">
        <v>5737</v>
      </c>
      <c r="D469" s="553"/>
      <c r="E469" s="553"/>
      <c r="F469" s="107">
        <v>185.4</v>
      </c>
      <c r="G469" s="556">
        <v>2006</v>
      </c>
      <c r="H469" s="41"/>
      <c r="I469" s="556" t="s">
        <v>379</v>
      </c>
      <c r="J469" s="556" t="s">
        <v>379</v>
      </c>
    </row>
    <row r="470" spans="1:10" s="5" customFormat="1" ht="23.25" customHeight="1" x14ac:dyDescent="0.2">
      <c r="A470" s="544" t="s">
        <v>2786</v>
      </c>
      <c r="B470" s="544" t="s">
        <v>517</v>
      </c>
      <c r="C470" s="544" t="s">
        <v>5948</v>
      </c>
      <c r="D470" s="553" t="s">
        <v>5996</v>
      </c>
      <c r="E470" s="553" t="s">
        <v>2256</v>
      </c>
      <c r="F470" s="107">
        <v>571.79999999999995</v>
      </c>
      <c r="G470" s="556"/>
      <c r="H470" s="41">
        <v>7030441.0999999996</v>
      </c>
      <c r="I470" s="251" t="s">
        <v>8074</v>
      </c>
      <c r="J470" s="251" t="s">
        <v>8074</v>
      </c>
    </row>
    <row r="471" spans="1:10" s="57" customFormat="1" ht="46.5" customHeight="1" x14ac:dyDescent="0.2">
      <c r="A471" s="556" t="s">
        <v>2787</v>
      </c>
      <c r="B471" s="556" t="s">
        <v>7693</v>
      </c>
      <c r="C471" s="556" t="s">
        <v>5941</v>
      </c>
      <c r="D471" s="553" t="s">
        <v>7655</v>
      </c>
      <c r="E471" s="553" t="s">
        <v>2287</v>
      </c>
      <c r="F471" s="107">
        <v>885.5</v>
      </c>
      <c r="G471" s="556">
        <v>1988</v>
      </c>
      <c r="H471" s="41">
        <v>1875798.93</v>
      </c>
      <c r="I471" s="556" t="s">
        <v>476</v>
      </c>
      <c r="J471" s="556" t="s">
        <v>476</v>
      </c>
    </row>
    <row r="472" spans="1:10" ht="36.75" customHeight="1" x14ac:dyDescent="0.2">
      <c r="A472" s="556" t="s">
        <v>2788</v>
      </c>
      <c r="B472" s="556" t="s">
        <v>6515</v>
      </c>
      <c r="C472" s="556" t="s">
        <v>5736</v>
      </c>
      <c r="D472" s="553" t="s">
        <v>6227</v>
      </c>
      <c r="E472" s="553" t="s">
        <v>6263</v>
      </c>
      <c r="F472" s="107">
        <v>2064.9</v>
      </c>
      <c r="G472" s="556">
        <v>1963</v>
      </c>
      <c r="H472" s="41">
        <v>424481.49</v>
      </c>
      <c r="I472" s="556" t="s">
        <v>3744</v>
      </c>
      <c r="J472" s="556" t="s">
        <v>3744</v>
      </c>
    </row>
    <row r="473" spans="1:10" ht="23.25" customHeight="1" x14ac:dyDescent="0.2">
      <c r="A473" s="557" t="s">
        <v>2789</v>
      </c>
      <c r="B473" s="557" t="s">
        <v>3466</v>
      </c>
      <c r="C473" s="557" t="s">
        <v>7979</v>
      </c>
      <c r="D473" s="553" t="s">
        <v>5360</v>
      </c>
      <c r="E473" s="345" t="s">
        <v>2266</v>
      </c>
      <c r="F473" s="56">
        <v>74.7</v>
      </c>
      <c r="G473" s="557">
        <v>2006</v>
      </c>
      <c r="H473" s="21">
        <v>715014.95</v>
      </c>
      <c r="I473" s="557" t="s">
        <v>3730</v>
      </c>
      <c r="J473" s="557"/>
    </row>
    <row r="474" spans="1:10" ht="60" customHeight="1" x14ac:dyDescent="0.2">
      <c r="A474" s="733" t="s">
        <v>2790</v>
      </c>
      <c r="B474" s="734" t="s">
        <v>3467</v>
      </c>
      <c r="C474" s="734" t="s">
        <v>5735</v>
      </c>
      <c r="D474" s="18" t="s">
        <v>9433</v>
      </c>
      <c r="E474" s="345" t="s">
        <v>2266</v>
      </c>
      <c r="F474" s="56">
        <v>44.4</v>
      </c>
      <c r="G474" s="734">
        <v>2006</v>
      </c>
      <c r="H474" s="21">
        <v>437463.88</v>
      </c>
      <c r="I474" s="734" t="s">
        <v>11920</v>
      </c>
      <c r="J474" s="30" t="s">
        <v>13203</v>
      </c>
    </row>
    <row r="475" spans="1:10" ht="36" customHeight="1" x14ac:dyDescent="0.2">
      <c r="A475" s="556" t="s">
        <v>2791</v>
      </c>
      <c r="B475" s="556" t="s">
        <v>320</v>
      </c>
      <c r="C475" s="556" t="s">
        <v>7984</v>
      </c>
      <c r="D475" s="553" t="s">
        <v>7985</v>
      </c>
      <c r="E475" s="553" t="s">
        <v>2277</v>
      </c>
      <c r="F475" s="107">
        <v>69.099999999999994</v>
      </c>
      <c r="G475" s="556">
        <v>2006</v>
      </c>
      <c r="H475" s="41">
        <v>17301.95</v>
      </c>
      <c r="I475" s="556" t="s">
        <v>3745</v>
      </c>
      <c r="J475" s="556" t="s">
        <v>3745</v>
      </c>
    </row>
    <row r="476" spans="1:10" s="57" customFormat="1" ht="49.5" customHeight="1" x14ac:dyDescent="0.2">
      <c r="A476" s="556" t="s">
        <v>2792</v>
      </c>
      <c r="B476" s="556" t="s">
        <v>7693</v>
      </c>
      <c r="C476" s="556" t="s">
        <v>6209</v>
      </c>
      <c r="D476" s="553" t="s">
        <v>8060</v>
      </c>
      <c r="E476" s="553" t="s">
        <v>2266</v>
      </c>
      <c r="F476" s="107">
        <v>406.7</v>
      </c>
      <c r="G476" s="556">
        <v>1965</v>
      </c>
      <c r="H476" s="41">
        <v>6322684.2800000003</v>
      </c>
      <c r="I476" s="556" t="s">
        <v>87</v>
      </c>
      <c r="J476" s="556" t="s">
        <v>87</v>
      </c>
    </row>
    <row r="477" spans="1:10" s="57" customFormat="1" ht="25.5" customHeight="1" x14ac:dyDescent="0.2">
      <c r="A477" s="556" t="s">
        <v>2793</v>
      </c>
      <c r="B477" s="556" t="s">
        <v>4216</v>
      </c>
      <c r="C477" s="556" t="s">
        <v>5929</v>
      </c>
      <c r="D477" s="18" t="s">
        <v>5361</v>
      </c>
      <c r="E477" s="553" t="s">
        <v>164</v>
      </c>
      <c r="F477" s="107">
        <f>650.3-100.7</f>
        <v>549.59999999999991</v>
      </c>
      <c r="G477" s="556" t="s">
        <v>2658</v>
      </c>
      <c r="H477" s="41">
        <v>1873904.48</v>
      </c>
      <c r="I477" s="8" t="s">
        <v>8074</v>
      </c>
      <c r="J477" s="8" t="s">
        <v>12013</v>
      </c>
    </row>
    <row r="478" spans="1:10" s="57" customFormat="1" ht="24" customHeight="1" x14ac:dyDescent="0.2">
      <c r="A478" s="556" t="s">
        <v>3733</v>
      </c>
      <c r="B478" s="31" t="s">
        <v>3806</v>
      </c>
      <c r="C478" s="556" t="s">
        <v>5929</v>
      </c>
      <c r="D478" s="136" t="s">
        <v>10755</v>
      </c>
      <c r="E478" s="553" t="s">
        <v>177</v>
      </c>
      <c r="F478" s="107">
        <f>100.7</f>
        <v>100.7</v>
      </c>
      <c r="G478" s="556" t="s">
        <v>2658</v>
      </c>
      <c r="H478" s="41">
        <v>379254.33</v>
      </c>
      <c r="I478" s="12" t="s">
        <v>3734</v>
      </c>
      <c r="J478" s="12" t="s">
        <v>3734</v>
      </c>
    </row>
    <row r="479" spans="1:10" s="57" customFormat="1" ht="26.25" customHeight="1" x14ac:dyDescent="0.2">
      <c r="A479" s="556" t="s">
        <v>2794</v>
      </c>
      <c r="B479" s="544" t="s">
        <v>465</v>
      </c>
      <c r="C479" s="556" t="s">
        <v>5930</v>
      </c>
      <c r="D479" s="553" t="s">
        <v>5362</v>
      </c>
      <c r="E479" s="553" t="s">
        <v>59</v>
      </c>
      <c r="F479" s="107">
        <v>211.7</v>
      </c>
      <c r="G479" s="556">
        <v>1962</v>
      </c>
      <c r="H479" s="41">
        <v>610034.72</v>
      </c>
      <c r="I479" s="8" t="s">
        <v>8074</v>
      </c>
      <c r="J479" s="8" t="s">
        <v>12013</v>
      </c>
    </row>
    <row r="480" spans="1:10" s="57" customFormat="1" ht="29.25" customHeight="1" x14ac:dyDescent="0.2">
      <c r="A480" s="556" t="s">
        <v>2795</v>
      </c>
      <c r="B480" s="556" t="s">
        <v>517</v>
      </c>
      <c r="C480" s="1303" t="s">
        <v>5734</v>
      </c>
      <c r="D480" s="553" t="s">
        <v>5363</v>
      </c>
      <c r="E480" s="556" t="s">
        <v>60</v>
      </c>
      <c r="F480" s="107">
        <v>113.9</v>
      </c>
      <c r="G480" s="556" t="s">
        <v>70</v>
      </c>
      <c r="H480" s="41">
        <v>328214.24</v>
      </c>
      <c r="I480" s="8" t="s">
        <v>8074</v>
      </c>
      <c r="J480" s="8" t="s">
        <v>12013</v>
      </c>
    </row>
    <row r="481" spans="1:10" s="57" customFormat="1" ht="36.75" customHeight="1" x14ac:dyDescent="0.2">
      <c r="A481" s="556" t="s">
        <v>4098</v>
      </c>
      <c r="B481" s="556" t="s">
        <v>4099</v>
      </c>
      <c r="C481" s="1305"/>
      <c r="D481" s="553" t="s">
        <v>5364</v>
      </c>
      <c r="E481" s="556" t="s">
        <v>56</v>
      </c>
      <c r="F481" s="107">
        <v>140.9</v>
      </c>
      <c r="G481" s="556" t="s">
        <v>70</v>
      </c>
      <c r="H481" s="41">
        <v>406017.44</v>
      </c>
      <c r="I481" s="8" t="s">
        <v>8074</v>
      </c>
      <c r="J481" s="8" t="s">
        <v>12013</v>
      </c>
    </row>
    <row r="482" spans="1:10" s="57" customFormat="1" ht="37.5" customHeight="1" x14ac:dyDescent="0.2">
      <c r="A482" s="544" t="s">
        <v>2796</v>
      </c>
      <c r="B482" s="544" t="s">
        <v>4097</v>
      </c>
      <c r="C482" s="544" t="s">
        <v>5733</v>
      </c>
      <c r="D482" s="553" t="s">
        <v>5365</v>
      </c>
      <c r="E482" s="553" t="s">
        <v>59</v>
      </c>
      <c r="F482" s="107">
        <v>152.5</v>
      </c>
      <c r="G482" s="556" t="s">
        <v>2658</v>
      </c>
      <c r="H482" s="41">
        <v>439444</v>
      </c>
      <c r="I482" s="8" t="s">
        <v>8074</v>
      </c>
      <c r="J482" s="8" t="s">
        <v>12013</v>
      </c>
    </row>
    <row r="483" spans="1:10" s="59" customFormat="1" ht="27" customHeight="1" x14ac:dyDescent="0.2">
      <c r="A483" s="556" t="s">
        <v>2797</v>
      </c>
      <c r="B483" s="556" t="s">
        <v>2326</v>
      </c>
      <c r="C483" s="556" t="s">
        <v>5732</v>
      </c>
      <c r="D483" s="553"/>
      <c r="E483" s="553" t="s">
        <v>2256</v>
      </c>
      <c r="F483" s="107">
        <v>413.2</v>
      </c>
      <c r="G483" s="556">
        <v>1952</v>
      </c>
      <c r="H483" s="41"/>
      <c r="I483" s="556"/>
      <c r="J483" s="556"/>
    </row>
    <row r="484" spans="1:10" ht="28.5" customHeight="1" x14ac:dyDescent="0.2">
      <c r="A484" s="557" t="s">
        <v>2798</v>
      </c>
      <c r="B484" s="556" t="s">
        <v>13848</v>
      </c>
      <c r="C484" s="557" t="s">
        <v>5688</v>
      </c>
      <c r="D484" s="553" t="s">
        <v>5366</v>
      </c>
      <c r="E484" s="345" t="s">
        <v>2327</v>
      </c>
      <c r="F484" s="56">
        <v>39.5</v>
      </c>
      <c r="G484" s="557" t="s">
        <v>3563</v>
      </c>
      <c r="H484" s="21">
        <v>8120.02</v>
      </c>
      <c r="I484" s="8" t="s">
        <v>13820</v>
      </c>
      <c r="J484" s="802" t="s">
        <v>13820</v>
      </c>
    </row>
    <row r="485" spans="1:10" s="5" customFormat="1" ht="29.25" customHeight="1" x14ac:dyDescent="0.2">
      <c r="A485" s="544" t="s">
        <v>2799</v>
      </c>
      <c r="B485" s="544" t="s">
        <v>9152</v>
      </c>
      <c r="C485" s="544" t="s">
        <v>5689</v>
      </c>
      <c r="D485" s="553" t="s">
        <v>5367</v>
      </c>
      <c r="E485" s="553" t="s">
        <v>2256</v>
      </c>
      <c r="F485" s="107">
        <v>123.9</v>
      </c>
      <c r="G485" s="556" t="s">
        <v>80</v>
      </c>
      <c r="H485" s="548">
        <v>274006.09000000003</v>
      </c>
      <c r="I485" s="547" t="s">
        <v>9605</v>
      </c>
      <c r="J485" s="584" t="s">
        <v>12012</v>
      </c>
    </row>
    <row r="486" spans="1:10" ht="36" customHeight="1" x14ac:dyDescent="0.2">
      <c r="A486" s="557" t="s">
        <v>2800</v>
      </c>
      <c r="B486" s="557" t="s">
        <v>3107</v>
      </c>
      <c r="C486" s="557" t="s">
        <v>5690</v>
      </c>
      <c r="D486" s="553"/>
      <c r="E486" s="345" t="s">
        <v>2257</v>
      </c>
      <c r="F486" s="56">
        <v>43</v>
      </c>
      <c r="G486" s="557">
        <v>1984</v>
      </c>
      <c r="H486" s="21"/>
      <c r="I486" s="557" t="s">
        <v>3627</v>
      </c>
      <c r="J486" s="557" t="s">
        <v>3627</v>
      </c>
    </row>
    <row r="487" spans="1:10" s="57" customFormat="1" ht="45.75" customHeight="1" x14ac:dyDescent="0.2">
      <c r="A487" s="556" t="s">
        <v>2801</v>
      </c>
      <c r="B487" s="556" t="s">
        <v>446</v>
      </c>
      <c r="C487" s="556" t="s">
        <v>5691</v>
      </c>
      <c r="D487" s="553"/>
      <c r="E487" s="553" t="s">
        <v>380</v>
      </c>
      <c r="F487" s="107">
        <v>923.9</v>
      </c>
      <c r="G487" s="556">
        <v>1953</v>
      </c>
      <c r="H487" s="41"/>
      <c r="I487" s="556" t="s">
        <v>4132</v>
      </c>
      <c r="J487" s="556" t="s">
        <v>4132</v>
      </c>
    </row>
    <row r="488" spans="1:10" s="57" customFormat="1" ht="45" customHeight="1" x14ac:dyDescent="0.2">
      <c r="A488" s="556" t="s">
        <v>2802</v>
      </c>
      <c r="B488" s="556" t="s">
        <v>89</v>
      </c>
      <c r="C488" s="556" t="s">
        <v>5731</v>
      </c>
      <c r="D488" s="553"/>
      <c r="E488" s="553"/>
      <c r="F488" s="107">
        <v>140.69999999999999</v>
      </c>
      <c r="G488" s="556">
        <v>1961</v>
      </c>
      <c r="H488" s="41"/>
      <c r="I488" s="556" t="s">
        <v>88</v>
      </c>
      <c r="J488" s="556" t="s">
        <v>88</v>
      </c>
    </row>
    <row r="489" spans="1:10" s="5" customFormat="1" ht="36.75" customHeight="1" x14ac:dyDescent="0.2">
      <c r="A489" s="556" t="s">
        <v>2803</v>
      </c>
      <c r="B489" s="556" t="s">
        <v>3462</v>
      </c>
      <c r="C489" s="556" t="s">
        <v>9624</v>
      </c>
      <c r="D489" s="553" t="s">
        <v>5368</v>
      </c>
      <c r="E489" s="553" t="s">
        <v>2256</v>
      </c>
      <c r="F489" s="107">
        <v>77</v>
      </c>
      <c r="G489" s="556" t="s">
        <v>3408</v>
      </c>
      <c r="H489" s="41">
        <v>170286.27</v>
      </c>
      <c r="I489" s="8" t="s">
        <v>9605</v>
      </c>
      <c r="J489" s="584" t="s">
        <v>12012</v>
      </c>
    </row>
    <row r="490" spans="1:10" s="5" customFormat="1" ht="36.75" customHeight="1" x14ac:dyDescent="0.2">
      <c r="A490" s="556" t="s">
        <v>2804</v>
      </c>
      <c r="B490" s="556" t="s">
        <v>3463</v>
      </c>
      <c r="C490" s="556" t="s">
        <v>9625</v>
      </c>
      <c r="D490" s="553" t="s">
        <v>5369</v>
      </c>
      <c r="E490" s="553" t="s">
        <v>164</v>
      </c>
      <c r="F490" s="107">
        <v>153.19999999999999</v>
      </c>
      <c r="G490" s="556"/>
      <c r="H490" s="41">
        <v>338803.33</v>
      </c>
      <c r="I490" s="8" t="s">
        <v>9605</v>
      </c>
      <c r="J490" s="584" t="s">
        <v>12012</v>
      </c>
    </row>
    <row r="491" spans="1:10" ht="36.75" customHeight="1" x14ac:dyDescent="0.2">
      <c r="A491" s="557" t="s">
        <v>2805</v>
      </c>
      <c r="B491" s="556" t="s">
        <v>13850</v>
      </c>
      <c r="C491" s="557" t="s">
        <v>13849</v>
      </c>
      <c r="D491" s="553" t="s">
        <v>5370</v>
      </c>
      <c r="E491" s="345" t="s">
        <v>2327</v>
      </c>
      <c r="F491" s="56">
        <v>310.8</v>
      </c>
      <c r="G491" s="557" t="s">
        <v>163</v>
      </c>
      <c r="H491" s="21">
        <v>1665530.58</v>
      </c>
      <c r="I491" s="8" t="s">
        <v>13820</v>
      </c>
      <c r="J491" s="802" t="s">
        <v>13820</v>
      </c>
    </row>
    <row r="492" spans="1:10" ht="38.25" customHeight="1" x14ac:dyDescent="0.2">
      <c r="A492" s="557" t="s">
        <v>2806</v>
      </c>
      <c r="B492" s="557" t="s">
        <v>12</v>
      </c>
      <c r="C492" s="557" t="s">
        <v>280</v>
      </c>
      <c r="D492" s="553" t="s">
        <v>5371</v>
      </c>
      <c r="E492" s="345" t="s">
        <v>2328</v>
      </c>
      <c r="F492" s="56">
        <v>193.9</v>
      </c>
      <c r="G492" s="557">
        <v>1994</v>
      </c>
      <c r="H492" s="21">
        <v>2036141.96</v>
      </c>
      <c r="I492" s="102" t="s">
        <v>3103</v>
      </c>
      <c r="J492" s="102" t="s">
        <v>3103</v>
      </c>
    </row>
    <row r="493" spans="1:10" s="5" customFormat="1" ht="22.5" x14ac:dyDescent="0.2">
      <c r="A493" s="556" t="s">
        <v>2807</v>
      </c>
      <c r="B493" s="556" t="s">
        <v>3645</v>
      </c>
      <c r="C493" s="556" t="s">
        <v>9146</v>
      </c>
      <c r="D493" s="17" t="s">
        <v>5372</v>
      </c>
      <c r="E493" s="553" t="s">
        <v>2256</v>
      </c>
      <c r="F493" s="107">
        <v>12.6</v>
      </c>
      <c r="G493" s="556"/>
      <c r="H493" s="41">
        <v>34572.76</v>
      </c>
      <c r="I493" s="556"/>
      <c r="J493" s="556"/>
    </row>
    <row r="494" spans="1:10" s="5" customFormat="1" ht="22.5" x14ac:dyDescent="0.2">
      <c r="A494" s="556" t="s">
        <v>2808</v>
      </c>
      <c r="B494" s="556" t="s">
        <v>3464</v>
      </c>
      <c r="C494" s="556" t="s">
        <v>5694</v>
      </c>
      <c r="D494" s="553" t="s">
        <v>5373</v>
      </c>
      <c r="E494" s="553" t="s">
        <v>2329</v>
      </c>
      <c r="F494" s="107">
        <v>31</v>
      </c>
      <c r="G494" s="556" t="s">
        <v>161</v>
      </c>
      <c r="H494" s="41">
        <v>84241.57</v>
      </c>
      <c r="I494" s="556" t="s">
        <v>13820</v>
      </c>
      <c r="J494" s="810" t="s">
        <v>13820</v>
      </c>
    </row>
    <row r="495" spans="1:10" s="57" customFormat="1" ht="23.25" customHeight="1" x14ac:dyDescent="0.2">
      <c r="A495" s="556" t="s">
        <v>2809</v>
      </c>
      <c r="B495" s="556" t="s">
        <v>179</v>
      </c>
      <c r="C495" s="556" t="s">
        <v>5413</v>
      </c>
      <c r="D495" s="553" t="s">
        <v>6516</v>
      </c>
      <c r="E495" s="553" t="s">
        <v>178</v>
      </c>
      <c r="F495" s="107">
        <f>14.6-14.6</f>
        <v>0</v>
      </c>
      <c r="G495" s="556"/>
      <c r="H495" s="41"/>
      <c r="I495" s="10" t="s">
        <v>10699</v>
      </c>
      <c r="J495" s="10" t="s">
        <v>10699</v>
      </c>
    </row>
    <row r="496" spans="1:10" s="5" customFormat="1" ht="18" customHeight="1" x14ac:dyDescent="0.2">
      <c r="A496" s="17" t="s">
        <v>2810</v>
      </c>
      <c r="B496" s="17" t="s">
        <v>4768</v>
      </c>
      <c r="C496" s="17" t="s">
        <v>5647</v>
      </c>
      <c r="D496" s="17"/>
      <c r="E496" s="17"/>
      <c r="F496" s="187"/>
      <c r="G496" s="17">
        <v>1994</v>
      </c>
      <c r="H496" s="41"/>
      <c r="I496" s="17"/>
      <c r="J496" s="17"/>
    </row>
    <row r="497" spans="1:10" ht="39.75" customHeight="1" x14ac:dyDescent="0.2">
      <c r="A497" s="557" t="s">
        <v>2811</v>
      </c>
      <c r="B497" s="557" t="s">
        <v>3253</v>
      </c>
      <c r="C497" s="557" t="s">
        <v>5435</v>
      </c>
      <c r="D497" s="553" t="s">
        <v>5374</v>
      </c>
      <c r="E497" s="345" t="s">
        <v>164</v>
      </c>
      <c r="F497" s="56">
        <v>377.6</v>
      </c>
      <c r="G497" s="557">
        <v>1981</v>
      </c>
      <c r="H497" s="21">
        <v>2076441.28</v>
      </c>
      <c r="I497" s="547" t="s">
        <v>9605</v>
      </c>
      <c r="J497" s="584" t="s">
        <v>12012</v>
      </c>
    </row>
    <row r="498" spans="1:10" ht="24.75" customHeight="1" x14ac:dyDescent="0.2">
      <c r="A498" s="557" t="s">
        <v>2812</v>
      </c>
      <c r="B498" s="557" t="s">
        <v>4189</v>
      </c>
      <c r="C498" s="557" t="s">
        <v>11569</v>
      </c>
      <c r="D498" s="553" t="s">
        <v>5375</v>
      </c>
      <c r="E498" s="345" t="s">
        <v>2256</v>
      </c>
      <c r="F498" s="56">
        <v>77.900000000000006</v>
      </c>
      <c r="G498" s="557">
        <v>1981</v>
      </c>
      <c r="H498" s="21">
        <v>428376</v>
      </c>
      <c r="I498" s="547" t="s">
        <v>9605</v>
      </c>
      <c r="J498" s="584" t="s">
        <v>12012</v>
      </c>
    </row>
    <row r="499" spans="1:10" ht="24.75" customHeight="1" x14ac:dyDescent="0.2">
      <c r="A499" s="557" t="s">
        <v>2813</v>
      </c>
      <c r="B499" s="557" t="s">
        <v>2317</v>
      </c>
      <c r="C499" s="557" t="s">
        <v>11569</v>
      </c>
      <c r="D499" s="553" t="s">
        <v>5376</v>
      </c>
      <c r="E499" s="345" t="s">
        <v>2256</v>
      </c>
      <c r="F499" s="56">
        <v>114.3</v>
      </c>
      <c r="G499" s="557">
        <v>1981</v>
      </c>
      <c r="H499" s="21">
        <v>853716.99</v>
      </c>
      <c r="I499" s="547" t="s">
        <v>9605</v>
      </c>
      <c r="J499" s="584" t="s">
        <v>12012</v>
      </c>
    </row>
    <row r="500" spans="1:10" ht="24.75" customHeight="1" x14ac:dyDescent="0.2">
      <c r="A500" s="557" t="s">
        <v>2814</v>
      </c>
      <c r="B500" s="557" t="s">
        <v>4207</v>
      </c>
      <c r="C500" s="557" t="s">
        <v>5569</v>
      </c>
      <c r="D500" s="553" t="s">
        <v>5377</v>
      </c>
      <c r="E500" s="345" t="s">
        <v>177</v>
      </c>
      <c r="F500" s="56">
        <v>62.6</v>
      </c>
      <c r="G500" s="557">
        <v>1961</v>
      </c>
      <c r="H500" s="21">
        <v>344240.53</v>
      </c>
      <c r="I500" s="547" t="s">
        <v>13820</v>
      </c>
      <c r="J500" s="785" t="s">
        <v>13820</v>
      </c>
    </row>
    <row r="501" spans="1:10" ht="24.75" customHeight="1" x14ac:dyDescent="0.2">
      <c r="A501" s="557" t="s">
        <v>2815</v>
      </c>
      <c r="B501" s="557" t="s">
        <v>13851</v>
      </c>
      <c r="C501" s="557" t="s">
        <v>5692</v>
      </c>
      <c r="D501" s="553" t="s">
        <v>5378</v>
      </c>
      <c r="E501" s="345" t="s">
        <v>2256</v>
      </c>
      <c r="F501" s="56">
        <v>68.099999999999994</v>
      </c>
      <c r="G501" s="557"/>
      <c r="H501" s="21">
        <v>2069972.37</v>
      </c>
      <c r="I501" s="547"/>
      <c r="J501" s="547"/>
    </row>
    <row r="502" spans="1:10" ht="24.75" customHeight="1" x14ac:dyDescent="0.2">
      <c r="A502" s="557" t="s">
        <v>2816</v>
      </c>
      <c r="B502" s="557" t="s">
        <v>4188</v>
      </c>
      <c r="C502" s="557" t="s">
        <v>5693</v>
      </c>
      <c r="D502" s="553" t="s">
        <v>5379</v>
      </c>
      <c r="E502" s="345" t="s">
        <v>2332</v>
      </c>
      <c r="F502" s="56">
        <v>53.9</v>
      </c>
      <c r="G502" s="557"/>
      <c r="H502" s="21">
        <v>311541.46000000002</v>
      </c>
      <c r="I502" s="547" t="s">
        <v>9605</v>
      </c>
      <c r="J502" s="584" t="s">
        <v>12012</v>
      </c>
    </row>
    <row r="503" spans="1:10" ht="24.75" customHeight="1" x14ac:dyDescent="0.2">
      <c r="A503" s="557" t="s">
        <v>2817</v>
      </c>
      <c r="B503" s="557" t="s">
        <v>2331</v>
      </c>
      <c r="C503" s="557" t="s">
        <v>5438</v>
      </c>
      <c r="D503" s="553" t="s">
        <v>5380</v>
      </c>
      <c r="E503" s="345" t="s">
        <v>2256</v>
      </c>
      <c r="F503" s="56">
        <v>195</v>
      </c>
      <c r="G503" s="557">
        <v>1995</v>
      </c>
      <c r="H503" s="21">
        <v>1456472.55</v>
      </c>
      <c r="I503" s="547" t="s">
        <v>9605</v>
      </c>
      <c r="J503" s="584" t="s">
        <v>12012</v>
      </c>
    </row>
    <row r="504" spans="1:10" ht="24.75" customHeight="1" x14ac:dyDescent="0.2">
      <c r="A504" s="557" t="s">
        <v>2818</v>
      </c>
      <c r="B504" s="557" t="s">
        <v>4282</v>
      </c>
      <c r="C504" s="557" t="s">
        <v>5438</v>
      </c>
      <c r="D504" s="553" t="s">
        <v>5381</v>
      </c>
      <c r="E504" s="345" t="s">
        <v>2256</v>
      </c>
      <c r="F504" s="56">
        <v>290.8</v>
      </c>
      <c r="G504" s="557" t="s">
        <v>3563</v>
      </c>
      <c r="H504" s="21">
        <v>2172011.37</v>
      </c>
      <c r="I504" s="547" t="s">
        <v>9605</v>
      </c>
      <c r="J504" s="584" t="s">
        <v>12012</v>
      </c>
    </row>
    <row r="505" spans="1:10" ht="24.75" customHeight="1" x14ac:dyDescent="0.2">
      <c r="A505" s="557" t="s">
        <v>2819</v>
      </c>
      <c r="B505" s="557" t="s">
        <v>4208</v>
      </c>
      <c r="C505" s="557" t="s">
        <v>5438</v>
      </c>
      <c r="D505" s="553" t="s">
        <v>5382</v>
      </c>
      <c r="E505" s="345" t="s">
        <v>2256</v>
      </c>
      <c r="F505" s="56">
        <v>140.9</v>
      </c>
      <c r="G505" s="557">
        <v>1995</v>
      </c>
      <c r="H505" s="21">
        <v>1052394.78</v>
      </c>
      <c r="I505" s="547" t="s">
        <v>9605</v>
      </c>
      <c r="J505" s="584" t="s">
        <v>12012</v>
      </c>
    </row>
    <row r="506" spans="1:10" ht="24.75" customHeight="1" x14ac:dyDescent="0.2">
      <c r="A506" s="557" t="s">
        <v>2820</v>
      </c>
      <c r="B506" s="557" t="s">
        <v>9337</v>
      </c>
      <c r="C506" s="557" t="s">
        <v>5570</v>
      </c>
      <c r="D506" s="553" t="s">
        <v>5383</v>
      </c>
      <c r="E506" s="345" t="s">
        <v>61</v>
      </c>
      <c r="F506" s="56">
        <v>97.6</v>
      </c>
      <c r="G506" s="557">
        <v>1951</v>
      </c>
      <c r="H506" s="21">
        <v>728983.18</v>
      </c>
      <c r="I506" s="8" t="s">
        <v>13820</v>
      </c>
      <c r="J506" s="802" t="s">
        <v>13820</v>
      </c>
    </row>
    <row r="507" spans="1:10" s="5" customFormat="1" ht="25.5" customHeight="1" x14ac:dyDescent="0.2">
      <c r="A507" s="556" t="s">
        <v>2821</v>
      </c>
      <c r="B507" s="556" t="s">
        <v>3630</v>
      </c>
      <c r="C507" s="556" t="s">
        <v>7878</v>
      </c>
      <c r="D507" s="12" t="s">
        <v>5384</v>
      </c>
      <c r="E507" s="553" t="s">
        <v>2333</v>
      </c>
      <c r="F507" s="107">
        <v>134</v>
      </c>
      <c r="G507" s="556">
        <v>1981</v>
      </c>
      <c r="H507" s="41">
        <v>618494.42000000004</v>
      </c>
      <c r="I507" s="547" t="s">
        <v>9605</v>
      </c>
      <c r="J507" s="584" t="s">
        <v>12012</v>
      </c>
    </row>
    <row r="508" spans="1:10" s="5" customFormat="1" ht="25.5" customHeight="1" x14ac:dyDescent="0.2">
      <c r="A508" s="556" t="s">
        <v>2822</v>
      </c>
      <c r="B508" s="556" t="s">
        <v>2336</v>
      </c>
      <c r="C508" s="556" t="s">
        <v>5695</v>
      </c>
      <c r="D508" s="12"/>
      <c r="E508" s="553" t="s">
        <v>2335</v>
      </c>
      <c r="F508" s="107">
        <v>67.3</v>
      </c>
      <c r="G508" s="556">
        <v>1993</v>
      </c>
      <c r="H508" s="41"/>
      <c r="I508" s="547" t="s">
        <v>8074</v>
      </c>
      <c r="J508" s="583" t="s">
        <v>8074</v>
      </c>
    </row>
    <row r="509" spans="1:10" s="5" customFormat="1" ht="25.5" customHeight="1" x14ac:dyDescent="0.2">
      <c r="A509" s="556" t="s">
        <v>2823</v>
      </c>
      <c r="B509" s="556" t="s">
        <v>3111</v>
      </c>
      <c r="C509" s="556" t="s">
        <v>5695</v>
      </c>
      <c r="D509" s="12"/>
      <c r="E509" s="553" t="s">
        <v>2335</v>
      </c>
      <c r="F509" s="107">
        <v>22.2</v>
      </c>
      <c r="G509" s="556">
        <v>1993</v>
      </c>
      <c r="H509" s="41"/>
      <c r="I509" s="547" t="s">
        <v>8074</v>
      </c>
      <c r="J509" s="583" t="s">
        <v>8074</v>
      </c>
    </row>
    <row r="510" spans="1:10" s="5" customFormat="1" ht="25.5" customHeight="1" x14ac:dyDescent="0.2">
      <c r="A510" s="556" t="s">
        <v>2824</v>
      </c>
      <c r="B510" s="556" t="s">
        <v>3639</v>
      </c>
      <c r="C510" s="556" t="s">
        <v>5695</v>
      </c>
      <c r="D510" s="12"/>
      <c r="E510" s="553" t="s">
        <v>2334</v>
      </c>
      <c r="F510" s="107">
        <v>47.3</v>
      </c>
      <c r="G510" s="556">
        <v>1993</v>
      </c>
      <c r="H510" s="41"/>
      <c r="I510" s="547" t="s">
        <v>8074</v>
      </c>
      <c r="J510" s="583" t="s">
        <v>8074</v>
      </c>
    </row>
    <row r="511" spans="1:10" s="5" customFormat="1" ht="24.75" customHeight="1" x14ac:dyDescent="0.2">
      <c r="A511" s="556" t="s">
        <v>2825</v>
      </c>
      <c r="B511" s="556" t="s">
        <v>4185</v>
      </c>
      <c r="C511" s="556" t="s">
        <v>5696</v>
      </c>
      <c r="D511" s="12" t="s">
        <v>5385</v>
      </c>
      <c r="E511" s="553" t="s">
        <v>2256</v>
      </c>
      <c r="F511" s="107">
        <v>42.8</v>
      </c>
      <c r="G511" s="556">
        <v>1991</v>
      </c>
      <c r="H511" s="41">
        <v>247383.57</v>
      </c>
      <c r="I511" s="547" t="s">
        <v>9605</v>
      </c>
      <c r="J511" s="584" t="s">
        <v>12012</v>
      </c>
    </row>
    <row r="512" spans="1:10" s="5" customFormat="1" ht="24" customHeight="1" x14ac:dyDescent="0.2">
      <c r="A512" s="17" t="s">
        <v>2826</v>
      </c>
      <c r="B512" s="17" t="s">
        <v>10121</v>
      </c>
      <c r="C512" s="17" t="s">
        <v>5571</v>
      </c>
      <c r="D512" s="199" t="s">
        <v>6517</v>
      </c>
      <c r="E512" s="12" t="s">
        <v>2287</v>
      </c>
      <c r="F512" s="107">
        <f>314.1-239.6-17.5</f>
        <v>57.000000000000028</v>
      </c>
      <c r="G512" s="556" t="s">
        <v>3110</v>
      </c>
      <c r="H512" s="41">
        <v>1445217.31</v>
      </c>
      <c r="I512" s="10" t="s">
        <v>6355</v>
      </c>
      <c r="J512" s="10" t="s">
        <v>6355</v>
      </c>
    </row>
    <row r="513" spans="1:10" s="179" customFormat="1" ht="38.25" customHeight="1" x14ac:dyDescent="0.2">
      <c r="A513" s="556" t="s">
        <v>3604</v>
      </c>
      <c r="B513" s="17" t="s">
        <v>3781</v>
      </c>
      <c r="C513" s="96" t="s">
        <v>5571</v>
      </c>
      <c r="D513" s="184" t="s">
        <v>6518</v>
      </c>
      <c r="E513" s="18" t="s">
        <v>2287</v>
      </c>
      <c r="F513" s="107">
        <f>239.6-19</f>
        <v>220.6</v>
      </c>
      <c r="G513" s="17">
        <v>1994</v>
      </c>
      <c r="H513" s="41">
        <v>4647974.04</v>
      </c>
      <c r="I513" s="556" t="s">
        <v>3564</v>
      </c>
      <c r="J513" s="556" t="s">
        <v>3564</v>
      </c>
    </row>
    <row r="514" spans="1:10" ht="104.25" customHeight="1" x14ac:dyDescent="0.2">
      <c r="A514" s="556" t="s">
        <v>4143</v>
      </c>
      <c r="B514" s="47" t="s">
        <v>2278</v>
      </c>
      <c r="C514" s="217" t="s">
        <v>5571</v>
      </c>
      <c r="D514" s="199" t="s">
        <v>6518</v>
      </c>
      <c r="E514" s="46" t="s">
        <v>2287</v>
      </c>
      <c r="F514" s="56">
        <v>19</v>
      </c>
      <c r="G514" s="47">
        <v>1994</v>
      </c>
      <c r="H514" s="21"/>
      <c r="I514" s="32" t="s">
        <v>4142</v>
      </c>
      <c r="J514" s="32" t="s">
        <v>4142</v>
      </c>
    </row>
    <row r="515" spans="1:10" ht="21" customHeight="1" x14ac:dyDescent="0.2">
      <c r="A515" s="556" t="s">
        <v>9434</v>
      </c>
      <c r="B515" s="47" t="s">
        <v>2278</v>
      </c>
      <c r="C515" s="217" t="s">
        <v>5571</v>
      </c>
      <c r="D515" s="199" t="s">
        <v>6517</v>
      </c>
      <c r="E515" s="46" t="s">
        <v>2287</v>
      </c>
      <c r="F515" s="56">
        <v>17.5</v>
      </c>
      <c r="G515" s="47">
        <v>1994</v>
      </c>
      <c r="H515" s="21"/>
      <c r="I515" s="32" t="s">
        <v>9619</v>
      </c>
      <c r="J515" s="32" t="s">
        <v>9619</v>
      </c>
    </row>
    <row r="516" spans="1:10" ht="34.5" customHeight="1" x14ac:dyDescent="0.2">
      <c r="A516" s="556" t="s">
        <v>2827</v>
      </c>
      <c r="B516" s="556" t="s">
        <v>3444</v>
      </c>
      <c r="C516" s="556" t="s">
        <v>5215</v>
      </c>
      <c r="D516" s="553" t="s">
        <v>6159</v>
      </c>
      <c r="E516" s="553" t="s">
        <v>2266</v>
      </c>
      <c r="F516" s="107">
        <v>137.6</v>
      </c>
      <c r="G516" s="556">
        <v>1970</v>
      </c>
      <c r="H516" s="41">
        <v>2139172.2599999998</v>
      </c>
      <c r="I516" s="556" t="s">
        <v>3564</v>
      </c>
      <c r="J516" s="556" t="s">
        <v>3564</v>
      </c>
    </row>
    <row r="517" spans="1:10" ht="57" customHeight="1" x14ac:dyDescent="0.2">
      <c r="A517" s="556" t="s">
        <v>2828</v>
      </c>
      <c r="B517" s="556" t="s">
        <v>3444</v>
      </c>
      <c r="C517" s="556" t="s">
        <v>10792</v>
      </c>
      <c r="D517" s="553" t="s">
        <v>6176</v>
      </c>
      <c r="E517" s="553" t="s">
        <v>2266</v>
      </c>
      <c r="F517" s="107">
        <v>254.2</v>
      </c>
      <c r="G517" s="556"/>
      <c r="H517" s="41">
        <v>1417953.02</v>
      </c>
      <c r="I517" s="556" t="s">
        <v>3564</v>
      </c>
      <c r="J517" s="556" t="s">
        <v>3564</v>
      </c>
    </row>
    <row r="518" spans="1:10" s="5" customFormat="1" ht="24.75" customHeight="1" x14ac:dyDescent="0.2">
      <c r="A518" s="556" t="s">
        <v>2829</v>
      </c>
      <c r="B518" s="556" t="s">
        <v>3461</v>
      </c>
      <c r="C518" s="556" t="s">
        <v>5697</v>
      </c>
      <c r="D518" s="553"/>
      <c r="E518" s="553" t="s">
        <v>262</v>
      </c>
      <c r="F518" s="107">
        <v>50</v>
      </c>
      <c r="G518" s="556"/>
      <c r="H518" s="41"/>
      <c r="I518" s="556"/>
      <c r="J518" s="556"/>
    </row>
    <row r="519" spans="1:10" ht="22.5" customHeight="1" x14ac:dyDescent="0.2">
      <c r="A519" s="556" t="s">
        <v>2830</v>
      </c>
      <c r="B519" s="557" t="s">
        <v>5415</v>
      </c>
      <c r="C519" s="1293" t="s">
        <v>5698</v>
      </c>
      <c r="D519" s="1289" t="s">
        <v>5386</v>
      </c>
      <c r="E519" s="1333" t="s">
        <v>2337</v>
      </c>
      <c r="F519" s="56">
        <v>137.4</v>
      </c>
      <c r="G519" s="557"/>
      <c r="H519" s="1306">
        <v>825190.05</v>
      </c>
      <c r="I519" s="251" t="s">
        <v>8074</v>
      </c>
      <c r="J519" s="251" t="s">
        <v>8074</v>
      </c>
    </row>
    <row r="520" spans="1:10" ht="22.5" customHeight="1" x14ac:dyDescent="0.2">
      <c r="A520" s="17" t="s">
        <v>3605</v>
      </c>
      <c r="B520" s="557" t="s">
        <v>5416</v>
      </c>
      <c r="C520" s="1294"/>
      <c r="D520" s="1290"/>
      <c r="E520" s="1334"/>
      <c r="F520" s="56" t="s">
        <v>5418</v>
      </c>
      <c r="G520" s="557"/>
      <c r="H520" s="1307"/>
      <c r="I520" s="251" t="s">
        <v>8074</v>
      </c>
      <c r="J520" s="251" t="s">
        <v>8074</v>
      </c>
    </row>
    <row r="521" spans="1:10" ht="45" customHeight="1" x14ac:dyDescent="0.2">
      <c r="A521" s="17" t="s">
        <v>5417</v>
      </c>
      <c r="B521" s="557" t="s">
        <v>5420</v>
      </c>
      <c r="C521" s="1295"/>
      <c r="D521" s="1291"/>
      <c r="E521" s="1335"/>
      <c r="F521" s="56" t="s">
        <v>5419</v>
      </c>
      <c r="G521" s="557"/>
      <c r="H521" s="1308"/>
      <c r="I521" s="251" t="s">
        <v>8074</v>
      </c>
      <c r="J521" s="251" t="s">
        <v>8074</v>
      </c>
    </row>
    <row r="522" spans="1:10" ht="44.25" customHeight="1" x14ac:dyDescent="0.2">
      <c r="A522" s="556" t="s">
        <v>2831</v>
      </c>
      <c r="B522" s="557" t="s">
        <v>3460</v>
      </c>
      <c r="C522" s="557" t="s">
        <v>5699</v>
      </c>
      <c r="D522" s="553" t="s">
        <v>5387</v>
      </c>
      <c r="E522" s="345" t="s">
        <v>2338</v>
      </c>
      <c r="F522" s="56">
        <v>786.2</v>
      </c>
      <c r="G522" s="557"/>
      <c r="H522" s="21">
        <v>6732222.7400000002</v>
      </c>
      <c r="I522" s="251" t="s">
        <v>8074</v>
      </c>
      <c r="J522" s="251" t="s">
        <v>8074</v>
      </c>
    </row>
    <row r="523" spans="1:10" s="5" customFormat="1" ht="22.5" customHeight="1" x14ac:dyDescent="0.2">
      <c r="A523" s="556" t="s">
        <v>3606</v>
      </c>
      <c r="B523" s="556" t="s">
        <v>11</v>
      </c>
      <c r="C523" s="556" t="s">
        <v>5572</v>
      </c>
      <c r="D523" s="553" t="s">
        <v>9457</v>
      </c>
      <c r="E523" s="553" t="s">
        <v>2339</v>
      </c>
      <c r="F523" s="107">
        <v>18.600000000000001</v>
      </c>
      <c r="G523" s="556">
        <v>1995</v>
      </c>
      <c r="H523" s="41">
        <v>257498.03</v>
      </c>
      <c r="I523" s="11" t="s">
        <v>6354</v>
      </c>
      <c r="J523" s="11" t="s">
        <v>6354</v>
      </c>
    </row>
    <row r="524" spans="1:10" s="5" customFormat="1" ht="24" customHeight="1" x14ac:dyDescent="0.2">
      <c r="A524" s="556" t="s">
        <v>9456</v>
      </c>
      <c r="B524" s="556" t="s">
        <v>9458</v>
      </c>
      <c r="C524" s="556" t="s">
        <v>5572</v>
      </c>
      <c r="D524" s="553" t="s">
        <v>9462</v>
      </c>
      <c r="E524" s="553" t="s">
        <v>2339</v>
      </c>
      <c r="F524" s="107">
        <v>15</v>
      </c>
      <c r="G524" s="556" t="s">
        <v>3563</v>
      </c>
      <c r="H524" s="41">
        <v>207659.7</v>
      </c>
      <c r="I524" s="11" t="s">
        <v>6354</v>
      </c>
      <c r="J524" s="11" t="s">
        <v>6354</v>
      </c>
    </row>
    <row r="525" spans="1:10" ht="30" customHeight="1" x14ac:dyDescent="0.2">
      <c r="A525" s="733" t="s">
        <v>3607</v>
      </c>
      <c r="B525" s="733" t="s">
        <v>9614</v>
      </c>
      <c r="C525" s="733" t="s">
        <v>9615</v>
      </c>
      <c r="D525" s="731" t="s">
        <v>7744</v>
      </c>
      <c r="E525" s="731" t="s">
        <v>7657</v>
      </c>
      <c r="F525" s="107">
        <v>17.3</v>
      </c>
      <c r="G525" s="733" t="s">
        <v>3110</v>
      </c>
      <c r="H525" s="41">
        <v>212708.34</v>
      </c>
      <c r="I525" s="734" t="s">
        <v>13204</v>
      </c>
      <c r="J525" s="734" t="s">
        <v>13204</v>
      </c>
    </row>
    <row r="526" spans="1:10" s="57" customFormat="1" ht="30.75" customHeight="1" x14ac:dyDescent="0.2">
      <c r="A526" s="733" t="s">
        <v>2832</v>
      </c>
      <c r="B526" s="733" t="s">
        <v>7656</v>
      </c>
      <c r="C526" s="733" t="s">
        <v>6213</v>
      </c>
      <c r="D526" s="731" t="s">
        <v>7743</v>
      </c>
      <c r="E526" s="731" t="s">
        <v>3777</v>
      </c>
      <c r="F526" s="107">
        <v>83.5</v>
      </c>
      <c r="G526" s="733" t="s">
        <v>3557</v>
      </c>
      <c r="H526" s="41">
        <v>1026655.88</v>
      </c>
      <c r="I526" s="734" t="s">
        <v>13204</v>
      </c>
      <c r="J526" s="734" t="s">
        <v>13204</v>
      </c>
    </row>
    <row r="527" spans="1:10" s="57" customFormat="1" ht="38.25" customHeight="1" x14ac:dyDescent="0.2">
      <c r="A527" s="710" t="s">
        <v>4153</v>
      </c>
      <c r="B527" s="63" t="s">
        <v>281</v>
      </c>
      <c r="C527" s="710" t="s">
        <v>10706</v>
      </c>
      <c r="D527" s="12" t="s">
        <v>10707</v>
      </c>
      <c r="E527" s="711" t="s">
        <v>5401</v>
      </c>
      <c r="F527" s="107">
        <v>41</v>
      </c>
      <c r="G527" s="710" t="s">
        <v>2700</v>
      </c>
      <c r="H527" s="41">
        <v>8428.3700000000008</v>
      </c>
      <c r="I527" s="711"/>
      <c r="J527" s="32"/>
    </row>
    <row r="528" spans="1:10" s="57" customFormat="1" ht="58.5" customHeight="1" x14ac:dyDescent="0.2">
      <c r="A528" s="733" t="s">
        <v>4154</v>
      </c>
      <c r="B528" s="63" t="s">
        <v>281</v>
      </c>
      <c r="C528" s="733" t="s">
        <v>10706</v>
      </c>
      <c r="D528" s="12" t="s">
        <v>10708</v>
      </c>
      <c r="E528" s="731" t="s">
        <v>10709</v>
      </c>
      <c r="F528" s="107">
        <f>71</f>
        <v>71</v>
      </c>
      <c r="G528" s="733" t="s">
        <v>2700</v>
      </c>
      <c r="H528" s="1312">
        <v>2688202.04</v>
      </c>
      <c r="I528" s="731" t="s">
        <v>13431</v>
      </c>
      <c r="J528" s="32" t="s">
        <v>13432</v>
      </c>
    </row>
    <row r="529" spans="1:10" s="57" customFormat="1" ht="34.5" customHeight="1" x14ac:dyDescent="0.2">
      <c r="A529" s="710" t="s">
        <v>13430</v>
      </c>
      <c r="B529" s="63" t="s">
        <v>281</v>
      </c>
      <c r="C529" s="710" t="s">
        <v>10706</v>
      </c>
      <c r="D529" s="12" t="s">
        <v>10708</v>
      </c>
      <c r="E529" s="711" t="s">
        <v>10709</v>
      </c>
      <c r="F529" s="107">
        <f>181.6</f>
        <v>181.6</v>
      </c>
      <c r="G529" s="710" t="s">
        <v>2700</v>
      </c>
      <c r="H529" s="1313"/>
      <c r="I529" s="711" t="s">
        <v>9441</v>
      </c>
      <c r="J529" s="32" t="s">
        <v>11928</v>
      </c>
    </row>
    <row r="530" spans="1:10" ht="34.5" customHeight="1" x14ac:dyDescent="0.2">
      <c r="A530" s="556" t="s">
        <v>2833</v>
      </c>
      <c r="B530" s="556" t="s">
        <v>7730</v>
      </c>
      <c r="C530" s="556" t="s">
        <v>7729</v>
      </c>
      <c r="D530" s="553" t="s">
        <v>6592</v>
      </c>
      <c r="E530" s="553" t="s">
        <v>302</v>
      </c>
      <c r="F530" s="107">
        <v>558.1</v>
      </c>
      <c r="G530" s="556">
        <v>1969</v>
      </c>
      <c r="H530" s="41">
        <v>14100000</v>
      </c>
      <c r="I530" s="556" t="s">
        <v>7923</v>
      </c>
      <c r="J530" s="556" t="s">
        <v>7923</v>
      </c>
    </row>
    <row r="531" spans="1:10" s="57" customFormat="1" ht="57" customHeight="1" x14ac:dyDescent="0.2">
      <c r="A531" s="556" t="s">
        <v>2834</v>
      </c>
      <c r="B531" s="556" t="s">
        <v>2009</v>
      </c>
      <c r="C531" s="556" t="s">
        <v>5677</v>
      </c>
      <c r="D531" s="553"/>
      <c r="E531" s="553"/>
      <c r="F531" s="107"/>
      <c r="G531" s="556">
        <v>2008</v>
      </c>
      <c r="H531" s="41"/>
      <c r="I531" s="188" t="s">
        <v>8194</v>
      </c>
      <c r="J531" s="188" t="s">
        <v>8194</v>
      </c>
    </row>
    <row r="532" spans="1:10" s="57" customFormat="1" ht="46.5" customHeight="1" x14ac:dyDescent="0.2">
      <c r="A532" s="556" t="s">
        <v>2835</v>
      </c>
      <c r="B532" s="556" t="s">
        <v>7727</v>
      </c>
      <c r="C532" s="556" t="s">
        <v>7728</v>
      </c>
      <c r="D532" s="553" t="s">
        <v>7893</v>
      </c>
      <c r="E532" s="553"/>
      <c r="F532" s="107">
        <v>161.69999999999999</v>
      </c>
      <c r="G532" s="556" t="s">
        <v>3408</v>
      </c>
      <c r="H532" s="41"/>
      <c r="I532" s="556" t="s">
        <v>87</v>
      </c>
      <c r="J532" s="556" t="s">
        <v>87</v>
      </c>
    </row>
    <row r="533" spans="1:10" s="57" customFormat="1" ht="47.25" customHeight="1" x14ac:dyDescent="0.2">
      <c r="A533" s="556" t="s">
        <v>2836</v>
      </c>
      <c r="B533" s="556" t="s">
        <v>470</v>
      </c>
      <c r="C533" s="556" t="s">
        <v>7661</v>
      </c>
      <c r="D533" s="553" t="s">
        <v>7662</v>
      </c>
      <c r="E533" s="553"/>
      <c r="F533" s="107">
        <v>99.8</v>
      </c>
      <c r="G533" s="556">
        <v>2008</v>
      </c>
      <c r="H533" s="41">
        <v>548805.18999999994</v>
      </c>
      <c r="I533" s="556" t="s">
        <v>469</v>
      </c>
      <c r="J533" s="556" t="s">
        <v>469</v>
      </c>
    </row>
    <row r="534" spans="1:10" s="57" customFormat="1" ht="45.75" customHeight="1" x14ac:dyDescent="0.2">
      <c r="A534" s="556" t="s">
        <v>2837</v>
      </c>
      <c r="B534" s="556" t="s">
        <v>2009</v>
      </c>
      <c r="C534" s="556" t="s">
        <v>5677</v>
      </c>
      <c r="D534" s="553" t="s">
        <v>5388</v>
      </c>
      <c r="E534" s="553" t="s">
        <v>3313</v>
      </c>
      <c r="F534" s="107">
        <v>51.2</v>
      </c>
      <c r="G534" s="556">
        <v>2007</v>
      </c>
      <c r="H534" s="41"/>
      <c r="I534" s="556" t="s">
        <v>479</v>
      </c>
      <c r="J534" s="188" t="s">
        <v>8280</v>
      </c>
    </row>
    <row r="535" spans="1:10" s="247" customFormat="1" ht="39" customHeight="1" x14ac:dyDescent="0.2">
      <c r="A535" s="557" t="s">
        <v>2838</v>
      </c>
      <c r="B535" s="557" t="s">
        <v>3458</v>
      </c>
      <c r="C535" s="557" t="s">
        <v>6571</v>
      </c>
      <c r="D535" s="94" t="s">
        <v>7660</v>
      </c>
      <c r="E535" s="131" t="s">
        <v>302</v>
      </c>
      <c r="F535" s="369">
        <f>707.3</f>
        <v>707.3</v>
      </c>
      <c r="G535" s="557">
        <v>2009</v>
      </c>
      <c r="H535" s="41">
        <v>145399.66</v>
      </c>
      <c r="I535" s="217" t="s">
        <v>8976</v>
      </c>
      <c r="J535" s="217" t="s">
        <v>8976</v>
      </c>
    </row>
    <row r="536" spans="1:10" s="57" customFormat="1" ht="45.75" customHeight="1" x14ac:dyDescent="0.2">
      <c r="A536" s="556" t="s">
        <v>2839</v>
      </c>
      <c r="B536" s="556" t="s">
        <v>480</v>
      </c>
      <c r="C536" s="556" t="s">
        <v>5677</v>
      </c>
      <c r="D536" s="553" t="s">
        <v>6363</v>
      </c>
      <c r="E536" s="553" t="s">
        <v>2257</v>
      </c>
      <c r="F536" s="107">
        <v>27.1</v>
      </c>
      <c r="G536" s="556">
        <v>2007</v>
      </c>
      <c r="H536" s="41"/>
      <c r="I536" s="556" t="s">
        <v>479</v>
      </c>
      <c r="J536" s="188" t="s">
        <v>8280</v>
      </c>
    </row>
    <row r="537" spans="1:10" s="57" customFormat="1" ht="39" customHeight="1" x14ac:dyDescent="0.2">
      <c r="A537" s="733" t="s">
        <v>2840</v>
      </c>
      <c r="B537" s="733" t="s">
        <v>11</v>
      </c>
      <c r="C537" s="733" t="s">
        <v>6264</v>
      </c>
      <c r="D537" s="736" t="s">
        <v>5389</v>
      </c>
      <c r="E537" s="731" t="s">
        <v>60</v>
      </c>
      <c r="F537" s="193">
        <v>997</v>
      </c>
      <c r="G537" s="733" t="s">
        <v>3104</v>
      </c>
      <c r="H537" s="174">
        <v>6112188.2599999998</v>
      </c>
      <c r="I537" s="734" t="s">
        <v>11622</v>
      </c>
      <c r="J537" s="30" t="s">
        <v>13205</v>
      </c>
    </row>
    <row r="538" spans="1:10" ht="26.25" customHeight="1" x14ac:dyDescent="0.2">
      <c r="A538" s="557" t="s">
        <v>2841</v>
      </c>
      <c r="B538" s="557" t="s">
        <v>465</v>
      </c>
      <c r="C538" s="557" t="s">
        <v>5678</v>
      </c>
      <c r="D538" s="563" t="s">
        <v>5541</v>
      </c>
      <c r="E538" s="553" t="s">
        <v>60</v>
      </c>
      <c r="F538" s="56">
        <f>140.4-50</f>
        <v>90.4</v>
      </c>
      <c r="G538" s="557" t="s">
        <v>6226</v>
      </c>
      <c r="H538" s="21">
        <v>28862.03</v>
      </c>
      <c r="I538" s="104" t="s">
        <v>5161</v>
      </c>
      <c r="J538" s="104" t="s">
        <v>5161</v>
      </c>
    </row>
    <row r="539" spans="1:10" ht="45" customHeight="1" x14ac:dyDescent="0.2">
      <c r="A539" s="733" t="s">
        <v>4769</v>
      </c>
      <c r="B539" s="134" t="s">
        <v>5542</v>
      </c>
      <c r="C539" s="137" t="s">
        <v>5679</v>
      </c>
      <c r="D539" s="18"/>
      <c r="E539" s="731" t="s">
        <v>5543</v>
      </c>
      <c r="F539" s="163">
        <v>50</v>
      </c>
      <c r="G539" s="734" t="s">
        <v>6226</v>
      </c>
      <c r="H539" s="120"/>
      <c r="I539" s="102" t="s">
        <v>3623</v>
      </c>
      <c r="J539" s="102" t="s">
        <v>13156</v>
      </c>
    </row>
    <row r="540" spans="1:10" ht="22.5" customHeight="1" x14ac:dyDescent="0.2">
      <c r="A540" s="557" t="s">
        <v>2842</v>
      </c>
      <c r="B540" s="557" t="s">
        <v>325</v>
      </c>
      <c r="C540" s="557" t="s">
        <v>5702</v>
      </c>
      <c r="D540" s="553"/>
      <c r="E540" s="345" t="s">
        <v>2861</v>
      </c>
      <c r="F540" s="56"/>
      <c r="G540" s="557">
        <v>2011</v>
      </c>
      <c r="H540" s="21"/>
      <c r="I540" s="557"/>
      <c r="J540" s="557"/>
    </row>
    <row r="541" spans="1:10" s="57" customFormat="1" ht="24.75" customHeight="1" x14ac:dyDescent="0.2">
      <c r="A541" s="556" t="s">
        <v>2843</v>
      </c>
      <c r="B541" s="556" t="s">
        <v>3277</v>
      </c>
      <c r="C541" s="553" t="s">
        <v>5730</v>
      </c>
      <c r="D541" s="553" t="s">
        <v>9878</v>
      </c>
      <c r="E541" s="553" t="s">
        <v>362</v>
      </c>
      <c r="F541" s="107">
        <v>171.1</v>
      </c>
      <c r="G541" s="556"/>
      <c r="H541" s="41">
        <v>644393.4</v>
      </c>
      <c r="I541" s="556" t="s">
        <v>3788</v>
      </c>
      <c r="J541" s="556" t="s">
        <v>3788</v>
      </c>
    </row>
    <row r="542" spans="1:10" s="57" customFormat="1" ht="28.5" customHeight="1" x14ac:dyDescent="0.2">
      <c r="A542" s="556" t="s">
        <v>4770</v>
      </c>
      <c r="B542" s="556" t="s">
        <v>3278</v>
      </c>
      <c r="C542" s="553" t="s">
        <v>5730</v>
      </c>
      <c r="D542" s="553" t="s">
        <v>9876</v>
      </c>
      <c r="E542" s="553" t="s">
        <v>362</v>
      </c>
      <c r="F542" s="107">
        <v>287.3</v>
      </c>
      <c r="G542" s="556"/>
      <c r="H542" s="41">
        <v>213165.79</v>
      </c>
      <c r="I542" s="556" t="s">
        <v>3788</v>
      </c>
      <c r="J542" s="556" t="s">
        <v>3788</v>
      </c>
    </row>
    <row r="543" spans="1:10" s="57" customFormat="1" ht="22.5" customHeight="1" x14ac:dyDescent="0.2">
      <c r="A543" s="556" t="s">
        <v>2844</v>
      </c>
      <c r="B543" s="556" t="s">
        <v>3279</v>
      </c>
      <c r="C543" s="556" t="s">
        <v>5730</v>
      </c>
      <c r="D543" s="1296" t="s">
        <v>9877</v>
      </c>
      <c r="E543" s="553" t="s">
        <v>362</v>
      </c>
      <c r="F543" s="107">
        <f>450.1-171.1</f>
        <v>279</v>
      </c>
      <c r="G543" s="556"/>
      <c r="H543" s="41">
        <v>1082023.51</v>
      </c>
      <c r="I543" s="556"/>
      <c r="J543" s="556"/>
    </row>
    <row r="544" spans="1:10" s="57" customFormat="1" ht="22.5" customHeight="1" x14ac:dyDescent="0.2">
      <c r="A544" s="556" t="s">
        <v>4771</v>
      </c>
      <c r="B544" s="556" t="s">
        <v>3789</v>
      </c>
      <c r="C544" s="553" t="s">
        <v>5730</v>
      </c>
      <c r="D544" s="1297"/>
      <c r="E544" s="553" t="s">
        <v>362</v>
      </c>
      <c r="F544" s="107">
        <v>171.1</v>
      </c>
      <c r="G544" s="556"/>
      <c r="H544" s="41">
        <v>1695157.62</v>
      </c>
      <c r="I544" s="556" t="s">
        <v>3788</v>
      </c>
      <c r="J544" s="556" t="s">
        <v>3788</v>
      </c>
    </row>
    <row r="545" spans="1:10" s="57" customFormat="1" ht="24.75" customHeight="1" x14ac:dyDescent="0.2">
      <c r="A545" s="556" t="s">
        <v>2845</v>
      </c>
      <c r="B545" s="556" t="s">
        <v>5266</v>
      </c>
      <c r="C545" s="553" t="s">
        <v>5729</v>
      </c>
      <c r="D545" s="553"/>
      <c r="E545" s="553" t="s">
        <v>466</v>
      </c>
      <c r="F545" s="107">
        <v>12</v>
      </c>
      <c r="G545" s="556"/>
      <c r="H545" s="41"/>
      <c r="I545" s="556" t="s">
        <v>3741</v>
      </c>
      <c r="J545" s="556"/>
    </row>
    <row r="546" spans="1:10" s="5" customFormat="1" ht="23.25" customHeight="1" x14ac:dyDescent="0.2">
      <c r="A546" s="12" t="s">
        <v>2846</v>
      </c>
      <c r="B546" s="12" t="s">
        <v>2855</v>
      </c>
      <c r="C546" s="12" t="s">
        <v>23</v>
      </c>
      <c r="D546" s="12" t="s">
        <v>5391</v>
      </c>
      <c r="E546" s="12" t="s">
        <v>2257</v>
      </c>
      <c r="F546" s="172">
        <v>285.60000000000002</v>
      </c>
      <c r="G546" s="12"/>
      <c r="H546" s="144">
        <v>1978725.34</v>
      </c>
      <c r="I546" s="12"/>
      <c r="J546" s="12"/>
    </row>
    <row r="547" spans="1:10" s="19" customFormat="1" ht="36" customHeight="1" x14ac:dyDescent="0.2">
      <c r="A547" s="199" t="s">
        <v>2847</v>
      </c>
      <c r="B547" s="199" t="s">
        <v>6262</v>
      </c>
      <c r="C547" s="199" t="s">
        <v>6260</v>
      </c>
      <c r="D547" s="12" t="s">
        <v>9604</v>
      </c>
      <c r="E547" s="199" t="s">
        <v>3742</v>
      </c>
      <c r="F547" s="370">
        <f>3*6</f>
        <v>18</v>
      </c>
      <c r="G547" s="96" t="s">
        <v>461</v>
      </c>
      <c r="H547" s="548">
        <v>465116.22</v>
      </c>
      <c r="I547" s="544" t="s">
        <v>7927</v>
      </c>
      <c r="J547" s="544" t="s">
        <v>7927</v>
      </c>
    </row>
    <row r="548" spans="1:10" s="14" customFormat="1" ht="48.75" customHeight="1" x14ac:dyDescent="0.2">
      <c r="A548" s="544" t="s">
        <v>2848</v>
      </c>
      <c r="B548" s="550" t="s">
        <v>5242</v>
      </c>
      <c r="C548" s="544" t="s">
        <v>5494</v>
      </c>
      <c r="D548" s="214"/>
      <c r="E548" s="12" t="s">
        <v>5495</v>
      </c>
      <c r="F548" s="548">
        <v>32.119999999999997</v>
      </c>
      <c r="G548" s="551" t="s">
        <v>4182</v>
      </c>
      <c r="H548" s="214"/>
      <c r="I548" s="556" t="s">
        <v>477</v>
      </c>
      <c r="J548" s="556" t="s">
        <v>477</v>
      </c>
    </row>
    <row r="549" spans="1:10" ht="47.25" customHeight="1" x14ac:dyDescent="0.2">
      <c r="A549" s="550" t="s">
        <v>2849</v>
      </c>
      <c r="B549" s="550" t="s">
        <v>5243</v>
      </c>
      <c r="C549" s="544" t="s">
        <v>0</v>
      </c>
      <c r="D549" s="214"/>
      <c r="E549" s="12" t="s">
        <v>5496</v>
      </c>
      <c r="F549" s="548">
        <v>32.119999999999997</v>
      </c>
      <c r="G549" s="551" t="s">
        <v>4182</v>
      </c>
      <c r="H549" s="214"/>
      <c r="I549" s="544" t="s">
        <v>8</v>
      </c>
      <c r="J549" s="544" t="s">
        <v>8</v>
      </c>
    </row>
    <row r="550" spans="1:10" ht="33.75" customHeight="1" x14ac:dyDescent="0.2">
      <c r="A550" s="100" t="s">
        <v>2850</v>
      </c>
      <c r="B550" s="100" t="s">
        <v>5594</v>
      </c>
      <c r="C550" s="23" t="s">
        <v>3970</v>
      </c>
      <c r="D550" s="94" t="s">
        <v>3974</v>
      </c>
      <c r="E550" s="100"/>
      <c r="F550" s="171"/>
      <c r="G550" s="8"/>
      <c r="H550" s="20"/>
      <c r="I550" s="251" t="s">
        <v>8074</v>
      </c>
      <c r="J550" s="251" t="s">
        <v>8074</v>
      </c>
    </row>
    <row r="551" spans="1:10" ht="25.5" customHeight="1" x14ac:dyDescent="0.2">
      <c r="A551" s="8" t="s">
        <v>4772</v>
      </c>
      <c r="B551" s="8" t="s">
        <v>3975</v>
      </c>
      <c r="C551" s="23" t="s">
        <v>3970</v>
      </c>
      <c r="D551" s="94" t="s">
        <v>3974</v>
      </c>
      <c r="E551" s="8" t="s">
        <v>3986</v>
      </c>
      <c r="F551" s="149">
        <v>1959.5</v>
      </c>
      <c r="G551" s="8"/>
      <c r="H551" s="20"/>
      <c r="I551" s="251" t="s">
        <v>8074</v>
      </c>
      <c r="J551" s="251" t="s">
        <v>8074</v>
      </c>
    </row>
    <row r="552" spans="1:10" ht="24.75" customHeight="1" x14ac:dyDescent="0.2">
      <c r="A552" s="8" t="s">
        <v>4773</v>
      </c>
      <c r="B552" s="8" t="s">
        <v>3983</v>
      </c>
      <c r="C552" s="23" t="s">
        <v>3970</v>
      </c>
      <c r="D552" s="94" t="s">
        <v>3974</v>
      </c>
      <c r="E552" s="8" t="s">
        <v>3987</v>
      </c>
      <c r="F552" s="149">
        <v>40.200000000000003</v>
      </c>
      <c r="G552" s="8"/>
      <c r="H552" s="20"/>
      <c r="I552" s="251" t="s">
        <v>8074</v>
      </c>
      <c r="J552" s="251" t="s">
        <v>8074</v>
      </c>
    </row>
    <row r="553" spans="1:10" ht="25.5" customHeight="1" x14ac:dyDescent="0.2">
      <c r="A553" s="8" t="s">
        <v>4774</v>
      </c>
      <c r="B553" s="8" t="s">
        <v>3982</v>
      </c>
      <c r="C553" s="23" t="s">
        <v>3970</v>
      </c>
      <c r="D553" s="94" t="s">
        <v>3974</v>
      </c>
      <c r="E553" s="8" t="s">
        <v>3729</v>
      </c>
      <c r="F553" s="149">
        <v>476.9</v>
      </c>
      <c r="G553" s="8"/>
      <c r="H553" s="20"/>
      <c r="I553" s="251" t="s">
        <v>8074</v>
      </c>
      <c r="J553" s="251" t="s">
        <v>8074</v>
      </c>
    </row>
    <row r="554" spans="1:10" ht="24.75" customHeight="1" x14ac:dyDescent="0.2">
      <c r="A554" s="8" t="s">
        <v>4775</v>
      </c>
      <c r="B554" s="8" t="s">
        <v>3984</v>
      </c>
      <c r="C554" s="23" t="s">
        <v>3970</v>
      </c>
      <c r="D554" s="94" t="s">
        <v>3974</v>
      </c>
      <c r="E554" s="8" t="s">
        <v>3729</v>
      </c>
      <c r="F554" s="149">
        <v>144.19999999999999</v>
      </c>
      <c r="G554" s="8"/>
      <c r="H554" s="20"/>
      <c r="I554" s="251" t="s">
        <v>8074</v>
      </c>
      <c r="J554" s="251" t="s">
        <v>8074</v>
      </c>
    </row>
    <row r="555" spans="1:10" ht="26.25" customHeight="1" x14ac:dyDescent="0.2">
      <c r="A555" s="8" t="s">
        <v>4776</v>
      </c>
      <c r="B555" s="12" t="s">
        <v>3985</v>
      </c>
      <c r="C555" s="23" t="s">
        <v>3970</v>
      </c>
      <c r="D555" s="94" t="s">
        <v>3974</v>
      </c>
      <c r="E555" s="8" t="s">
        <v>3987</v>
      </c>
      <c r="F555" s="149">
        <v>2682</v>
      </c>
      <c r="G555" s="8"/>
      <c r="H555" s="20"/>
      <c r="I555" s="251" t="s">
        <v>8074</v>
      </c>
      <c r="J555" s="251" t="s">
        <v>8074</v>
      </c>
    </row>
    <row r="556" spans="1:10" ht="24.75" customHeight="1" x14ac:dyDescent="0.2">
      <c r="A556" s="8" t="s">
        <v>4777</v>
      </c>
      <c r="B556" s="199" t="s">
        <v>4496</v>
      </c>
      <c r="C556" s="23" t="s">
        <v>3970</v>
      </c>
      <c r="D556" s="94" t="s">
        <v>3974</v>
      </c>
      <c r="E556" s="8" t="s">
        <v>3729</v>
      </c>
      <c r="F556" s="149">
        <v>110.8</v>
      </c>
      <c r="G556" s="8"/>
      <c r="H556" s="20"/>
      <c r="I556" s="17" t="s">
        <v>5439</v>
      </c>
      <c r="J556" s="17" t="s">
        <v>5439</v>
      </c>
    </row>
    <row r="557" spans="1:10" ht="32.25" customHeight="1" x14ac:dyDescent="0.2">
      <c r="A557" s="8" t="s">
        <v>4778</v>
      </c>
      <c r="B557" s="199" t="s">
        <v>4559</v>
      </c>
      <c r="C557" s="23" t="s">
        <v>13852</v>
      </c>
      <c r="D557" s="94" t="s">
        <v>14122</v>
      </c>
      <c r="E557" s="8" t="s">
        <v>3987</v>
      </c>
      <c r="F557" s="149">
        <v>20.9</v>
      </c>
      <c r="G557" s="8" t="s">
        <v>2711</v>
      </c>
      <c r="H557" s="77">
        <v>200051.04</v>
      </c>
      <c r="I557" s="556" t="s">
        <v>13820</v>
      </c>
      <c r="J557" s="810" t="s">
        <v>13820</v>
      </c>
    </row>
    <row r="558" spans="1:10" ht="26.25" customHeight="1" x14ac:dyDescent="0.2">
      <c r="A558" s="8" t="s">
        <v>2851</v>
      </c>
      <c r="B558" s="8" t="s">
        <v>13854</v>
      </c>
      <c r="C558" s="8" t="s">
        <v>3957</v>
      </c>
      <c r="D558" s="553" t="s">
        <v>5392</v>
      </c>
      <c r="E558" s="8" t="s">
        <v>3958</v>
      </c>
      <c r="F558" s="149">
        <v>362.7</v>
      </c>
      <c r="G558" s="8" t="s">
        <v>161</v>
      </c>
      <c r="H558" s="77">
        <v>1365993.49</v>
      </c>
      <c r="I558" s="810" t="s">
        <v>13820</v>
      </c>
      <c r="J558" s="810" t="s">
        <v>13820</v>
      </c>
    </row>
    <row r="559" spans="1:10" ht="24.75" customHeight="1" x14ac:dyDescent="0.2">
      <c r="A559" s="550" t="s">
        <v>4122</v>
      </c>
      <c r="B559" s="550" t="s">
        <v>3972</v>
      </c>
      <c r="C559" s="550" t="s">
        <v>3973</v>
      </c>
      <c r="D559" s="553" t="s">
        <v>5393</v>
      </c>
      <c r="E559" s="12" t="s">
        <v>3960</v>
      </c>
      <c r="F559" s="172">
        <v>129.6</v>
      </c>
      <c r="G559" s="12" t="s">
        <v>13853</v>
      </c>
      <c r="H559" s="144">
        <v>1240507.8700000001</v>
      </c>
      <c r="I559" s="810" t="s">
        <v>13820</v>
      </c>
      <c r="J559" s="810" t="s">
        <v>13820</v>
      </c>
    </row>
    <row r="560" spans="1:10" s="801" customFormat="1" ht="32.25" customHeight="1" x14ac:dyDescent="0.2">
      <c r="A560" s="846" t="s">
        <v>14123</v>
      </c>
      <c r="B560" s="846" t="s">
        <v>14125</v>
      </c>
      <c r="C560" s="846" t="s">
        <v>14124</v>
      </c>
      <c r="D560" s="845" t="s">
        <v>14126</v>
      </c>
      <c r="E560" s="804"/>
      <c r="F560" s="172" t="s">
        <v>14127</v>
      </c>
      <c r="G560" s="804"/>
      <c r="H560" s="144"/>
      <c r="I560" s="847" t="s">
        <v>13820</v>
      </c>
      <c r="J560" s="847" t="s">
        <v>13820</v>
      </c>
    </row>
    <row r="561" spans="1:10" ht="25.5" customHeight="1" x14ac:dyDescent="0.2">
      <c r="A561" s="8" t="s">
        <v>4005</v>
      </c>
      <c r="B561" s="8" t="s">
        <v>3971</v>
      </c>
      <c r="C561" s="8" t="s">
        <v>3970</v>
      </c>
      <c r="D561" s="553" t="s">
        <v>5394</v>
      </c>
      <c r="E561" s="8" t="s">
        <v>3960</v>
      </c>
      <c r="F561" s="149">
        <v>138.9</v>
      </c>
      <c r="G561" s="8"/>
      <c r="H561" s="77">
        <v>1329525.8</v>
      </c>
      <c r="I561" s="251" t="s">
        <v>8074</v>
      </c>
      <c r="J561" s="251" t="s">
        <v>8074</v>
      </c>
    </row>
    <row r="562" spans="1:10" ht="26.25" customHeight="1" x14ac:dyDescent="0.2">
      <c r="A562" s="8" t="s">
        <v>4006</v>
      </c>
      <c r="B562" s="8" t="s">
        <v>3961</v>
      </c>
      <c r="C562" s="8" t="s">
        <v>3957</v>
      </c>
      <c r="D562" s="553" t="s">
        <v>5395</v>
      </c>
      <c r="E562" s="8" t="s">
        <v>3960</v>
      </c>
      <c r="F562" s="149">
        <v>80.099999999999994</v>
      </c>
      <c r="G562" s="8"/>
      <c r="H562" s="77">
        <v>301671.02</v>
      </c>
      <c r="I562" s="17" t="s">
        <v>9618</v>
      </c>
      <c r="J562" s="17" t="s">
        <v>9618</v>
      </c>
    </row>
    <row r="563" spans="1:10" ht="26.25" customHeight="1" x14ac:dyDescent="0.2">
      <c r="A563" s="8" t="s">
        <v>4007</v>
      </c>
      <c r="B563" s="23" t="s">
        <v>3962</v>
      </c>
      <c r="C563" s="8" t="s">
        <v>3957</v>
      </c>
      <c r="D563" s="553" t="s">
        <v>5396</v>
      </c>
      <c r="E563" s="8" t="s">
        <v>3960</v>
      </c>
      <c r="F563" s="149">
        <v>16.8</v>
      </c>
      <c r="G563" s="8"/>
      <c r="H563" s="77">
        <v>63271.82</v>
      </c>
      <c r="I563" s="8" t="s">
        <v>9605</v>
      </c>
      <c r="J563" s="584" t="s">
        <v>12012</v>
      </c>
    </row>
    <row r="564" spans="1:10" ht="26.25" customHeight="1" x14ac:dyDescent="0.2">
      <c r="A564" s="8" t="s">
        <v>4008</v>
      </c>
      <c r="B564" s="23" t="s">
        <v>3961</v>
      </c>
      <c r="C564" s="8" t="s">
        <v>3957</v>
      </c>
      <c r="D564" s="553" t="s">
        <v>9144</v>
      </c>
      <c r="E564" s="8" t="s">
        <v>3960</v>
      </c>
      <c r="F564" s="196">
        <v>88.8</v>
      </c>
      <c r="G564" s="23"/>
      <c r="H564" s="395">
        <v>334436.78000000003</v>
      </c>
      <c r="I564" s="251" t="s">
        <v>8074</v>
      </c>
      <c r="J564" s="251" t="s">
        <v>8074</v>
      </c>
    </row>
    <row r="565" spans="1:10" ht="27" customHeight="1" x14ac:dyDescent="0.2">
      <c r="A565" s="8" t="s">
        <v>4009</v>
      </c>
      <c r="B565" s="8" t="s">
        <v>321</v>
      </c>
      <c r="C565" s="8" t="s">
        <v>3957</v>
      </c>
      <c r="D565" s="553" t="s">
        <v>5397</v>
      </c>
      <c r="E565" s="8" t="s">
        <v>3960</v>
      </c>
      <c r="F565" s="149">
        <v>88.7</v>
      </c>
      <c r="G565" s="8"/>
      <c r="H565" s="77">
        <v>334060.17</v>
      </c>
      <c r="I565" s="8" t="s">
        <v>9605</v>
      </c>
      <c r="J565" s="584" t="s">
        <v>12012</v>
      </c>
    </row>
    <row r="566" spans="1:10" ht="24.75" customHeight="1" x14ac:dyDescent="0.2">
      <c r="A566" s="8" t="s">
        <v>4010</v>
      </c>
      <c r="B566" s="8" t="s">
        <v>3955</v>
      </c>
      <c r="C566" s="8" t="s">
        <v>3957</v>
      </c>
      <c r="D566" s="553" t="s">
        <v>5398</v>
      </c>
      <c r="E566" s="8" t="s">
        <v>3958</v>
      </c>
      <c r="F566" s="149">
        <v>336.6</v>
      </c>
      <c r="G566" s="8"/>
      <c r="H566" s="77">
        <v>1267696.19</v>
      </c>
      <c r="I566" s="8" t="s">
        <v>9605</v>
      </c>
      <c r="J566" s="584" t="s">
        <v>12012</v>
      </c>
    </row>
    <row r="567" spans="1:10" ht="25.5" customHeight="1" x14ac:dyDescent="0.2">
      <c r="A567" s="8" t="s">
        <v>4011</v>
      </c>
      <c r="B567" s="147" t="s">
        <v>5595</v>
      </c>
      <c r="C567" s="23" t="s">
        <v>4155</v>
      </c>
      <c r="D567" s="199" t="s">
        <v>4245</v>
      </c>
      <c r="E567" s="100"/>
      <c r="F567" s="197"/>
      <c r="G567" s="8"/>
      <c r="H567" s="20"/>
      <c r="I567" s="251" t="s">
        <v>8074</v>
      </c>
      <c r="J567" s="251" t="s">
        <v>8074</v>
      </c>
    </row>
    <row r="568" spans="1:10" ht="24.75" customHeight="1" x14ac:dyDescent="0.2">
      <c r="A568" s="8" t="s">
        <v>4492</v>
      </c>
      <c r="B568" s="23" t="s">
        <v>4242</v>
      </c>
      <c r="C568" s="23" t="s">
        <v>4155</v>
      </c>
      <c r="D568" s="199" t="s">
        <v>4245</v>
      </c>
      <c r="E568" s="8" t="s">
        <v>4246</v>
      </c>
      <c r="F568" s="149">
        <v>1302.8</v>
      </c>
      <c r="G568" s="8" t="s">
        <v>521</v>
      </c>
      <c r="H568" s="20"/>
      <c r="I568" s="251" t="s">
        <v>8074</v>
      </c>
      <c r="J568" s="251" t="s">
        <v>8074</v>
      </c>
    </row>
    <row r="569" spans="1:10" ht="24" customHeight="1" x14ac:dyDescent="0.2">
      <c r="A569" s="8" t="s">
        <v>4779</v>
      </c>
      <c r="B569" s="23" t="s">
        <v>4243</v>
      </c>
      <c r="C569" s="23" t="s">
        <v>4155</v>
      </c>
      <c r="D569" s="199" t="s">
        <v>4245</v>
      </c>
      <c r="E569" s="8" t="s">
        <v>4247</v>
      </c>
      <c r="F569" s="149">
        <v>800.8</v>
      </c>
      <c r="G569" s="8" t="s">
        <v>3338</v>
      </c>
      <c r="H569" s="20"/>
      <c r="I569" s="251" t="s">
        <v>8074</v>
      </c>
      <c r="J569" s="251" t="s">
        <v>8074</v>
      </c>
    </row>
    <row r="570" spans="1:10" ht="21.75" customHeight="1" x14ac:dyDescent="0.2">
      <c r="A570" s="8" t="s">
        <v>4780</v>
      </c>
      <c r="B570" s="23" t="s">
        <v>4244</v>
      </c>
      <c r="C570" s="23" t="s">
        <v>4155</v>
      </c>
      <c r="D570" s="199" t="s">
        <v>4245</v>
      </c>
      <c r="E570" s="8" t="s">
        <v>4240</v>
      </c>
      <c r="F570" s="149">
        <v>79.900000000000006</v>
      </c>
      <c r="G570" s="8" t="s">
        <v>521</v>
      </c>
      <c r="H570" s="20"/>
      <c r="I570" s="251" t="s">
        <v>8074</v>
      </c>
      <c r="J570" s="251" t="s">
        <v>8074</v>
      </c>
    </row>
    <row r="571" spans="1:10" ht="35.25" customHeight="1" x14ac:dyDescent="0.2">
      <c r="A571" s="8" t="s">
        <v>13855</v>
      </c>
      <c r="B571" s="100" t="s">
        <v>5600</v>
      </c>
      <c r="C571" s="1286" t="s">
        <v>4155</v>
      </c>
      <c r="D571" s="1298" t="s">
        <v>4287</v>
      </c>
      <c r="E571" s="100"/>
      <c r="F571" s="171"/>
      <c r="G571" s="8"/>
      <c r="H571" s="20"/>
      <c r="I571" s="1314" t="s">
        <v>13820</v>
      </c>
      <c r="J571" s="1314" t="s">
        <v>13820</v>
      </c>
    </row>
    <row r="572" spans="1:10" ht="25.5" customHeight="1" x14ac:dyDescent="0.2">
      <c r="A572" s="8" t="s">
        <v>4123</v>
      </c>
      <c r="B572" s="8" t="s">
        <v>4288</v>
      </c>
      <c r="C572" s="1288"/>
      <c r="D572" s="1299"/>
      <c r="E572" s="8" t="s">
        <v>4291</v>
      </c>
      <c r="F572" s="149">
        <v>290</v>
      </c>
      <c r="G572" s="8" t="s">
        <v>521</v>
      </c>
      <c r="H572" s="20"/>
      <c r="I572" s="1314"/>
      <c r="J572" s="1314"/>
    </row>
    <row r="573" spans="1:10" ht="31.5" customHeight="1" x14ac:dyDescent="0.2">
      <c r="A573" s="8" t="s">
        <v>4012</v>
      </c>
      <c r="B573" s="100" t="s">
        <v>5599</v>
      </c>
      <c r="C573" s="23" t="s">
        <v>4155</v>
      </c>
      <c r="D573" s="199" t="s">
        <v>4331</v>
      </c>
      <c r="E573" s="100"/>
      <c r="F573" s="171"/>
      <c r="G573" s="8"/>
      <c r="H573" s="20"/>
      <c r="I573" s="8" t="s">
        <v>9605</v>
      </c>
      <c r="J573" s="584" t="s">
        <v>12012</v>
      </c>
    </row>
    <row r="574" spans="1:10" ht="33.75" customHeight="1" x14ac:dyDescent="0.2">
      <c r="A574" s="8" t="s">
        <v>4499</v>
      </c>
      <c r="B574" s="8" t="s">
        <v>4333</v>
      </c>
      <c r="C574" s="23" t="s">
        <v>4155</v>
      </c>
      <c r="D574" s="199" t="s">
        <v>4331</v>
      </c>
      <c r="E574" s="8" t="s">
        <v>4236</v>
      </c>
      <c r="F574" s="149">
        <v>299.5</v>
      </c>
      <c r="G574" s="8" t="s">
        <v>488</v>
      </c>
      <c r="H574" s="20"/>
      <c r="I574" s="8" t="s">
        <v>9605</v>
      </c>
      <c r="J574" s="584" t="s">
        <v>12012</v>
      </c>
    </row>
    <row r="575" spans="1:10" ht="38.25" customHeight="1" x14ac:dyDescent="0.2">
      <c r="A575" s="8" t="s">
        <v>4781</v>
      </c>
      <c r="B575" s="8" t="s">
        <v>4334</v>
      </c>
      <c r="C575" s="23" t="s">
        <v>4155</v>
      </c>
      <c r="D575" s="199" t="s">
        <v>4331</v>
      </c>
      <c r="E575" s="8" t="s">
        <v>4368</v>
      </c>
      <c r="F575" s="149">
        <v>813.3</v>
      </c>
      <c r="G575" s="8" t="s">
        <v>488</v>
      </c>
      <c r="H575" s="20"/>
      <c r="I575" s="8" t="s">
        <v>9605</v>
      </c>
      <c r="J575" s="584" t="s">
        <v>12012</v>
      </c>
    </row>
    <row r="576" spans="1:10" ht="22.5" customHeight="1" x14ac:dyDescent="0.2">
      <c r="A576" s="8" t="s">
        <v>4782</v>
      </c>
      <c r="B576" s="8" t="s">
        <v>4335</v>
      </c>
      <c r="C576" s="23" t="s">
        <v>4155</v>
      </c>
      <c r="D576" s="199" t="s">
        <v>4331</v>
      </c>
      <c r="E576" s="8" t="s">
        <v>4369</v>
      </c>
      <c r="F576" s="149">
        <v>49.5</v>
      </c>
      <c r="G576" s="8" t="s">
        <v>488</v>
      </c>
      <c r="H576" s="20"/>
      <c r="I576" s="8" t="s">
        <v>9605</v>
      </c>
      <c r="J576" s="584" t="s">
        <v>12012</v>
      </c>
    </row>
    <row r="577" spans="1:10" ht="22.5" customHeight="1" x14ac:dyDescent="0.2">
      <c r="A577" s="8" t="s">
        <v>4783</v>
      </c>
      <c r="B577" s="8" t="s">
        <v>4336</v>
      </c>
      <c r="C577" s="23" t="s">
        <v>4155</v>
      </c>
      <c r="D577" s="199" t="s">
        <v>4331</v>
      </c>
      <c r="E577" s="8" t="s">
        <v>4369</v>
      </c>
      <c r="F577" s="149">
        <v>415.1</v>
      </c>
      <c r="G577" s="8" t="s">
        <v>82</v>
      </c>
      <c r="H577" s="20"/>
      <c r="I577" s="8" t="s">
        <v>9605</v>
      </c>
      <c r="J577" s="584" t="s">
        <v>12012</v>
      </c>
    </row>
    <row r="578" spans="1:10" ht="24" customHeight="1" x14ac:dyDescent="0.2">
      <c r="A578" s="8" t="s">
        <v>4784</v>
      </c>
      <c r="B578" s="8" t="s">
        <v>4209</v>
      </c>
      <c r="C578" s="23" t="s">
        <v>4155</v>
      </c>
      <c r="D578" s="199" t="s">
        <v>4331</v>
      </c>
      <c r="E578" s="8" t="s">
        <v>4236</v>
      </c>
      <c r="F578" s="149">
        <v>174.8</v>
      </c>
      <c r="G578" s="8" t="s">
        <v>488</v>
      </c>
      <c r="H578" s="20"/>
      <c r="I578" s="8" t="s">
        <v>9605</v>
      </c>
      <c r="J578" s="584" t="s">
        <v>12012</v>
      </c>
    </row>
    <row r="579" spans="1:10" ht="24.75" customHeight="1" x14ac:dyDescent="0.2">
      <c r="A579" s="8" t="s">
        <v>4785</v>
      </c>
      <c r="B579" s="8" t="s">
        <v>4337</v>
      </c>
      <c r="C579" s="23" t="s">
        <v>4155</v>
      </c>
      <c r="D579" s="199" t="s">
        <v>4331</v>
      </c>
      <c r="E579" s="8" t="s">
        <v>4368</v>
      </c>
      <c r="F579" s="149">
        <v>77.7</v>
      </c>
      <c r="G579" s="8" t="s">
        <v>488</v>
      </c>
      <c r="H579" s="20"/>
      <c r="I579" s="8" t="s">
        <v>9605</v>
      </c>
      <c r="J579" s="584" t="s">
        <v>12012</v>
      </c>
    </row>
    <row r="580" spans="1:10" ht="38.25" customHeight="1" x14ac:dyDescent="0.2">
      <c r="A580" s="8" t="s">
        <v>4786</v>
      </c>
      <c r="B580" s="8" t="s">
        <v>4338</v>
      </c>
      <c r="C580" s="23" t="s">
        <v>4155</v>
      </c>
      <c r="D580" s="199" t="s">
        <v>4331</v>
      </c>
      <c r="E580" s="8" t="s">
        <v>4368</v>
      </c>
      <c r="F580" s="149">
        <v>117.6</v>
      </c>
      <c r="G580" s="8" t="s">
        <v>488</v>
      </c>
      <c r="H580" s="20"/>
      <c r="I580" s="8" t="s">
        <v>9605</v>
      </c>
      <c r="J580" s="584" t="s">
        <v>12012</v>
      </c>
    </row>
    <row r="581" spans="1:10" ht="24" customHeight="1" x14ac:dyDescent="0.2">
      <c r="A581" s="8" t="s">
        <v>4787</v>
      </c>
      <c r="B581" s="100" t="s">
        <v>5598</v>
      </c>
      <c r="C581" s="23" t="s">
        <v>4155</v>
      </c>
      <c r="D581" s="199" t="s">
        <v>4224</v>
      </c>
      <c r="E581" s="100"/>
      <c r="F581" s="171"/>
      <c r="G581" s="8"/>
      <c r="H581" s="20"/>
      <c r="I581" s="251" t="s">
        <v>8074</v>
      </c>
      <c r="J581" s="251" t="s">
        <v>8074</v>
      </c>
    </row>
    <row r="582" spans="1:10" ht="36" customHeight="1" x14ac:dyDescent="0.2">
      <c r="A582" s="8" t="s">
        <v>4788</v>
      </c>
      <c r="B582" s="8" t="s">
        <v>1998</v>
      </c>
      <c r="C582" s="23" t="s">
        <v>4155</v>
      </c>
      <c r="D582" s="199" t="s">
        <v>4224</v>
      </c>
      <c r="E582" s="8" t="s">
        <v>4235</v>
      </c>
      <c r="F582" s="149">
        <v>3616.5</v>
      </c>
      <c r="G582" s="8" t="s">
        <v>82</v>
      </c>
      <c r="H582" s="20"/>
      <c r="I582" s="251" t="s">
        <v>8074</v>
      </c>
      <c r="J582" s="251" t="s">
        <v>8074</v>
      </c>
    </row>
    <row r="583" spans="1:10" ht="33.75" customHeight="1" x14ac:dyDescent="0.2">
      <c r="A583" s="8" t="s">
        <v>4500</v>
      </c>
      <c r="B583" s="8" t="s">
        <v>4230</v>
      </c>
      <c r="C583" s="23" t="s">
        <v>4155</v>
      </c>
      <c r="D583" s="199" t="s">
        <v>4224</v>
      </c>
      <c r="E583" s="8" t="s">
        <v>4236</v>
      </c>
      <c r="F583" s="149">
        <v>1030.3</v>
      </c>
      <c r="G583" s="8" t="s">
        <v>475</v>
      </c>
      <c r="H583" s="20"/>
      <c r="I583" s="251" t="s">
        <v>8074</v>
      </c>
      <c r="J583" s="251" t="s">
        <v>8074</v>
      </c>
    </row>
    <row r="584" spans="1:10" ht="33.75" customHeight="1" x14ac:dyDescent="0.2">
      <c r="A584" s="8" t="s">
        <v>4501</v>
      </c>
      <c r="B584" s="8" t="s">
        <v>4231</v>
      </c>
      <c r="C584" s="23" t="s">
        <v>4155</v>
      </c>
      <c r="D584" s="199" t="s">
        <v>4224</v>
      </c>
      <c r="E584" s="8" t="s">
        <v>4237</v>
      </c>
      <c r="F584" s="149">
        <v>2130</v>
      </c>
      <c r="G584" s="8" t="s">
        <v>82</v>
      </c>
      <c r="H584" s="20"/>
      <c r="I584" s="251" t="s">
        <v>8074</v>
      </c>
      <c r="J584" s="251" t="s">
        <v>8074</v>
      </c>
    </row>
    <row r="585" spans="1:10" ht="34.5" customHeight="1" x14ac:dyDescent="0.2">
      <c r="A585" s="8" t="s">
        <v>4502</v>
      </c>
      <c r="B585" s="8" t="s">
        <v>4232</v>
      </c>
      <c r="C585" s="23" t="s">
        <v>4155</v>
      </c>
      <c r="D585" s="199" t="s">
        <v>4224</v>
      </c>
      <c r="E585" s="8" t="s">
        <v>4239</v>
      </c>
      <c r="F585" s="149">
        <v>423.1</v>
      </c>
      <c r="G585" s="8" t="s">
        <v>82</v>
      </c>
      <c r="H585" s="20"/>
      <c r="I585" s="251" t="s">
        <v>8074</v>
      </c>
      <c r="J585" s="251" t="s">
        <v>8074</v>
      </c>
    </row>
    <row r="586" spans="1:10" ht="33.75" customHeight="1" x14ac:dyDescent="0.2">
      <c r="A586" s="8" t="s">
        <v>4503</v>
      </c>
      <c r="B586" s="8" t="s">
        <v>4233</v>
      </c>
      <c r="C586" s="23" t="s">
        <v>4155</v>
      </c>
      <c r="D586" s="199" t="s">
        <v>4224</v>
      </c>
      <c r="E586" s="8" t="s">
        <v>4241</v>
      </c>
      <c r="F586" s="149">
        <v>541.79999999999995</v>
      </c>
      <c r="G586" s="8" t="s">
        <v>475</v>
      </c>
      <c r="H586" s="20"/>
      <c r="I586" s="251" t="s">
        <v>8074</v>
      </c>
      <c r="J586" s="251" t="s">
        <v>8074</v>
      </c>
    </row>
    <row r="587" spans="1:10" ht="36.75" customHeight="1" x14ac:dyDescent="0.2">
      <c r="A587" s="8" t="s">
        <v>4504</v>
      </c>
      <c r="B587" s="8" t="s">
        <v>4234</v>
      </c>
      <c r="C587" s="23" t="s">
        <v>4155</v>
      </c>
      <c r="D587" s="199" t="s">
        <v>4224</v>
      </c>
      <c r="E587" s="8" t="s">
        <v>4240</v>
      </c>
      <c r="F587" s="149">
        <v>140.6</v>
      </c>
      <c r="G587" s="8" t="s">
        <v>475</v>
      </c>
      <c r="H587" s="20"/>
      <c r="I587" s="251" t="s">
        <v>8074</v>
      </c>
      <c r="J587" s="251" t="s">
        <v>8074</v>
      </c>
    </row>
    <row r="588" spans="1:10" ht="25.5" customHeight="1" x14ac:dyDescent="0.2">
      <c r="A588" s="8" t="s">
        <v>4505</v>
      </c>
      <c r="B588" s="100" t="s">
        <v>5597</v>
      </c>
      <c r="C588" s="23" t="s">
        <v>4155</v>
      </c>
      <c r="D588" s="12" t="s">
        <v>9939</v>
      </c>
      <c r="E588" s="100"/>
      <c r="F588" s="171"/>
      <c r="G588" s="8"/>
      <c r="H588" s="20"/>
      <c r="I588" s="23" t="s">
        <v>13820</v>
      </c>
      <c r="J588" s="806" t="s">
        <v>13820</v>
      </c>
    </row>
    <row r="589" spans="1:10" ht="57" customHeight="1" x14ac:dyDescent="0.2">
      <c r="A589" s="8" t="s">
        <v>4225</v>
      </c>
      <c r="B589" s="8" t="s">
        <v>4412</v>
      </c>
      <c r="C589" s="23" t="s">
        <v>14207</v>
      </c>
      <c r="D589" s="12" t="s">
        <v>14208</v>
      </c>
      <c r="E589" s="8" t="s">
        <v>4239</v>
      </c>
      <c r="F589" s="149">
        <v>1099.4000000000001</v>
      </c>
      <c r="G589" s="8" t="s">
        <v>2711</v>
      </c>
      <c r="H589" s="20"/>
      <c r="I589" s="23" t="s">
        <v>13820</v>
      </c>
      <c r="J589" s="806" t="s">
        <v>13820</v>
      </c>
    </row>
    <row r="590" spans="1:10" ht="57" customHeight="1" x14ac:dyDescent="0.2">
      <c r="A590" s="8" t="s">
        <v>4226</v>
      </c>
      <c r="B590" s="8" t="s">
        <v>4413</v>
      </c>
      <c r="C590" s="23" t="s">
        <v>14209</v>
      </c>
      <c r="D590" s="804" t="s">
        <v>14210</v>
      </c>
      <c r="E590" s="8" t="s">
        <v>4426</v>
      </c>
      <c r="F590" s="149">
        <v>36.5</v>
      </c>
      <c r="G590" s="8" t="s">
        <v>2711</v>
      </c>
      <c r="H590" s="20"/>
      <c r="I590" s="806" t="s">
        <v>13820</v>
      </c>
      <c r="J590" s="806" t="s">
        <v>13820</v>
      </c>
    </row>
    <row r="591" spans="1:10" ht="23.25" customHeight="1" x14ac:dyDescent="0.2">
      <c r="A591" s="8" t="s">
        <v>4227</v>
      </c>
      <c r="B591" s="8" t="s">
        <v>4414</v>
      </c>
      <c r="C591" s="23" t="s">
        <v>4155</v>
      </c>
      <c r="D591" s="12" t="s">
        <v>9939</v>
      </c>
      <c r="E591" s="8" t="s">
        <v>4236</v>
      </c>
      <c r="F591" s="149">
        <v>98.1</v>
      </c>
      <c r="G591" s="8" t="s">
        <v>36</v>
      </c>
      <c r="H591" s="20"/>
      <c r="I591" s="23" t="s">
        <v>13820</v>
      </c>
      <c r="J591" s="23" t="s">
        <v>13820</v>
      </c>
    </row>
    <row r="592" spans="1:10" ht="23.25" customHeight="1" x14ac:dyDescent="0.2">
      <c r="A592" s="8" t="s">
        <v>4228</v>
      </c>
      <c r="B592" s="8" t="s">
        <v>8979</v>
      </c>
      <c r="C592" s="23" t="s">
        <v>4155</v>
      </c>
      <c r="D592" s="12" t="s">
        <v>8978</v>
      </c>
      <c r="E592" s="8" t="s">
        <v>4236</v>
      </c>
      <c r="F592" s="149">
        <v>83.4</v>
      </c>
      <c r="G592" s="8" t="s">
        <v>36</v>
      </c>
      <c r="H592" s="20"/>
      <c r="I592" s="23" t="s">
        <v>13820</v>
      </c>
      <c r="J592" s="806" t="s">
        <v>13820</v>
      </c>
    </row>
    <row r="593" spans="1:10" ht="23.25" customHeight="1" x14ac:dyDescent="0.2">
      <c r="A593" s="8" t="s">
        <v>4229</v>
      </c>
      <c r="B593" s="8" t="s">
        <v>8980</v>
      </c>
      <c r="C593" s="23" t="s">
        <v>4155</v>
      </c>
      <c r="D593" s="12" t="s">
        <v>8977</v>
      </c>
      <c r="E593" s="8" t="s">
        <v>4236</v>
      </c>
      <c r="F593" s="149">
        <v>125.4</v>
      </c>
      <c r="G593" s="8" t="s">
        <v>76</v>
      </c>
      <c r="H593" s="20"/>
      <c r="I593" s="23" t="s">
        <v>13820</v>
      </c>
      <c r="J593" s="806" t="s">
        <v>13820</v>
      </c>
    </row>
    <row r="594" spans="1:10" ht="23.25" customHeight="1" x14ac:dyDescent="0.2">
      <c r="A594" s="8" t="s">
        <v>4506</v>
      </c>
      <c r="B594" s="8" t="s">
        <v>4223</v>
      </c>
      <c r="C594" s="23" t="s">
        <v>4155</v>
      </c>
      <c r="D594" s="12" t="s">
        <v>5399</v>
      </c>
      <c r="E594" s="8" t="s">
        <v>4238</v>
      </c>
      <c r="F594" s="149">
        <v>414.6</v>
      </c>
      <c r="G594" s="8" t="s">
        <v>62</v>
      </c>
      <c r="H594" s="20">
        <v>1561458.23</v>
      </c>
      <c r="I594" s="23" t="s">
        <v>8074</v>
      </c>
      <c r="J594" s="23" t="s">
        <v>8074</v>
      </c>
    </row>
    <row r="595" spans="1:10" ht="24.75" customHeight="1" x14ac:dyDescent="0.2">
      <c r="A595" s="23" t="s">
        <v>13856</v>
      </c>
      <c r="B595" s="23" t="s">
        <v>4222</v>
      </c>
      <c r="C595" s="1286" t="s">
        <v>11675</v>
      </c>
      <c r="D595" s="12" t="s">
        <v>5400</v>
      </c>
      <c r="E595" s="8" t="s">
        <v>8167</v>
      </c>
      <c r="F595" s="149">
        <f>1071.1-36.2-24.4</f>
        <v>1010.4999999999999</v>
      </c>
      <c r="G595" s="12" t="s">
        <v>80</v>
      </c>
      <c r="H595" s="77">
        <v>3746140.12</v>
      </c>
      <c r="I595" s="251" t="s">
        <v>8074</v>
      </c>
      <c r="J595" s="251" t="s">
        <v>8074</v>
      </c>
    </row>
    <row r="596" spans="1:10" ht="28.5" customHeight="1" x14ac:dyDescent="0.2">
      <c r="A596" s="573"/>
      <c r="B596" s="31" t="s">
        <v>2278</v>
      </c>
      <c r="C596" s="1287"/>
      <c r="D596" s="12" t="s">
        <v>5400</v>
      </c>
      <c r="E596" s="8" t="s">
        <v>8167</v>
      </c>
      <c r="F596" s="149">
        <v>36.200000000000003</v>
      </c>
      <c r="G596" s="12" t="s">
        <v>80</v>
      </c>
      <c r="H596" s="77"/>
      <c r="I596" s="251" t="s">
        <v>8074</v>
      </c>
      <c r="J596" s="251" t="s">
        <v>8168</v>
      </c>
    </row>
    <row r="597" spans="1:10" ht="28.5" customHeight="1" x14ac:dyDescent="0.2">
      <c r="A597" s="45"/>
      <c r="B597" s="31" t="s">
        <v>2278</v>
      </c>
      <c r="C597" s="1288"/>
      <c r="D597" s="12" t="s">
        <v>5400</v>
      </c>
      <c r="E597" s="8" t="s">
        <v>8167</v>
      </c>
      <c r="F597" s="149">
        <v>24.4</v>
      </c>
      <c r="G597" s="12" t="s">
        <v>80</v>
      </c>
      <c r="H597" s="77"/>
      <c r="I597" s="251" t="s">
        <v>8074</v>
      </c>
      <c r="J597" s="251"/>
    </row>
    <row r="598" spans="1:10" ht="33.75" customHeight="1" x14ac:dyDescent="0.2">
      <c r="A598" s="8" t="s">
        <v>4709</v>
      </c>
      <c r="B598" s="31" t="s">
        <v>11674</v>
      </c>
      <c r="C598" s="130" t="s">
        <v>5422</v>
      </c>
      <c r="D598" s="18" t="s">
        <v>9786</v>
      </c>
      <c r="E598" s="31" t="s">
        <v>4707</v>
      </c>
      <c r="F598" s="89">
        <v>102.6</v>
      </c>
      <c r="G598" s="18" t="s">
        <v>76</v>
      </c>
      <c r="H598" s="741"/>
      <c r="I598" s="30" t="s">
        <v>5428</v>
      </c>
      <c r="J598" s="30" t="s">
        <v>13103</v>
      </c>
    </row>
    <row r="599" spans="1:10" ht="36" customHeight="1" x14ac:dyDescent="0.2">
      <c r="A599" s="8" t="s">
        <v>4507</v>
      </c>
      <c r="B599" s="100" t="s">
        <v>5596</v>
      </c>
      <c r="C599" s="1286" t="s">
        <v>3956</v>
      </c>
      <c r="D599" s="1292" t="s">
        <v>3954</v>
      </c>
      <c r="E599" s="100"/>
      <c r="F599" s="171"/>
      <c r="G599" s="8"/>
      <c r="H599" s="20"/>
      <c r="I599" s="251" t="s">
        <v>8074</v>
      </c>
      <c r="J599" s="251" t="s">
        <v>8074</v>
      </c>
    </row>
    <row r="600" spans="1:10" ht="24" customHeight="1" x14ac:dyDescent="0.2">
      <c r="A600" s="8" t="s">
        <v>4407</v>
      </c>
      <c r="B600" s="8" t="s">
        <v>3977</v>
      </c>
      <c r="C600" s="1287"/>
      <c r="D600" s="1292"/>
      <c r="E600" s="8" t="s">
        <v>4295</v>
      </c>
      <c r="F600" s="107">
        <v>2276.9</v>
      </c>
      <c r="G600" s="8" t="s">
        <v>70</v>
      </c>
      <c r="H600" s="20"/>
      <c r="I600" s="251" t="s">
        <v>8074</v>
      </c>
      <c r="J600" s="251" t="s">
        <v>8074</v>
      </c>
    </row>
    <row r="601" spans="1:10" ht="24" customHeight="1" x14ac:dyDescent="0.2">
      <c r="A601" s="8" t="s">
        <v>4408</v>
      </c>
      <c r="B601" s="8" t="s">
        <v>3959</v>
      </c>
      <c r="C601" s="1287"/>
      <c r="D601" s="1292"/>
      <c r="E601" s="8" t="s">
        <v>4296</v>
      </c>
      <c r="F601" s="107">
        <v>3492.1</v>
      </c>
      <c r="G601" s="8" t="s">
        <v>70</v>
      </c>
      <c r="H601" s="20"/>
      <c r="I601" s="251" t="s">
        <v>8074</v>
      </c>
      <c r="J601" s="251" t="s">
        <v>8074</v>
      </c>
    </row>
    <row r="602" spans="1:10" ht="24" customHeight="1" x14ac:dyDescent="0.2">
      <c r="A602" s="8" t="s">
        <v>4409</v>
      </c>
      <c r="B602" s="8" t="s">
        <v>3980</v>
      </c>
      <c r="C602" s="1287"/>
      <c r="D602" s="1292"/>
      <c r="E602" s="8" t="s">
        <v>164</v>
      </c>
      <c r="F602" s="107">
        <v>129.6</v>
      </c>
      <c r="G602" s="8" t="s">
        <v>70</v>
      </c>
      <c r="H602" s="20"/>
      <c r="I602" s="251" t="s">
        <v>8074</v>
      </c>
      <c r="J602" s="251" t="s">
        <v>8074</v>
      </c>
    </row>
    <row r="603" spans="1:10" ht="24" customHeight="1" x14ac:dyDescent="0.2">
      <c r="A603" s="8" t="s">
        <v>4410</v>
      </c>
      <c r="B603" s="8" t="s">
        <v>3981</v>
      </c>
      <c r="C603" s="1287"/>
      <c r="D603" s="1292"/>
      <c r="E603" s="8" t="s">
        <v>177</v>
      </c>
      <c r="F603" s="107">
        <v>81.900000000000006</v>
      </c>
      <c r="G603" s="8" t="s">
        <v>475</v>
      </c>
      <c r="H603" s="20"/>
      <c r="I603" s="251" t="s">
        <v>8074</v>
      </c>
      <c r="J603" s="251" t="s">
        <v>8074</v>
      </c>
    </row>
    <row r="604" spans="1:10" ht="24" customHeight="1" x14ac:dyDescent="0.2">
      <c r="A604" s="8" t="s">
        <v>4411</v>
      </c>
      <c r="B604" s="8" t="s">
        <v>3979</v>
      </c>
      <c r="C604" s="1287"/>
      <c r="D604" s="1292"/>
      <c r="E604" s="8" t="s">
        <v>4297</v>
      </c>
      <c r="F604" s="107">
        <v>189.2</v>
      </c>
      <c r="G604" s="8" t="s">
        <v>502</v>
      </c>
      <c r="H604" s="20"/>
      <c r="I604" s="251" t="s">
        <v>8074</v>
      </c>
      <c r="J604" s="251" t="s">
        <v>8074</v>
      </c>
    </row>
    <row r="605" spans="1:10" ht="24" customHeight="1" x14ac:dyDescent="0.2">
      <c r="A605" s="8" t="s">
        <v>4508</v>
      </c>
      <c r="B605" s="8" t="s">
        <v>3978</v>
      </c>
      <c r="C605" s="1287"/>
      <c r="D605" s="1292"/>
      <c r="E605" s="8" t="s">
        <v>177</v>
      </c>
      <c r="F605" s="107">
        <v>135</v>
      </c>
      <c r="G605" s="8" t="s">
        <v>76</v>
      </c>
      <c r="H605" s="20"/>
      <c r="I605" s="251" t="s">
        <v>8074</v>
      </c>
      <c r="J605" s="251" t="s">
        <v>8074</v>
      </c>
    </row>
    <row r="606" spans="1:10" ht="24" customHeight="1" x14ac:dyDescent="0.2">
      <c r="A606" s="8" t="s">
        <v>4509</v>
      </c>
      <c r="B606" s="8" t="s">
        <v>3976</v>
      </c>
      <c r="C606" s="1288"/>
      <c r="D606" s="1292"/>
      <c r="E606" s="8" t="s">
        <v>4298</v>
      </c>
      <c r="F606" s="107">
        <v>1669</v>
      </c>
      <c r="G606" s="8" t="s">
        <v>3104</v>
      </c>
      <c r="H606" s="20"/>
      <c r="I606" s="251" t="s">
        <v>8074</v>
      </c>
      <c r="J606" s="251" t="s">
        <v>8074</v>
      </c>
    </row>
    <row r="607" spans="1:10" ht="22.5" customHeight="1" x14ac:dyDescent="0.2">
      <c r="A607" s="8" t="s">
        <v>4510</v>
      </c>
      <c r="B607" s="8" t="s">
        <v>4535</v>
      </c>
      <c r="C607" s="8" t="s">
        <v>4155</v>
      </c>
      <c r="D607" s="12" t="s">
        <v>9896</v>
      </c>
      <c r="E607" s="8" t="s">
        <v>177</v>
      </c>
      <c r="F607" s="107">
        <v>41.7</v>
      </c>
      <c r="G607" s="8"/>
      <c r="H607" s="77">
        <v>157049.71</v>
      </c>
      <c r="I607" s="8" t="s">
        <v>9605</v>
      </c>
      <c r="J607" s="584" t="s">
        <v>12012</v>
      </c>
    </row>
    <row r="608" spans="1:10" ht="22.5" customHeight="1" x14ac:dyDescent="0.2">
      <c r="A608" s="8" t="s">
        <v>4538</v>
      </c>
      <c r="B608" s="8" t="s">
        <v>4536</v>
      </c>
      <c r="C608" s="8" t="s">
        <v>4155</v>
      </c>
      <c r="D608" s="12" t="s">
        <v>9897</v>
      </c>
      <c r="E608" s="8" t="s">
        <v>177</v>
      </c>
      <c r="F608" s="107">
        <v>66.2</v>
      </c>
      <c r="G608" s="8"/>
      <c r="H608" s="77">
        <v>249321.12</v>
      </c>
      <c r="I608" s="251" t="s">
        <v>8074</v>
      </c>
      <c r="J608" s="251" t="s">
        <v>8074</v>
      </c>
    </row>
    <row r="609" spans="1:10" ht="24.75" customHeight="1" x14ac:dyDescent="0.2">
      <c r="A609" s="8" t="s">
        <v>4539</v>
      </c>
      <c r="B609" s="8" t="s">
        <v>4537</v>
      </c>
      <c r="C609" s="8" t="s">
        <v>4155</v>
      </c>
      <c r="D609" s="12" t="s">
        <v>9898</v>
      </c>
      <c r="E609" s="8" t="s">
        <v>177</v>
      </c>
      <c r="F609" s="107">
        <v>12.6</v>
      </c>
      <c r="G609" s="8"/>
      <c r="H609" s="77">
        <v>44068.12</v>
      </c>
      <c r="I609" s="8" t="s">
        <v>13820</v>
      </c>
      <c r="J609" s="802" t="s">
        <v>13820</v>
      </c>
    </row>
    <row r="610" spans="1:10" ht="24" customHeight="1" x14ac:dyDescent="0.2">
      <c r="A610" s="8" t="s">
        <v>13857</v>
      </c>
      <c r="B610" s="100" t="s">
        <v>4540</v>
      </c>
      <c r="C610" s="802" t="s">
        <v>3956</v>
      </c>
      <c r="D610" s="12" t="s">
        <v>9938</v>
      </c>
      <c r="E610" s="100" t="s">
        <v>4541</v>
      </c>
      <c r="F610" s="171"/>
      <c r="G610" s="8"/>
      <c r="H610" s="20"/>
      <c r="I610" s="8"/>
      <c r="J610" s="802"/>
    </row>
    <row r="611" spans="1:10" ht="43.5" customHeight="1" x14ac:dyDescent="0.2">
      <c r="A611" s="8" t="s">
        <v>4542</v>
      </c>
      <c r="B611" s="8" t="s">
        <v>4544</v>
      </c>
      <c r="C611" s="802" t="s">
        <v>13983</v>
      </c>
      <c r="D611" s="12" t="s">
        <v>14120</v>
      </c>
      <c r="E611" s="8"/>
      <c r="F611" s="149">
        <v>169</v>
      </c>
      <c r="G611" s="8" t="s">
        <v>4096</v>
      </c>
      <c r="H611" s="20">
        <v>87820.85</v>
      </c>
      <c r="I611" s="802" t="s">
        <v>13820</v>
      </c>
      <c r="J611" s="802" t="s">
        <v>13820</v>
      </c>
    </row>
    <row r="612" spans="1:10" ht="43.5" customHeight="1" x14ac:dyDescent="0.2">
      <c r="A612" s="8" t="s">
        <v>4543</v>
      </c>
      <c r="B612" s="8" t="s">
        <v>4545</v>
      </c>
      <c r="C612" s="802" t="s">
        <v>13984</v>
      </c>
      <c r="D612" s="12" t="s">
        <v>14121</v>
      </c>
      <c r="E612" s="8"/>
      <c r="F612" s="149">
        <v>312.5</v>
      </c>
      <c r="G612" s="802" t="s">
        <v>4096</v>
      </c>
      <c r="H612" s="20">
        <v>162390.63</v>
      </c>
      <c r="I612" s="802" t="s">
        <v>13820</v>
      </c>
      <c r="J612" s="802" t="s">
        <v>13820</v>
      </c>
    </row>
    <row r="613" spans="1:10" ht="23.25" customHeight="1" x14ac:dyDescent="0.2">
      <c r="A613" s="8" t="s">
        <v>4549</v>
      </c>
      <c r="B613" s="8" t="s">
        <v>4560</v>
      </c>
      <c r="C613" s="8" t="s">
        <v>3956</v>
      </c>
      <c r="D613" s="12" t="s">
        <v>9899</v>
      </c>
      <c r="E613" s="8" t="s">
        <v>177</v>
      </c>
      <c r="F613" s="107">
        <v>147.4</v>
      </c>
      <c r="G613" s="8"/>
      <c r="H613" s="77">
        <v>555134.93000000005</v>
      </c>
      <c r="I613" s="251" t="s">
        <v>8074</v>
      </c>
      <c r="J613" s="251" t="s">
        <v>8074</v>
      </c>
    </row>
    <row r="614" spans="1:10" s="5" customFormat="1" ht="25.5" customHeight="1" x14ac:dyDescent="0.2">
      <c r="A614" s="12" t="s">
        <v>4562</v>
      </c>
      <c r="B614" s="12" t="s">
        <v>6272</v>
      </c>
      <c r="C614" s="12" t="s">
        <v>6273</v>
      </c>
      <c r="D614" s="12"/>
      <c r="E614" s="12" t="s">
        <v>177</v>
      </c>
      <c r="F614" s="107">
        <v>348</v>
      </c>
      <c r="G614" s="142"/>
      <c r="H614" s="62"/>
      <c r="I614" s="17" t="s">
        <v>5920</v>
      </c>
      <c r="J614" s="17" t="s">
        <v>5920</v>
      </c>
    </row>
    <row r="615" spans="1:10" ht="34.5" customHeight="1" x14ac:dyDescent="0.2">
      <c r="A615" s="8" t="s">
        <v>4563</v>
      </c>
      <c r="B615" s="8" t="s">
        <v>6270</v>
      </c>
      <c r="C615" s="12" t="s">
        <v>6267</v>
      </c>
      <c r="D615" s="12"/>
      <c r="E615" s="8" t="s">
        <v>177</v>
      </c>
      <c r="F615" s="107">
        <v>179.19</v>
      </c>
      <c r="G615" s="90"/>
      <c r="H615" s="20"/>
      <c r="I615" s="17" t="s">
        <v>5945</v>
      </c>
      <c r="J615" s="17" t="s">
        <v>5945</v>
      </c>
    </row>
    <row r="616" spans="1:10" s="5" customFormat="1" ht="36" customHeight="1" x14ac:dyDescent="0.2">
      <c r="A616" s="12" t="s">
        <v>6268</v>
      </c>
      <c r="B616" s="12" t="s">
        <v>6598</v>
      </c>
      <c r="C616" s="12" t="s">
        <v>6269</v>
      </c>
      <c r="D616" s="12"/>
      <c r="E616" s="12" t="s">
        <v>177</v>
      </c>
      <c r="F616" s="107">
        <v>145.30000000000001</v>
      </c>
      <c r="G616" s="142">
        <v>37288</v>
      </c>
      <c r="H616" s="62"/>
      <c r="I616" s="17" t="s">
        <v>6394</v>
      </c>
      <c r="J616" s="17" t="s">
        <v>6394</v>
      </c>
    </row>
    <row r="617" spans="1:10" ht="24.75" customHeight="1" x14ac:dyDescent="0.2">
      <c r="A617" s="8" t="s">
        <v>2852</v>
      </c>
      <c r="B617" s="8" t="s">
        <v>4651</v>
      </c>
      <c r="C617" s="8" t="s">
        <v>3957</v>
      </c>
      <c r="D617" s="12"/>
      <c r="E617" s="8" t="s">
        <v>177</v>
      </c>
      <c r="F617" s="107"/>
      <c r="G617" s="90">
        <v>37288</v>
      </c>
      <c r="H617" s="20"/>
      <c r="I617" s="8" t="s">
        <v>9605</v>
      </c>
      <c r="J617" s="584" t="s">
        <v>12012</v>
      </c>
    </row>
    <row r="618" spans="1:10" ht="44.25" customHeight="1" x14ac:dyDescent="0.2">
      <c r="A618" s="550" t="s">
        <v>2853</v>
      </c>
      <c r="B618" s="550" t="s">
        <v>9467</v>
      </c>
      <c r="C618" s="544" t="s">
        <v>6467</v>
      </c>
      <c r="D618" s="18" t="s">
        <v>9485</v>
      </c>
      <c r="E618" s="12" t="s">
        <v>5495</v>
      </c>
      <c r="F618" s="174">
        <v>30</v>
      </c>
      <c r="G618" s="142" t="s">
        <v>4182</v>
      </c>
      <c r="H618" s="144">
        <v>475247.7</v>
      </c>
      <c r="I618" s="544" t="s">
        <v>88</v>
      </c>
      <c r="J618" s="544" t="s">
        <v>88</v>
      </c>
    </row>
    <row r="619" spans="1:10" ht="48.75" customHeight="1" x14ac:dyDescent="0.2">
      <c r="A619" s="550" t="s">
        <v>4564</v>
      </c>
      <c r="B619" s="550" t="s">
        <v>9466</v>
      </c>
      <c r="C619" s="544" t="s">
        <v>9465</v>
      </c>
      <c r="D619" s="18" t="s">
        <v>9486</v>
      </c>
      <c r="E619" s="12" t="s">
        <v>5497</v>
      </c>
      <c r="F619" s="107">
        <v>32</v>
      </c>
      <c r="G619" s="142" t="s">
        <v>4182</v>
      </c>
      <c r="H619" s="144">
        <v>103706.56</v>
      </c>
      <c r="I619" s="544" t="s">
        <v>88</v>
      </c>
      <c r="J619" s="544" t="s">
        <v>88</v>
      </c>
    </row>
    <row r="620" spans="1:10" ht="47.25" customHeight="1" x14ac:dyDescent="0.2">
      <c r="A620" s="550" t="s">
        <v>2854</v>
      </c>
      <c r="B620" s="550" t="s">
        <v>9553</v>
      </c>
      <c r="C620" s="550" t="s">
        <v>5627</v>
      </c>
      <c r="D620" s="12" t="s">
        <v>9567</v>
      </c>
      <c r="E620" s="12" t="s">
        <v>5497</v>
      </c>
      <c r="F620" s="107">
        <v>29.2</v>
      </c>
      <c r="G620" s="142" t="s">
        <v>4182</v>
      </c>
      <c r="H620" s="144">
        <v>746773.06</v>
      </c>
      <c r="I620" s="544" t="s">
        <v>14005</v>
      </c>
      <c r="J620" s="830" t="s">
        <v>14005</v>
      </c>
    </row>
    <row r="621" spans="1:10" ht="45" customHeight="1" x14ac:dyDescent="0.2">
      <c r="A621" s="12" t="s">
        <v>5632</v>
      </c>
      <c r="B621" s="12" t="s">
        <v>9541</v>
      </c>
      <c r="C621" s="114" t="s">
        <v>6444</v>
      </c>
      <c r="D621" s="12" t="s">
        <v>9568</v>
      </c>
      <c r="E621" s="12" t="s">
        <v>9542</v>
      </c>
      <c r="F621" s="172">
        <v>19.7</v>
      </c>
      <c r="G621" s="12" t="s">
        <v>461</v>
      </c>
      <c r="H621" s="144">
        <v>155662.10999999999</v>
      </c>
      <c r="I621" s="830" t="s">
        <v>14005</v>
      </c>
      <c r="J621" s="830" t="s">
        <v>14005</v>
      </c>
    </row>
    <row r="622" spans="1:10" ht="36" customHeight="1" x14ac:dyDescent="0.2">
      <c r="A622" s="12" t="s">
        <v>5791</v>
      </c>
      <c r="B622" s="12" t="s">
        <v>465</v>
      </c>
      <c r="C622" s="12" t="s">
        <v>5906</v>
      </c>
      <c r="D622" s="18" t="s">
        <v>5792</v>
      </c>
      <c r="E622" s="12" t="s">
        <v>177</v>
      </c>
      <c r="F622" s="172">
        <v>136.9</v>
      </c>
      <c r="G622" s="12" t="s">
        <v>67</v>
      </c>
      <c r="H622" s="62"/>
      <c r="I622" s="17" t="s">
        <v>5899</v>
      </c>
      <c r="J622" s="17" t="s">
        <v>5899</v>
      </c>
    </row>
    <row r="623" spans="1:10" ht="45" customHeight="1" x14ac:dyDescent="0.2">
      <c r="A623" s="12" t="s">
        <v>6459</v>
      </c>
      <c r="B623" s="12" t="s">
        <v>9464</v>
      </c>
      <c r="C623" s="556" t="s">
        <v>6467</v>
      </c>
      <c r="D623" s="18" t="s">
        <v>9483</v>
      </c>
      <c r="E623" s="18" t="s">
        <v>6468</v>
      </c>
      <c r="F623" s="172">
        <v>23.6</v>
      </c>
      <c r="G623" s="12" t="s">
        <v>5471</v>
      </c>
      <c r="H623" s="144">
        <v>373861.52</v>
      </c>
      <c r="I623" s="80" t="s">
        <v>88</v>
      </c>
      <c r="J623" s="80" t="s">
        <v>88</v>
      </c>
    </row>
    <row r="624" spans="1:10" ht="47.25" customHeight="1" x14ac:dyDescent="0.2">
      <c r="A624" s="12" t="s">
        <v>6460</v>
      </c>
      <c r="B624" s="12" t="s">
        <v>9464</v>
      </c>
      <c r="C624" s="556" t="s">
        <v>9465</v>
      </c>
      <c r="D624" s="18" t="s">
        <v>9484</v>
      </c>
      <c r="E624" s="18" t="s">
        <v>6468</v>
      </c>
      <c r="F624" s="172">
        <v>20</v>
      </c>
      <c r="G624" s="12" t="s">
        <v>5471</v>
      </c>
      <c r="H624" s="144">
        <v>64816.6</v>
      </c>
      <c r="I624" s="80" t="s">
        <v>88</v>
      </c>
      <c r="J624" s="80" t="s">
        <v>88</v>
      </c>
    </row>
    <row r="625" spans="1:10" ht="33.75" customHeight="1" x14ac:dyDescent="0.2">
      <c r="A625" s="12" t="s">
        <v>6461</v>
      </c>
      <c r="B625" s="12" t="s">
        <v>6466</v>
      </c>
      <c r="C625" s="556" t="s">
        <v>6470</v>
      </c>
      <c r="D625" s="12"/>
      <c r="E625" s="18" t="s">
        <v>6468</v>
      </c>
      <c r="F625" s="172">
        <v>21</v>
      </c>
      <c r="G625" s="12" t="s">
        <v>5471</v>
      </c>
      <c r="H625" s="62"/>
      <c r="I625" s="556" t="s">
        <v>6469</v>
      </c>
      <c r="J625" s="556" t="s">
        <v>6469</v>
      </c>
    </row>
    <row r="626" spans="1:10" ht="33.75" customHeight="1" x14ac:dyDescent="0.2">
      <c r="A626" s="12" t="s">
        <v>6462</v>
      </c>
      <c r="B626" s="12" t="s">
        <v>6466</v>
      </c>
      <c r="C626" s="556" t="s">
        <v>6472</v>
      </c>
      <c r="D626" s="12"/>
      <c r="E626" s="18" t="s">
        <v>6468</v>
      </c>
      <c r="F626" s="172">
        <v>21</v>
      </c>
      <c r="G626" s="12" t="s">
        <v>5471</v>
      </c>
      <c r="H626" s="62"/>
      <c r="I626" s="556" t="s">
        <v>6471</v>
      </c>
      <c r="J626" s="556" t="s">
        <v>6471</v>
      </c>
    </row>
    <row r="627" spans="1:10" s="212" customFormat="1" ht="48" customHeight="1" x14ac:dyDescent="0.2">
      <c r="A627" s="550" t="s">
        <v>6463</v>
      </c>
      <c r="B627" s="199" t="s">
        <v>6594</v>
      </c>
      <c r="C627" s="96" t="s">
        <v>6595</v>
      </c>
      <c r="D627" s="394" t="s">
        <v>6665</v>
      </c>
      <c r="E627" s="94" t="s">
        <v>6664</v>
      </c>
      <c r="F627" s="371">
        <f>5569.5-881.5-801.3-12-12</f>
        <v>3862.7</v>
      </c>
      <c r="G627" s="199" t="s">
        <v>5471</v>
      </c>
      <c r="H627" s="1309">
        <v>1144922.1200000001</v>
      </c>
      <c r="I627" s="372" t="s">
        <v>11623</v>
      </c>
      <c r="J627" s="372" t="s">
        <v>11623</v>
      </c>
    </row>
    <row r="628" spans="1:10" s="5" customFormat="1" ht="58.5" customHeight="1" x14ac:dyDescent="0.2">
      <c r="A628" s="12" t="s">
        <v>8011</v>
      </c>
      <c r="B628" s="31" t="s">
        <v>281</v>
      </c>
      <c r="C628" s="556" t="s">
        <v>6595</v>
      </c>
      <c r="D628" s="394" t="s">
        <v>6665</v>
      </c>
      <c r="E628" s="136" t="s">
        <v>6664</v>
      </c>
      <c r="F628" s="172">
        <v>881.5</v>
      </c>
      <c r="G628" s="12" t="s">
        <v>5471</v>
      </c>
      <c r="H628" s="1310"/>
      <c r="I628" s="80" t="s">
        <v>8013</v>
      </c>
      <c r="J628" s="80" t="s">
        <v>8013</v>
      </c>
    </row>
    <row r="629" spans="1:10" ht="59.25" customHeight="1" x14ac:dyDescent="0.2">
      <c r="A629" s="12" t="s">
        <v>8012</v>
      </c>
      <c r="B629" s="31" t="s">
        <v>281</v>
      </c>
      <c r="C629" s="557" t="s">
        <v>6595</v>
      </c>
      <c r="D629" s="394" t="s">
        <v>6665</v>
      </c>
      <c r="E629" s="18" t="s">
        <v>6664</v>
      </c>
      <c r="F629" s="149">
        <v>801.3</v>
      </c>
      <c r="G629" s="8" t="s">
        <v>5471</v>
      </c>
      <c r="H629" s="1310"/>
      <c r="I629" s="80" t="s">
        <v>8014</v>
      </c>
      <c r="J629" s="80" t="s">
        <v>8014</v>
      </c>
    </row>
    <row r="630" spans="1:10" ht="55.5" customHeight="1" x14ac:dyDescent="0.2">
      <c r="A630" s="12" t="s">
        <v>9594</v>
      </c>
      <c r="B630" s="31" t="s">
        <v>281</v>
      </c>
      <c r="C630" s="557" t="s">
        <v>6595</v>
      </c>
      <c r="D630" s="431" t="s">
        <v>6665</v>
      </c>
      <c r="E630" s="18" t="s">
        <v>6664</v>
      </c>
      <c r="F630" s="149">
        <v>12</v>
      </c>
      <c r="G630" s="8" t="s">
        <v>5471</v>
      </c>
      <c r="H630" s="1310"/>
      <c r="I630" s="80" t="s">
        <v>8013</v>
      </c>
      <c r="J630" s="80" t="s">
        <v>8013</v>
      </c>
    </row>
    <row r="631" spans="1:10" ht="60.75" customHeight="1" x14ac:dyDescent="0.2">
      <c r="A631" s="12" t="s">
        <v>10700</v>
      </c>
      <c r="B631" s="31" t="s">
        <v>281</v>
      </c>
      <c r="C631" s="557" t="s">
        <v>6595</v>
      </c>
      <c r="D631" s="431" t="s">
        <v>6665</v>
      </c>
      <c r="E631" s="18" t="s">
        <v>6664</v>
      </c>
      <c r="F631" s="149">
        <v>12</v>
      </c>
      <c r="G631" s="8" t="s">
        <v>5471</v>
      </c>
      <c r="H631" s="1311"/>
      <c r="I631" s="80" t="s">
        <v>8014</v>
      </c>
      <c r="J631" s="80" t="s">
        <v>8014</v>
      </c>
    </row>
    <row r="632" spans="1:10" ht="27" customHeight="1" x14ac:dyDescent="0.2">
      <c r="A632" s="12" t="s">
        <v>6464</v>
      </c>
      <c r="B632" s="557" t="s">
        <v>6831</v>
      </c>
      <c r="C632" s="557" t="s">
        <v>8170</v>
      </c>
      <c r="D632" s="12" t="s">
        <v>6835</v>
      </c>
      <c r="E632" s="18" t="s">
        <v>2254</v>
      </c>
      <c r="F632" s="149">
        <v>145.4</v>
      </c>
      <c r="G632" s="8"/>
      <c r="H632" s="144">
        <v>1086005.69</v>
      </c>
      <c r="I632" s="80"/>
      <c r="J632" s="80"/>
    </row>
    <row r="633" spans="1:10" ht="38.25" customHeight="1" x14ac:dyDescent="0.2">
      <c r="A633" s="12" t="s">
        <v>6465</v>
      </c>
      <c r="B633" s="557" t="s">
        <v>446</v>
      </c>
      <c r="C633" s="557" t="s">
        <v>7826</v>
      </c>
      <c r="D633" s="12" t="s">
        <v>8007</v>
      </c>
      <c r="E633" s="8" t="s">
        <v>177</v>
      </c>
      <c r="F633" s="149">
        <v>235</v>
      </c>
      <c r="G633" s="556">
        <v>1953</v>
      </c>
      <c r="H633" s="144">
        <v>48308.95</v>
      </c>
      <c r="I633" s="80" t="s">
        <v>8169</v>
      </c>
      <c r="J633" s="80" t="s">
        <v>8169</v>
      </c>
    </row>
    <row r="634" spans="1:10" ht="34.5" customHeight="1" x14ac:dyDescent="0.2">
      <c r="A634" s="12" t="s">
        <v>7906</v>
      </c>
      <c r="B634" s="556" t="s">
        <v>3641</v>
      </c>
      <c r="C634" s="556" t="s">
        <v>5709</v>
      </c>
      <c r="D634" s="12" t="s">
        <v>8064</v>
      </c>
      <c r="E634" s="12" t="s">
        <v>7689</v>
      </c>
      <c r="F634" s="172">
        <v>98.1</v>
      </c>
      <c r="G634" s="12" t="s">
        <v>64</v>
      </c>
      <c r="H634" s="144">
        <v>775671.44</v>
      </c>
      <c r="I634" s="556" t="s">
        <v>7905</v>
      </c>
      <c r="J634" s="556" t="s">
        <v>7905</v>
      </c>
    </row>
    <row r="635" spans="1:10" ht="25.5" customHeight="1" x14ac:dyDescent="0.2">
      <c r="A635" s="12" t="s">
        <v>7932</v>
      </c>
      <c r="B635" s="557" t="s">
        <v>7955</v>
      </c>
      <c r="C635" s="557" t="s">
        <v>7992</v>
      </c>
      <c r="D635" s="553" t="s">
        <v>7956</v>
      </c>
      <c r="E635" s="345" t="s">
        <v>302</v>
      </c>
      <c r="F635" s="149" t="s">
        <v>10704</v>
      </c>
      <c r="G635" s="8" t="s">
        <v>80</v>
      </c>
      <c r="H635" s="144" t="s">
        <v>10705</v>
      </c>
      <c r="I635" s="557"/>
      <c r="J635" s="557"/>
    </row>
    <row r="636" spans="1:10" ht="57" customHeight="1" x14ac:dyDescent="0.2">
      <c r="A636" s="12" t="s">
        <v>7957</v>
      </c>
      <c r="B636" s="31" t="s">
        <v>281</v>
      </c>
      <c r="C636" s="557" t="s">
        <v>7992</v>
      </c>
      <c r="D636" s="553" t="s">
        <v>10702</v>
      </c>
      <c r="E636" s="345" t="s">
        <v>302</v>
      </c>
      <c r="F636" s="149">
        <v>572.5</v>
      </c>
      <c r="G636" s="8" t="s">
        <v>80</v>
      </c>
      <c r="H636" s="144">
        <v>117688.83</v>
      </c>
      <c r="I636" s="8" t="s">
        <v>8017</v>
      </c>
      <c r="J636" s="8" t="s">
        <v>8017</v>
      </c>
    </row>
    <row r="637" spans="1:10" ht="45" customHeight="1" x14ac:dyDescent="0.2">
      <c r="A637" s="12" t="s">
        <v>10701</v>
      </c>
      <c r="B637" s="31" t="s">
        <v>281</v>
      </c>
      <c r="C637" s="734" t="s">
        <v>7992</v>
      </c>
      <c r="D637" s="731" t="s">
        <v>10703</v>
      </c>
      <c r="E637" s="345" t="s">
        <v>7971</v>
      </c>
      <c r="F637" s="149">
        <v>845.5</v>
      </c>
      <c r="G637" s="8" t="s">
        <v>80</v>
      </c>
      <c r="H637" s="144">
        <v>173809.44</v>
      </c>
      <c r="I637" s="734" t="s">
        <v>13206</v>
      </c>
      <c r="J637" s="734" t="s">
        <v>13206</v>
      </c>
    </row>
    <row r="638" spans="1:10" ht="33.75" customHeight="1" x14ac:dyDescent="0.2">
      <c r="A638" s="12" t="s">
        <v>7933</v>
      </c>
      <c r="B638" s="556" t="s">
        <v>10530</v>
      </c>
      <c r="C638" s="17" t="s">
        <v>7737</v>
      </c>
      <c r="D638" s="553" t="s">
        <v>7990</v>
      </c>
      <c r="E638" s="553" t="s">
        <v>7991</v>
      </c>
      <c r="F638" s="107">
        <v>93.3</v>
      </c>
      <c r="G638" s="556" t="s">
        <v>2657</v>
      </c>
      <c r="H638" s="41">
        <v>1765448.72</v>
      </c>
      <c r="I638" s="556" t="s">
        <v>7926</v>
      </c>
      <c r="J638" s="556" t="s">
        <v>7926</v>
      </c>
    </row>
    <row r="639" spans="1:10" ht="47.25" customHeight="1" x14ac:dyDescent="0.2">
      <c r="A639" s="12" t="s">
        <v>8066</v>
      </c>
      <c r="B639" s="556" t="s">
        <v>10530</v>
      </c>
      <c r="C639" s="556" t="s">
        <v>5892</v>
      </c>
      <c r="D639" s="553" t="s">
        <v>8067</v>
      </c>
      <c r="E639" s="553" t="s">
        <v>7991</v>
      </c>
      <c r="F639" s="107">
        <v>83.8</v>
      </c>
      <c r="G639" s="556" t="s">
        <v>80</v>
      </c>
      <c r="H639" s="223">
        <v>1585687.06</v>
      </c>
      <c r="I639" s="556" t="s">
        <v>90</v>
      </c>
      <c r="J639" s="556" t="s">
        <v>90</v>
      </c>
    </row>
    <row r="640" spans="1:10" ht="27" customHeight="1" x14ac:dyDescent="0.2">
      <c r="A640" s="12" t="s">
        <v>8990</v>
      </c>
      <c r="B640" s="556" t="s">
        <v>8991</v>
      </c>
      <c r="C640" s="17" t="s">
        <v>8992</v>
      </c>
      <c r="D640" s="553" t="s">
        <v>8993</v>
      </c>
      <c r="E640" s="553" t="s">
        <v>8999</v>
      </c>
      <c r="F640" s="107">
        <v>1326.4</v>
      </c>
      <c r="G640" s="556"/>
      <c r="H640" s="41"/>
      <c r="I640" s="556"/>
      <c r="J640" s="556"/>
    </row>
    <row r="641" spans="1:10" ht="46.5" customHeight="1" x14ac:dyDescent="0.2">
      <c r="A641" s="65" t="s">
        <v>9288</v>
      </c>
      <c r="B641" s="556" t="s">
        <v>9293</v>
      </c>
      <c r="C641" s="556" t="s">
        <v>9108</v>
      </c>
      <c r="D641" s="553" t="s">
        <v>9296</v>
      </c>
      <c r="E641" s="553" t="s">
        <v>9297</v>
      </c>
      <c r="F641" s="107">
        <v>19.8</v>
      </c>
      <c r="G641" s="556" t="s">
        <v>3477</v>
      </c>
      <c r="H641" s="41">
        <v>189522.04</v>
      </c>
      <c r="I641" s="556" t="s">
        <v>5633</v>
      </c>
      <c r="J641" s="556" t="s">
        <v>5633</v>
      </c>
    </row>
    <row r="642" spans="1:10" ht="46.5" customHeight="1" x14ac:dyDescent="0.2">
      <c r="A642" s="65" t="s">
        <v>9289</v>
      </c>
      <c r="B642" s="556" t="s">
        <v>9293</v>
      </c>
      <c r="C642" s="556" t="s">
        <v>9109</v>
      </c>
      <c r="D642" s="553" t="s">
        <v>9291</v>
      </c>
      <c r="E642" s="553" t="s">
        <v>9292</v>
      </c>
      <c r="F642" s="107">
        <v>96.3</v>
      </c>
      <c r="G642" s="556" t="s">
        <v>3104</v>
      </c>
      <c r="H642" s="41">
        <v>921766.27</v>
      </c>
      <c r="I642" s="556" t="s">
        <v>5633</v>
      </c>
      <c r="J642" s="556" t="s">
        <v>5633</v>
      </c>
    </row>
    <row r="643" spans="1:10" ht="46.5" customHeight="1" x14ac:dyDescent="0.2">
      <c r="A643" s="65" t="s">
        <v>9290</v>
      </c>
      <c r="B643" s="556" t="s">
        <v>9294</v>
      </c>
      <c r="C643" s="556" t="s">
        <v>9109</v>
      </c>
      <c r="D643" s="553" t="s">
        <v>9295</v>
      </c>
      <c r="E643" s="553" t="s">
        <v>9292</v>
      </c>
      <c r="F643" s="107">
        <v>20.3</v>
      </c>
      <c r="G643" s="556" t="s">
        <v>2658</v>
      </c>
      <c r="H643" s="41">
        <v>194307.95</v>
      </c>
      <c r="I643" s="556" t="s">
        <v>5633</v>
      </c>
      <c r="J643" s="556" t="s">
        <v>5633</v>
      </c>
    </row>
    <row r="644" spans="1:10" ht="34.5" customHeight="1" x14ac:dyDescent="0.2">
      <c r="A644" s="12" t="s">
        <v>9360</v>
      </c>
      <c r="B644" s="556" t="s">
        <v>3641</v>
      </c>
      <c r="C644" s="556" t="s">
        <v>5651</v>
      </c>
      <c r="D644" s="553" t="s">
        <v>9414</v>
      </c>
      <c r="E644" s="553" t="s">
        <v>9363</v>
      </c>
      <c r="F644" s="107">
        <v>11.2</v>
      </c>
      <c r="G644" s="556"/>
      <c r="H644" s="41">
        <v>340435.98</v>
      </c>
      <c r="I644" s="544" t="s">
        <v>5618</v>
      </c>
      <c r="J644" s="544" t="s">
        <v>5618</v>
      </c>
    </row>
    <row r="645" spans="1:10" ht="48.75" customHeight="1" x14ac:dyDescent="0.2">
      <c r="A645" s="12" t="s">
        <v>9361</v>
      </c>
      <c r="B645" s="12" t="s">
        <v>3459</v>
      </c>
      <c r="C645" s="17" t="s">
        <v>6663</v>
      </c>
      <c r="D645" s="553" t="s">
        <v>9487</v>
      </c>
      <c r="E645" s="18" t="s">
        <v>9468</v>
      </c>
      <c r="F645" s="107">
        <v>32.1</v>
      </c>
      <c r="G645" s="556" t="s">
        <v>5471</v>
      </c>
      <c r="H645" s="41">
        <v>104030.64</v>
      </c>
      <c r="I645" s="556" t="s">
        <v>88</v>
      </c>
      <c r="J645" s="556" t="s">
        <v>88</v>
      </c>
    </row>
    <row r="646" spans="1:10" ht="34.5" customHeight="1" x14ac:dyDescent="0.2">
      <c r="A646" s="12" t="s">
        <v>9362</v>
      </c>
      <c r="B646" s="556" t="s">
        <v>3641</v>
      </c>
      <c r="C646" s="96" t="s">
        <v>7978</v>
      </c>
      <c r="D646" s="553" t="s">
        <v>9570</v>
      </c>
      <c r="E646" s="553" t="s">
        <v>9292</v>
      </c>
      <c r="F646" s="107">
        <v>90.8</v>
      </c>
      <c r="G646" s="556" t="s">
        <v>2658</v>
      </c>
      <c r="H646" s="41"/>
      <c r="I646" s="96" t="s">
        <v>9809</v>
      </c>
      <c r="J646" s="96" t="s">
        <v>9809</v>
      </c>
    </row>
    <row r="647" spans="1:10" ht="44.25" customHeight="1" x14ac:dyDescent="0.2">
      <c r="A647" s="12" t="s">
        <v>9543</v>
      </c>
      <c r="B647" s="556" t="s">
        <v>9548</v>
      </c>
      <c r="C647" s="114" t="s">
        <v>6444</v>
      </c>
      <c r="D647" s="553" t="s">
        <v>9569</v>
      </c>
      <c r="E647" s="553" t="s">
        <v>2321</v>
      </c>
      <c r="F647" s="107">
        <v>73.400000000000006</v>
      </c>
      <c r="G647" s="556" t="s">
        <v>3476</v>
      </c>
      <c r="H647" s="41">
        <v>579979.64</v>
      </c>
      <c r="I647" s="556" t="s">
        <v>14005</v>
      </c>
      <c r="J647" s="556" t="s">
        <v>14005</v>
      </c>
    </row>
    <row r="648" spans="1:10" ht="66.75" customHeight="1" x14ac:dyDescent="0.2">
      <c r="A648" s="12" t="s">
        <v>9544</v>
      </c>
      <c r="B648" s="556" t="s">
        <v>3107</v>
      </c>
      <c r="C648" s="556" t="s">
        <v>9554</v>
      </c>
      <c r="D648" s="553" t="s">
        <v>9576</v>
      </c>
      <c r="E648" s="553" t="s">
        <v>177</v>
      </c>
      <c r="F648" s="107">
        <v>201.7</v>
      </c>
      <c r="G648" s="556" t="s">
        <v>3563</v>
      </c>
      <c r="H648" s="41">
        <v>41463.47</v>
      </c>
      <c r="I648" s="556" t="s">
        <v>329</v>
      </c>
      <c r="J648" s="556" t="s">
        <v>3088</v>
      </c>
    </row>
    <row r="649" spans="1:10" ht="54.75" customHeight="1" x14ac:dyDescent="0.2">
      <c r="A649" s="12" t="s">
        <v>9545</v>
      </c>
      <c r="B649" s="556" t="s">
        <v>517</v>
      </c>
      <c r="C649" s="556" t="s">
        <v>9554</v>
      </c>
      <c r="D649" s="553" t="s">
        <v>9577</v>
      </c>
      <c r="E649" s="553" t="s">
        <v>177</v>
      </c>
      <c r="F649" s="107">
        <v>10.8</v>
      </c>
      <c r="G649" s="556"/>
      <c r="H649" s="41">
        <v>74825.75</v>
      </c>
      <c r="I649" s="556" t="s">
        <v>329</v>
      </c>
      <c r="J649" s="556" t="s">
        <v>3088</v>
      </c>
    </row>
    <row r="650" spans="1:10" ht="59.25" customHeight="1" x14ac:dyDescent="0.2">
      <c r="A650" s="12" t="s">
        <v>9546</v>
      </c>
      <c r="B650" s="556" t="s">
        <v>9556</v>
      </c>
      <c r="C650" s="556" t="s">
        <v>9554</v>
      </c>
      <c r="D650" s="553" t="s">
        <v>9578</v>
      </c>
      <c r="E650" s="553" t="s">
        <v>177</v>
      </c>
      <c r="F650" s="107">
        <v>17.399999999999999</v>
      </c>
      <c r="G650" s="556"/>
      <c r="H650" s="41">
        <v>120552.59</v>
      </c>
      <c r="I650" s="556" t="s">
        <v>329</v>
      </c>
      <c r="J650" s="556" t="s">
        <v>3088</v>
      </c>
    </row>
    <row r="651" spans="1:10" ht="33.75" customHeight="1" x14ac:dyDescent="0.2">
      <c r="A651" s="12" t="s">
        <v>9547</v>
      </c>
      <c r="B651" s="556" t="s">
        <v>9582</v>
      </c>
      <c r="C651" s="114" t="s">
        <v>9581</v>
      </c>
      <c r="D651" s="553" t="s">
        <v>9580</v>
      </c>
      <c r="E651" s="553" t="s">
        <v>2277</v>
      </c>
      <c r="F651" s="107">
        <v>93.6</v>
      </c>
      <c r="G651" s="556" t="s">
        <v>483</v>
      </c>
      <c r="H651" s="41">
        <v>573822.29</v>
      </c>
      <c r="I651" s="32" t="s">
        <v>9648</v>
      </c>
      <c r="J651" s="32" t="s">
        <v>9648</v>
      </c>
    </row>
    <row r="652" spans="1:10" ht="45" customHeight="1" x14ac:dyDescent="0.2">
      <c r="A652" s="12" t="s">
        <v>9549</v>
      </c>
      <c r="B652" s="556" t="s">
        <v>10568</v>
      </c>
      <c r="C652" s="114" t="s">
        <v>10569</v>
      </c>
      <c r="D652" s="553" t="s">
        <v>10570</v>
      </c>
      <c r="E652" s="553" t="s">
        <v>5495</v>
      </c>
      <c r="F652" s="174">
        <v>33</v>
      </c>
      <c r="G652" s="556" t="s">
        <v>5471</v>
      </c>
      <c r="H652" s="41">
        <v>456851.34</v>
      </c>
      <c r="I652" s="8" t="s">
        <v>3774</v>
      </c>
      <c r="J652" s="556"/>
    </row>
    <row r="653" spans="1:10" ht="24.75" customHeight="1" x14ac:dyDescent="0.2">
      <c r="A653" s="12" t="s">
        <v>9550</v>
      </c>
      <c r="B653" s="556" t="s">
        <v>13858</v>
      </c>
      <c r="C653" s="114" t="s">
        <v>9661</v>
      </c>
      <c r="D653" s="553" t="s">
        <v>9688</v>
      </c>
      <c r="E653" s="553" t="s">
        <v>9662</v>
      </c>
      <c r="F653" s="107">
        <f>5*11</f>
        <v>55</v>
      </c>
      <c r="G653" s="556" t="s">
        <v>3408</v>
      </c>
      <c r="H653" s="41">
        <v>366280.75</v>
      </c>
      <c r="I653" s="556" t="s">
        <v>13820</v>
      </c>
      <c r="J653" s="810" t="s">
        <v>13820</v>
      </c>
    </row>
    <row r="654" spans="1:10" ht="36" customHeight="1" x14ac:dyDescent="0.2">
      <c r="A654" s="12" t="s">
        <v>9551</v>
      </c>
      <c r="B654" s="556" t="s">
        <v>9832</v>
      </c>
      <c r="C654" s="114" t="s">
        <v>6209</v>
      </c>
      <c r="D654" s="553" t="s">
        <v>9883</v>
      </c>
      <c r="E654" s="553" t="s">
        <v>2321</v>
      </c>
      <c r="F654" s="107">
        <f>4.5*4.5</f>
        <v>20.25</v>
      </c>
      <c r="G654" s="556" t="s">
        <v>3366</v>
      </c>
      <c r="H654" s="41"/>
      <c r="I654" s="556" t="s">
        <v>87</v>
      </c>
      <c r="J654" s="556"/>
    </row>
    <row r="655" spans="1:10" ht="36" customHeight="1" x14ac:dyDescent="0.2">
      <c r="A655" s="12" t="s">
        <v>9552</v>
      </c>
      <c r="B655" s="556" t="s">
        <v>9832</v>
      </c>
      <c r="C655" s="8" t="s">
        <v>9828</v>
      </c>
      <c r="D655" s="553" t="s">
        <v>9881</v>
      </c>
      <c r="E655" s="553" t="s">
        <v>2321</v>
      </c>
      <c r="F655" s="107">
        <f>4.1*4.1</f>
        <v>16.809999999999999</v>
      </c>
      <c r="G655" s="8" t="s">
        <v>3366</v>
      </c>
      <c r="H655" s="8"/>
      <c r="I655" s="556" t="s">
        <v>87</v>
      </c>
      <c r="J655" s="8"/>
    </row>
    <row r="656" spans="1:10" ht="56.25" x14ac:dyDescent="0.2">
      <c r="A656" s="12" t="s">
        <v>10531</v>
      </c>
      <c r="B656" s="556" t="s">
        <v>10532</v>
      </c>
      <c r="C656" s="114" t="s">
        <v>3957</v>
      </c>
      <c r="D656" s="553" t="s">
        <v>10533</v>
      </c>
      <c r="E656" s="553" t="s">
        <v>10534</v>
      </c>
      <c r="F656" s="174">
        <v>28.26</v>
      </c>
      <c r="G656" s="556" t="s">
        <v>2711</v>
      </c>
      <c r="H656" s="41">
        <v>106582.89</v>
      </c>
      <c r="I656" s="8" t="s">
        <v>9605</v>
      </c>
      <c r="J656" s="584" t="s">
        <v>12012</v>
      </c>
    </row>
    <row r="657" spans="1:10" ht="56.25" x14ac:dyDescent="0.2">
      <c r="A657" s="12" t="s">
        <v>10535</v>
      </c>
      <c r="B657" s="556" t="s">
        <v>10536</v>
      </c>
      <c r="C657" s="114" t="s">
        <v>3957</v>
      </c>
      <c r="D657" s="553" t="s">
        <v>10537</v>
      </c>
      <c r="E657" s="553" t="s">
        <v>10534</v>
      </c>
      <c r="F657" s="174">
        <v>28.26</v>
      </c>
      <c r="G657" s="556" t="s">
        <v>2711</v>
      </c>
      <c r="H657" s="41">
        <v>106582.89</v>
      </c>
      <c r="I657" s="8" t="s">
        <v>9605</v>
      </c>
      <c r="J657" s="584" t="s">
        <v>12012</v>
      </c>
    </row>
    <row r="658" spans="1:10" ht="22.5" x14ac:dyDescent="0.2">
      <c r="A658" s="1298" t="s">
        <v>10538</v>
      </c>
      <c r="B658" s="1303" t="s">
        <v>10539</v>
      </c>
      <c r="C658" s="1298" t="s">
        <v>3957</v>
      </c>
      <c r="D658" s="553" t="s">
        <v>10540</v>
      </c>
      <c r="E658" s="553" t="s">
        <v>10534</v>
      </c>
      <c r="F658" s="174">
        <v>28.26</v>
      </c>
      <c r="G658" s="556" t="s">
        <v>2711</v>
      </c>
      <c r="H658" s="41">
        <v>106582.89</v>
      </c>
      <c r="I658" s="1286" t="s">
        <v>9605</v>
      </c>
      <c r="J658" s="1286" t="s">
        <v>12012</v>
      </c>
    </row>
    <row r="659" spans="1:10" ht="35.25" customHeight="1" x14ac:dyDescent="0.2">
      <c r="A659" s="1302"/>
      <c r="B659" s="1304"/>
      <c r="C659" s="1302"/>
      <c r="D659" s="373" t="s">
        <v>10541</v>
      </c>
      <c r="E659" s="1300" t="s">
        <v>10542</v>
      </c>
      <c r="F659" s="1301"/>
      <c r="G659" s="556" t="s">
        <v>10543</v>
      </c>
      <c r="H659" s="41"/>
      <c r="I659" s="1287"/>
      <c r="J659" s="1287"/>
    </row>
    <row r="660" spans="1:10" ht="36" customHeight="1" x14ac:dyDescent="0.2">
      <c r="A660" s="1299"/>
      <c r="B660" s="1305"/>
      <c r="C660" s="1299"/>
      <c r="D660" s="373" t="s">
        <v>10541</v>
      </c>
      <c r="E660" s="1300" t="s">
        <v>10544</v>
      </c>
      <c r="F660" s="1301"/>
      <c r="G660" s="556" t="s">
        <v>10543</v>
      </c>
      <c r="H660" s="41"/>
      <c r="I660" s="1288"/>
      <c r="J660" s="1288"/>
    </row>
    <row r="661" spans="1:10" ht="56.25" x14ac:dyDescent="0.2">
      <c r="A661" s="12" t="s">
        <v>10545</v>
      </c>
      <c r="B661" s="556" t="s">
        <v>10546</v>
      </c>
      <c r="C661" s="114" t="s">
        <v>3957</v>
      </c>
      <c r="D661" s="553" t="s">
        <v>10547</v>
      </c>
      <c r="E661" s="553" t="s">
        <v>10534</v>
      </c>
      <c r="F661" s="174">
        <v>28.26</v>
      </c>
      <c r="G661" s="556" t="s">
        <v>2711</v>
      </c>
      <c r="H661" s="41">
        <v>106582.89</v>
      </c>
      <c r="I661" s="8" t="s">
        <v>9605</v>
      </c>
      <c r="J661" s="584" t="s">
        <v>12012</v>
      </c>
    </row>
    <row r="662" spans="1:10" ht="56.25" x14ac:dyDescent="0.2">
      <c r="A662" s="12" t="s">
        <v>10548</v>
      </c>
      <c r="B662" s="556" t="s">
        <v>10549</v>
      </c>
      <c r="C662" s="114" t="s">
        <v>3956</v>
      </c>
      <c r="D662" s="553" t="s">
        <v>10550</v>
      </c>
      <c r="E662" s="553" t="s">
        <v>10534</v>
      </c>
      <c r="F662" s="174">
        <v>28.26</v>
      </c>
      <c r="G662" s="556"/>
      <c r="H662" s="41">
        <v>106582.89</v>
      </c>
      <c r="I662" s="8" t="s">
        <v>9605</v>
      </c>
      <c r="J662" s="584" t="s">
        <v>12012</v>
      </c>
    </row>
    <row r="663" spans="1:10" ht="56.25" x14ac:dyDescent="0.2">
      <c r="A663" s="12" t="s">
        <v>10551</v>
      </c>
      <c r="B663" s="556" t="s">
        <v>10552</v>
      </c>
      <c r="C663" s="114" t="s">
        <v>10553</v>
      </c>
      <c r="D663" s="553" t="s">
        <v>10554</v>
      </c>
      <c r="E663" s="553" t="s">
        <v>10534</v>
      </c>
      <c r="F663" s="174">
        <f>3*5</f>
        <v>15</v>
      </c>
      <c r="G663" s="556" t="s">
        <v>475</v>
      </c>
      <c r="H663" s="41">
        <v>143577.29999999999</v>
      </c>
      <c r="I663" s="8" t="s">
        <v>9605</v>
      </c>
      <c r="J663" s="584" t="s">
        <v>12012</v>
      </c>
    </row>
    <row r="664" spans="1:10" ht="56.25" x14ac:dyDescent="0.2">
      <c r="A664" s="12" t="s">
        <v>10555</v>
      </c>
      <c r="B664" s="556" t="s">
        <v>10556</v>
      </c>
      <c r="C664" s="114" t="s">
        <v>10557</v>
      </c>
      <c r="D664" s="553" t="s">
        <v>10558</v>
      </c>
      <c r="E664" s="553" t="s">
        <v>10559</v>
      </c>
      <c r="F664" s="174">
        <f>3*3</f>
        <v>9</v>
      </c>
      <c r="G664" s="556" t="s">
        <v>475</v>
      </c>
      <c r="H664" s="41">
        <v>86146.38</v>
      </c>
      <c r="I664" s="8" t="s">
        <v>9605</v>
      </c>
      <c r="J664" s="584" t="s">
        <v>12012</v>
      </c>
    </row>
    <row r="665" spans="1:10" ht="22.5" x14ac:dyDescent="0.2">
      <c r="A665" s="640" t="s">
        <v>10564</v>
      </c>
      <c r="B665" s="640" t="s">
        <v>12073</v>
      </c>
      <c r="C665" s="640" t="s">
        <v>12074</v>
      </c>
      <c r="D665" s="648" t="s">
        <v>12075</v>
      </c>
      <c r="E665" s="648" t="s">
        <v>12076</v>
      </c>
      <c r="F665" s="107">
        <v>73.8</v>
      </c>
      <c r="G665" s="642" t="s">
        <v>4119</v>
      </c>
      <c r="H665" s="41">
        <v>15171.07</v>
      </c>
      <c r="J665" s="174"/>
    </row>
    <row r="666" spans="1:10" ht="56.25" x14ac:dyDescent="0.2">
      <c r="A666" s="12" t="s">
        <v>10565</v>
      </c>
      <c r="B666" s="650" t="s">
        <v>12401</v>
      </c>
      <c r="C666" s="643" t="s">
        <v>12402</v>
      </c>
      <c r="D666" s="648" t="s">
        <v>12403</v>
      </c>
      <c r="E666" s="648" t="s">
        <v>12404</v>
      </c>
      <c r="F666" s="174">
        <v>36.6</v>
      </c>
      <c r="G666" s="8"/>
      <c r="H666" s="41">
        <v>360612.11</v>
      </c>
      <c r="I666" s="8" t="s">
        <v>12504</v>
      </c>
      <c r="J666" s="643" t="s">
        <v>12505</v>
      </c>
    </row>
    <row r="667" spans="1:10" ht="45" x14ac:dyDescent="0.2">
      <c r="A667" s="690" t="s">
        <v>12971</v>
      </c>
      <c r="B667" s="690" t="s">
        <v>12972</v>
      </c>
      <c r="C667" s="691" t="s">
        <v>12973</v>
      </c>
      <c r="D667" s="345"/>
      <c r="E667" s="345" t="s">
        <v>2257</v>
      </c>
      <c r="F667" s="219"/>
      <c r="G667" s="692" t="s">
        <v>8262</v>
      </c>
      <c r="H667" s="219">
        <v>480323.92</v>
      </c>
      <c r="I667" s="21"/>
      <c r="J667" s="8"/>
    </row>
    <row r="668" spans="1:10" ht="45" x14ac:dyDescent="0.2">
      <c r="A668" s="690" t="s">
        <v>12974</v>
      </c>
      <c r="B668" s="690" t="s">
        <v>12975</v>
      </c>
      <c r="C668" s="691" t="s">
        <v>12973</v>
      </c>
      <c r="D668" s="345"/>
      <c r="E668" s="345" t="s">
        <v>2257</v>
      </c>
      <c r="F668" s="219"/>
      <c r="G668" s="692" t="s">
        <v>8262</v>
      </c>
      <c r="H668" s="219">
        <v>390526</v>
      </c>
      <c r="I668" s="21"/>
      <c r="J668" s="8"/>
    </row>
    <row r="669" spans="1:10" ht="45" x14ac:dyDescent="0.2">
      <c r="A669" s="8" t="s">
        <v>12976</v>
      </c>
      <c r="B669" s="690" t="s">
        <v>12977</v>
      </c>
      <c r="C669" s="691" t="s">
        <v>12973</v>
      </c>
      <c r="D669" s="345"/>
      <c r="E669" s="345" t="s">
        <v>3054</v>
      </c>
      <c r="F669" s="219"/>
      <c r="G669" s="692" t="s">
        <v>8262</v>
      </c>
      <c r="H669" s="219">
        <v>279604</v>
      </c>
      <c r="I669" s="21"/>
      <c r="J669" s="8"/>
    </row>
    <row r="670" spans="1:10" ht="45" x14ac:dyDescent="0.2">
      <c r="A670" s="728" t="s">
        <v>12978</v>
      </c>
      <c r="B670" s="728" t="s">
        <v>12979</v>
      </c>
      <c r="C670" s="729" t="s">
        <v>12964</v>
      </c>
      <c r="D670" s="345" t="s">
        <v>12980</v>
      </c>
      <c r="E670" s="345" t="s">
        <v>9468</v>
      </c>
      <c r="F670" s="56">
        <f>5.8*10.8</f>
        <v>62.64</v>
      </c>
      <c r="G670" s="734" t="s">
        <v>5471</v>
      </c>
      <c r="H670" s="219">
        <v>685107</v>
      </c>
      <c r="I670" s="21"/>
      <c r="J670" s="8"/>
    </row>
    <row r="671" spans="1:10" ht="22.5" x14ac:dyDescent="0.2">
      <c r="A671" s="688" t="s">
        <v>12981</v>
      </c>
      <c r="B671" s="688" t="s">
        <v>12982</v>
      </c>
      <c r="C671" s="693" t="s">
        <v>12983</v>
      </c>
      <c r="D671" s="694" t="s">
        <v>12984</v>
      </c>
      <c r="E671" s="694" t="s">
        <v>12564</v>
      </c>
      <c r="F671" s="695">
        <v>99.2</v>
      </c>
      <c r="G671" s="689" t="s">
        <v>159</v>
      </c>
      <c r="H671" s="696">
        <v>285854.71999999997</v>
      </c>
      <c r="J671" s="8"/>
    </row>
    <row r="672" spans="1:10" ht="56.25" x14ac:dyDescent="0.2">
      <c r="A672" s="728" t="s">
        <v>12985</v>
      </c>
      <c r="B672" s="728" t="s">
        <v>517</v>
      </c>
      <c r="C672" s="729" t="s">
        <v>12986</v>
      </c>
      <c r="D672" s="345" t="s">
        <v>12987</v>
      </c>
      <c r="E672" s="345" t="s">
        <v>12988</v>
      </c>
      <c r="F672" s="219">
        <v>186.3</v>
      </c>
      <c r="G672" s="734" t="s">
        <v>4096</v>
      </c>
      <c r="H672" s="41">
        <v>978041.47</v>
      </c>
      <c r="I672" s="21"/>
      <c r="J672" s="8"/>
    </row>
    <row r="673" spans="1:10" ht="33.75" x14ac:dyDescent="0.2">
      <c r="A673" s="728" t="s">
        <v>12989</v>
      </c>
      <c r="B673" s="734" t="s">
        <v>12990</v>
      </c>
      <c r="C673" s="734" t="s">
        <v>12991</v>
      </c>
      <c r="D673" s="345" t="s">
        <v>12992</v>
      </c>
      <c r="E673" s="345" t="s">
        <v>12993</v>
      </c>
      <c r="F673" s="56">
        <f>199.3</f>
        <v>199.3</v>
      </c>
      <c r="G673" s="734" t="s">
        <v>75</v>
      </c>
      <c r="H673" s="41">
        <f>1095960.67</f>
        <v>1095960.67</v>
      </c>
      <c r="I673" s="21"/>
      <c r="J673" s="8"/>
    </row>
    <row r="674" spans="1:10" ht="45" x14ac:dyDescent="0.2">
      <c r="A674" s="732" t="s">
        <v>13461</v>
      </c>
      <c r="B674" s="726" t="s">
        <v>13462</v>
      </c>
      <c r="C674" s="733" t="s">
        <v>13463</v>
      </c>
      <c r="D674" s="731" t="s">
        <v>13464</v>
      </c>
      <c r="E674" s="731" t="s">
        <v>2267</v>
      </c>
      <c r="F674" s="107">
        <v>64.599999999999994</v>
      </c>
      <c r="G674" s="733" t="s">
        <v>75</v>
      </c>
      <c r="H674" s="41" t="s">
        <v>13486</v>
      </c>
      <c r="I674" s="733" t="s">
        <v>13487</v>
      </c>
      <c r="J674" s="733" t="s">
        <v>13488</v>
      </c>
    </row>
    <row r="675" spans="1:10" ht="45" x14ac:dyDescent="0.2">
      <c r="A675" s="732" t="s">
        <v>13465</v>
      </c>
      <c r="B675" s="726" t="s">
        <v>13466</v>
      </c>
      <c r="C675" s="733" t="s">
        <v>13463</v>
      </c>
      <c r="D675" s="731" t="s">
        <v>13467</v>
      </c>
      <c r="E675" s="731" t="s">
        <v>2267</v>
      </c>
      <c r="F675" s="107">
        <v>39.200000000000003</v>
      </c>
      <c r="G675" s="733" t="s">
        <v>3644</v>
      </c>
      <c r="H675" s="41">
        <v>432234.1</v>
      </c>
      <c r="I675" s="733" t="s">
        <v>13487</v>
      </c>
      <c r="J675" s="733" t="s">
        <v>13488</v>
      </c>
    </row>
    <row r="676" spans="1:10" ht="45" x14ac:dyDescent="0.2">
      <c r="A676" s="732" t="s">
        <v>13468</v>
      </c>
      <c r="B676" s="726" t="s">
        <v>13469</v>
      </c>
      <c r="C676" s="733" t="s">
        <v>13463</v>
      </c>
      <c r="D676" s="731" t="s">
        <v>13470</v>
      </c>
      <c r="E676" s="731" t="s">
        <v>2267</v>
      </c>
      <c r="F676" s="107">
        <v>56.8</v>
      </c>
      <c r="G676" s="733" t="s">
        <v>3644</v>
      </c>
      <c r="H676" s="41">
        <v>626298.38</v>
      </c>
      <c r="I676" s="733" t="s">
        <v>13487</v>
      </c>
      <c r="J676" s="733" t="s">
        <v>13488</v>
      </c>
    </row>
    <row r="677" spans="1:10" ht="45" x14ac:dyDescent="0.2">
      <c r="A677" s="732" t="s">
        <v>13471</v>
      </c>
      <c r="B677" s="726" t="s">
        <v>13472</v>
      </c>
      <c r="C677" s="733" t="s">
        <v>13463</v>
      </c>
      <c r="D677" s="731" t="s">
        <v>13473</v>
      </c>
      <c r="E677" s="731" t="s">
        <v>2267</v>
      </c>
      <c r="F677" s="107">
        <v>10</v>
      </c>
      <c r="G677" s="733" t="s">
        <v>3644</v>
      </c>
      <c r="H677" s="41">
        <v>110263.8</v>
      </c>
      <c r="I677" s="733" t="s">
        <v>13487</v>
      </c>
      <c r="J677" s="733" t="s">
        <v>13488</v>
      </c>
    </row>
    <row r="678" spans="1:10" ht="45" x14ac:dyDescent="0.2">
      <c r="A678" s="732" t="s">
        <v>13474</v>
      </c>
      <c r="B678" s="726" t="s">
        <v>13475</v>
      </c>
      <c r="C678" s="733" t="s">
        <v>13463</v>
      </c>
      <c r="D678" s="731" t="s">
        <v>13476</v>
      </c>
      <c r="E678" s="731" t="s">
        <v>2267</v>
      </c>
      <c r="F678" s="107">
        <v>18.5</v>
      </c>
      <c r="G678" s="733" t="s">
        <v>3644</v>
      </c>
      <c r="H678" s="41">
        <v>203988.03</v>
      </c>
      <c r="I678" s="733" t="s">
        <v>13487</v>
      </c>
      <c r="J678" s="733" t="s">
        <v>13488</v>
      </c>
    </row>
    <row r="679" spans="1:10" ht="45" x14ac:dyDescent="0.2">
      <c r="A679" s="732" t="s">
        <v>13477</v>
      </c>
      <c r="B679" s="726" t="s">
        <v>13478</v>
      </c>
      <c r="C679" s="733" t="s">
        <v>13463</v>
      </c>
      <c r="D679" s="731" t="s">
        <v>13479</v>
      </c>
      <c r="E679" s="731" t="s">
        <v>2267</v>
      </c>
      <c r="F679" s="107">
        <v>21.1</v>
      </c>
      <c r="G679" s="733" t="s">
        <v>75</v>
      </c>
      <c r="H679" s="41">
        <v>232656.62</v>
      </c>
      <c r="I679" s="733" t="s">
        <v>13487</v>
      </c>
      <c r="J679" s="733" t="s">
        <v>13488</v>
      </c>
    </row>
    <row r="680" spans="1:10" ht="45" x14ac:dyDescent="0.2">
      <c r="A680" s="732" t="s">
        <v>13480</v>
      </c>
      <c r="B680" s="726" t="s">
        <v>13481</v>
      </c>
      <c r="C680" s="733" t="s">
        <v>13463</v>
      </c>
      <c r="D680" s="731" t="s">
        <v>13482</v>
      </c>
      <c r="E680" s="731" t="s">
        <v>2267</v>
      </c>
      <c r="F680" s="107">
        <v>23.4</v>
      </c>
      <c r="G680" s="733" t="s">
        <v>75</v>
      </c>
      <c r="H680" s="41">
        <v>258017.29</v>
      </c>
      <c r="I680" s="733" t="s">
        <v>13487</v>
      </c>
      <c r="J680" s="733" t="s">
        <v>13488</v>
      </c>
    </row>
    <row r="681" spans="1:10" ht="45" x14ac:dyDescent="0.2">
      <c r="A681" s="737" t="s">
        <v>13483</v>
      </c>
      <c r="B681" s="733" t="s">
        <v>13484</v>
      </c>
      <c r="C681" s="733" t="s">
        <v>13463</v>
      </c>
      <c r="D681" s="731" t="s">
        <v>13485</v>
      </c>
      <c r="E681" s="731" t="s">
        <v>2267</v>
      </c>
      <c r="F681" s="107">
        <v>9.6</v>
      </c>
      <c r="G681" s="733" t="s">
        <v>75</v>
      </c>
      <c r="H681" s="41">
        <v>105853.25</v>
      </c>
      <c r="I681" s="733" t="s">
        <v>13487</v>
      </c>
      <c r="J681" s="733" t="s">
        <v>13488</v>
      </c>
    </row>
    <row r="682" spans="1:10" s="1132" customFormat="1" ht="45" x14ac:dyDescent="0.2">
      <c r="A682" s="1133" t="s">
        <v>14998</v>
      </c>
      <c r="B682" s="1126" t="s">
        <v>446</v>
      </c>
      <c r="C682" s="1127" t="s">
        <v>14999</v>
      </c>
      <c r="D682" s="1126" t="s">
        <v>15000</v>
      </c>
      <c r="E682" s="1128" t="s">
        <v>15001</v>
      </c>
      <c r="F682" s="1129">
        <v>786</v>
      </c>
      <c r="G682" s="1130" t="s">
        <v>159</v>
      </c>
      <c r="H682" s="1131">
        <v>2430567.7599999998</v>
      </c>
      <c r="I682" s="1130"/>
      <c r="J682" s="1130"/>
    </row>
    <row r="683" spans="1:10" ht="33.75" x14ac:dyDescent="0.2">
      <c r="A683" s="1125" t="s">
        <v>15337</v>
      </c>
      <c r="B683" s="869" t="s">
        <v>15341</v>
      </c>
      <c r="C683" s="1135" t="s">
        <v>15345</v>
      </c>
      <c r="D683" s="869" t="s">
        <v>15349</v>
      </c>
      <c r="E683" s="345" t="s">
        <v>2257</v>
      </c>
      <c r="F683" s="802" t="s">
        <v>15353</v>
      </c>
      <c r="G683" s="802" t="s">
        <v>80</v>
      </c>
      <c r="H683" s="802" t="s">
        <v>15354</v>
      </c>
      <c r="I683" s="802"/>
      <c r="J683" s="802"/>
    </row>
    <row r="684" spans="1:10" ht="45" customHeight="1" x14ac:dyDescent="0.2">
      <c r="A684" s="977" t="s">
        <v>15378</v>
      </c>
      <c r="B684" s="1134" t="s">
        <v>15372</v>
      </c>
      <c r="C684" s="1532" t="s">
        <v>15375</v>
      </c>
      <c r="D684" s="869" t="s">
        <v>15381</v>
      </c>
      <c r="E684" s="345" t="s">
        <v>2257</v>
      </c>
      <c r="F684" s="1136">
        <v>682</v>
      </c>
      <c r="G684" s="1093">
        <v>1969</v>
      </c>
      <c r="H684" s="802"/>
      <c r="I684" s="802"/>
      <c r="J684" s="802"/>
    </row>
    <row r="685" spans="1:10" s="801" customFormat="1" ht="33.75" customHeight="1" x14ac:dyDescent="0.2">
      <c r="A685" s="977" t="s">
        <v>15379</v>
      </c>
      <c r="B685" s="1134" t="s">
        <v>15373</v>
      </c>
      <c r="C685" s="1532" t="s">
        <v>15376</v>
      </c>
      <c r="D685" s="869" t="s">
        <v>15382</v>
      </c>
      <c r="E685" s="345" t="s">
        <v>3054</v>
      </c>
      <c r="F685" s="1136">
        <v>332.5</v>
      </c>
      <c r="G685" s="1093" t="s">
        <v>82</v>
      </c>
      <c r="H685" s="802"/>
      <c r="I685" s="802"/>
      <c r="J685" s="802"/>
    </row>
    <row r="686" spans="1:10" s="801" customFormat="1" ht="33.75" customHeight="1" x14ac:dyDescent="0.2">
      <c r="A686" s="977" t="s">
        <v>15380</v>
      </c>
      <c r="B686" s="1134" t="s">
        <v>15374</v>
      </c>
      <c r="C686" s="1532" t="s">
        <v>15377</v>
      </c>
      <c r="D686" s="869" t="s">
        <v>15383</v>
      </c>
      <c r="E686" s="345" t="s">
        <v>2257</v>
      </c>
      <c r="F686" s="1136">
        <v>231.1</v>
      </c>
      <c r="G686" s="1093" t="s">
        <v>2862</v>
      </c>
      <c r="H686" s="802"/>
      <c r="I686" s="802"/>
      <c r="J686" s="802"/>
    </row>
    <row r="687" spans="1:10" s="801" customFormat="1" x14ac:dyDescent="0.2">
      <c r="A687" s="1141"/>
      <c r="B687" s="802"/>
      <c r="C687" s="802"/>
      <c r="D687" s="804"/>
      <c r="E687" s="802"/>
      <c r="F687" s="802"/>
      <c r="G687" s="802"/>
      <c r="H687" s="802"/>
      <c r="I687" s="802"/>
      <c r="J687" s="802"/>
    </row>
    <row r="688" spans="1:10" s="801" customFormat="1" x14ac:dyDescent="0.2">
      <c r="A688" s="1141"/>
      <c r="B688" s="802"/>
      <c r="C688" s="802"/>
      <c r="D688" s="804"/>
      <c r="E688" s="802"/>
      <c r="F688" s="802"/>
      <c r="G688" s="802"/>
      <c r="H688" s="802"/>
      <c r="I688" s="802"/>
      <c r="J688" s="802"/>
    </row>
    <row r="689" spans="1:10" s="801" customFormat="1" x14ac:dyDescent="0.2">
      <c r="A689" s="1141"/>
      <c r="B689" s="802"/>
      <c r="C689" s="802"/>
      <c r="D689" s="804"/>
      <c r="E689" s="802"/>
      <c r="F689" s="802"/>
      <c r="G689" s="802"/>
      <c r="H689" s="802"/>
      <c r="I689" s="802"/>
      <c r="J689" s="802"/>
    </row>
  </sheetData>
  <sheetProtection selectLockedCells="1" selectUnlockedCells="1"/>
  <mergeCells count="95">
    <mergeCell ref="C429:C431"/>
    <mergeCell ref="H311:H312"/>
    <mergeCell ref="H332:H333"/>
    <mergeCell ref="H315:H316"/>
    <mergeCell ref="I294:I295"/>
    <mergeCell ref="J150:J151"/>
    <mergeCell ref="C229:C230"/>
    <mergeCell ref="J239:J241"/>
    <mergeCell ref="J244:J246"/>
    <mergeCell ref="D257:D258"/>
    <mergeCell ref="J188:J189"/>
    <mergeCell ref="J225:J226"/>
    <mergeCell ref="J227:J228"/>
    <mergeCell ref="J229:J230"/>
    <mergeCell ref="I150:I151"/>
    <mergeCell ref="C257:C258"/>
    <mergeCell ref="E519:E521"/>
    <mergeCell ref="H456:H457"/>
    <mergeCell ref="H402:H403"/>
    <mergeCell ref="I571:I572"/>
    <mergeCell ref="H337:H338"/>
    <mergeCell ref="I276:I277"/>
    <mergeCell ref="I278:I279"/>
    <mergeCell ref="J257:J258"/>
    <mergeCell ref="I239:I241"/>
    <mergeCell ref="I409:I410"/>
    <mergeCell ref="I402:I403"/>
    <mergeCell ref="J409:J410"/>
    <mergeCell ref="J370:J371"/>
    <mergeCell ref="J294:J295"/>
    <mergeCell ref="I257:I258"/>
    <mergeCell ref="I244:I246"/>
    <mergeCell ref="J111:J114"/>
    <mergeCell ref="C109:C110"/>
    <mergeCell ref="B93:C93"/>
    <mergeCell ref="B75:C75"/>
    <mergeCell ref="B41:C41"/>
    <mergeCell ref="B58:C58"/>
    <mergeCell ref="B52:C52"/>
    <mergeCell ref="I111:I114"/>
    <mergeCell ref="H45:H50"/>
    <mergeCell ref="A65:A66"/>
    <mergeCell ref="H183:H184"/>
    <mergeCell ref="A152:A153"/>
    <mergeCell ref="B152:B153"/>
    <mergeCell ref="B6:C6"/>
    <mergeCell ref="C150:C151"/>
    <mergeCell ref="C183:C185"/>
    <mergeCell ref="C136:C137"/>
    <mergeCell ref="D150:D151"/>
    <mergeCell ref="B188:B189"/>
    <mergeCell ref="C188:C189"/>
    <mergeCell ref="C227:C228"/>
    <mergeCell ref="C225:C226"/>
    <mergeCell ref="I225:I226"/>
    <mergeCell ref="I227:I228"/>
    <mergeCell ref="H188:H189"/>
    <mergeCell ref="B2:F2"/>
    <mergeCell ref="I229:I230"/>
    <mergeCell ref="C480:C481"/>
    <mergeCell ref="H300:H301"/>
    <mergeCell ref="A402:A403"/>
    <mergeCell ref="A429:A431"/>
    <mergeCell ref="B402:B403"/>
    <mergeCell ref="C402:C403"/>
    <mergeCell ref="C370:C371"/>
    <mergeCell ref="A136:A137"/>
    <mergeCell ref="B136:B137"/>
    <mergeCell ref="A111:A115"/>
    <mergeCell ref="D32:D33"/>
    <mergeCell ref="F32:F33"/>
    <mergeCell ref="A273:A274"/>
    <mergeCell ref="I188:I189"/>
    <mergeCell ref="J658:J660"/>
    <mergeCell ref="H519:H521"/>
    <mergeCell ref="H627:H631"/>
    <mergeCell ref="J402:J403"/>
    <mergeCell ref="I370:I371"/>
    <mergeCell ref="J429:J431"/>
    <mergeCell ref="H528:H529"/>
    <mergeCell ref="J571:J572"/>
    <mergeCell ref="E659:F659"/>
    <mergeCell ref="E660:F660"/>
    <mergeCell ref="I658:I660"/>
    <mergeCell ref="A658:A660"/>
    <mergeCell ref="B658:B660"/>
    <mergeCell ref="C658:C660"/>
    <mergeCell ref="C599:C606"/>
    <mergeCell ref="D519:D521"/>
    <mergeCell ref="D599:D606"/>
    <mergeCell ref="C571:C572"/>
    <mergeCell ref="C519:C521"/>
    <mergeCell ref="D543:D544"/>
    <mergeCell ref="C595:C597"/>
    <mergeCell ref="D571:D57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M219"/>
  <sheetViews>
    <sheetView zoomScale="94" zoomScaleNormal="94" zoomScaleSheetLayoutView="80" workbookViewId="0">
      <pane xSplit="5" ySplit="5" topLeftCell="F213" activePane="bottomRight" state="frozen"/>
      <selection activeCell="L1879" activeCellId="3" sqref="C1844:C1848 C1868 F1868 L1879"/>
      <selection pane="topRight" activeCell="L1879" activeCellId="3" sqref="C1844:C1848 C1868 F1868 L1879"/>
      <selection pane="bottomLeft" activeCell="L1879" activeCellId="3" sqref="C1844:C1848 C1868 F1868 L1879"/>
      <selection pane="bottomRight" activeCell="C221" sqref="C221"/>
    </sheetView>
  </sheetViews>
  <sheetFormatPr defaultColWidth="9.140625" defaultRowHeight="12.75" x14ac:dyDescent="0.2"/>
  <cols>
    <col min="1" max="1" width="9.85546875" style="4" customWidth="1"/>
    <col min="2" max="2" width="28.7109375" style="4" customWidth="1"/>
    <col min="3" max="3" width="19.85546875" style="4" customWidth="1"/>
    <col min="4" max="4" width="9.7109375" style="4" customWidth="1"/>
    <col min="5" max="5" width="22.85546875" style="4" customWidth="1"/>
    <col min="6" max="6" width="20.140625" style="4" customWidth="1"/>
    <col min="7" max="7" width="12.85546875" style="524" customWidth="1"/>
    <col min="8" max="8" width="12.5703125" style="256" customWidth="1"/>
    <col min="9" max="9" width="15.28515625" style="4" customWidth="1"/>
    <col min="10" max="10" width="22.28515625" style="4" customWidth="1"/>
    <col min="11" max="11" width="34" style="4" customWidth="1"/>
    <col min="12" max="15" width="9.140625" style="4"/>
    <col min="16" max="16" width="8.85546875" customWidth="1"/>
    <col min="17" max="16384" width="9.140625" style="4"/>
  </cols>
  <sheetData>
    <row r="1" spans="1:20" ht="21.75" customHeight="1" x14ac:dyDescent="0.2">
      <c r="G1" s="522"/>
    </row>
    <row r="2" spans="1:20" ht="14.25" customHeight="1" x14ac:dyDescent="0.2">
      <c r="A2" s="6"/>
      <c r="B2" s="1315" t="s">
        <v>10095</v>
      </c>
      <c r="C2" s="1315"/>
      <c r="D2" s="1315"/>
      <c r="E2" s="1315"/>
      <c r="F2" s="1315"/>
      <c r="G2" s="523" t="s">
        <v>361</v>
      </c>
    </row>
    <row r="3" spans="1:20" x14ac:dyDescent="0.2">
      <c r="J3" s="4" t="s">
        <v>361</v>
      </c>
    </row>
    <row r="4" spans="1:20" ht="80.25" customHeight="1" x14ac:dyDescent="0.2">
      <c r="A4" s="278" t="s">
        <v>10097</v>
      </c>
      <c r="B4" s="278" t="s">
        <v>10098</v>
      </c>
      <c r="C4" s="1362" t="s">
        <v>10099</v>
      </c>
      <c r="D4" s="1363"/>
      <c r="E4" s="278" t="s">
        <v>10100</v>
      </c>
      <c r="F4" s="278" t="s">
        <v>10105</v>
      </c>
      <c r="G4" s="278" t="s">
        <v>10102</v>
      </c>
      <c r="H4" s="278" t="s">
        <v>10103</v>
      </c>
      <c r="I4" s="278" t="s">
        <v>10104</v>
      </c>
      <c r="J4" s="278" t="s">
        <v>10107</v>
      </c>
      <c r="K4" s="278" t="s">
        <v>10106</v>
      </c>
      <c r="L4" s="51"/>
      <c r="M4" s="51"/>
      <c r="N4" s="51"/>
      <c r="O4" s="51"/>
    </row>
    <row r="5" spans="1:20" x14ac:dyDescent="0.2">
      <c r="A5" s="9">
        <v>1</v>
      </c>
      <c r="B5" s="9">
        <v>2</v>
      </c>
      <c r="C5" s="1360">
        <v>3</v>
      </c>
      <c r="D5" s="1361"/>
      <c r="E5" s="9">
        <v>4</v>
      </c>
      <c r="F5" s="9" t="s">
        <v>5179</v>
      </c>
      <c r="G5" s="525" t="s">
        <v>448</v>
      </c>
      <c r="H5" s="286">
        <v>7</v>
      </c>
      <c r="I5" s="257" t="s">
        <v>5178</v>
      </c>
      <c r="J5" s="9" t="s">
        <v>10093</v>
      </c>
      <c r="K5" s="9" t="s">
        <v>10094</v>
      </c>
    </row>
    <row r="6" spans="1:20" ht="12.75" customHeight="1" x14ac:dyDescent="0.2">
      <c r="A6" s="15" t="s">
        <v>290</v>
      </c>
      <c r="B6" s="1364"/>
      <c r="C6" s="1364"/>
      <c r="D6" s="1364"/>
      <c r="E6" s="1364"/>
      <c r="F6" s="100"/>
      <c r="G6" s="526"/>
      <c r="H6" s="288"/>
      <c r="I6" s="8"/>
      <c r="J6" s="11"/>
      <c r="K6" s="11"/>
    </row>
    <row r="7" spans="1:20" s="35" customFormat="1" ht="33.75" x14ac:dyDescent="0.2">
      <c r="A7" s="31" t="s">
        <v>2049</v>
      </c>
      <c r="B7" s="31" t="s">
        <v>281</v>
      </c>
      <c r="C7" s="1337" t="s">
        <v>5794</v>
      </c>
      <c r="D7" s="1337"/>
      <c r="E7" s="18" t="s">
        <v>6475</v>
      </c>
      <c r="F7" s="31" t="s">
        <v>2660</v>
      </c>
      <c r="G7" s="289">
        <v>444.3</v>
      </c>
      <c r="H7" s="292" t="s">
        <v>62</v>
      </c>
      <c r="I7" s="25">
        <v>6150880.3099999996</v>
      </c>
      <c r="J7" s="32" t="s">
        <v>3103</v>
      </c>
      <c r="K7" s="32" t="s">
        <v>3103</v>
      </c>
      <c r="L7" s="59"/>
      <c r="M7" s="59"/>
      <c r="N7" s="59"/>
      <c r="O7" s="59"/>
    </row>
    <row r="8" spans="1:20" s="57" customFormat="1" ht="31.9" customHeight="1" x14ac:dyDescent="0.2">
      <c r="A8" s="31" t="s">
        <v>3725</v>
      </c>
      <c r="B8" s="31" t="s">
        <v>281</v>
      </c>
      <c r="C8" s="1337" t="s">
        <v>5795</v>
      </c>
      <c r="D8" s="1337"/>
      <c r="E8" s="553" t="s">
        <v>5480</v>
      </c>
      <c r="F8" s="31" t="s">
        <v>72</v>
      </c>
      <c r="G8" s="289">
        <f>89.4</f>
        <v>89.4</v>
      </c>
      <c r="H8" s="24" t="s">
        <v>71</v>
      </c>
      <c r="I8" s="566">
        <v>1608518.77</v>
      </c>
      <c r="J8" s="32" t="s">
        <v>3103</v>
      </c>
      <c r="K8" s="32" t="s">
        <v>3103</v>
      </c>
      <c r="L8" s="1374"/>
      <c r="M8" s="1374"/>
      <c r="N8" s="1373"/>
      <c r="O8" s="1373"/>
      <c r="P8" s="73"/>
      <c r="Q8" s="74"/>
      <c r="R8" s="74"/>
      <c r="S8" s="74"/>
      <c r="T8" s="74"/>
    </row>
    <row r="9" spans="1:20" s="247" customFormat="1" ht="35.25" customHeight="1" x14ac:dyDescent="0.2">
      <c r="A9" s="29" t="s">
        <v>2672</v>
      </c>
      <c r="B9" s="29" t="s">
        <v>281</v>
      </c>
      <c r="C9" s="1338" t="s">
        <v>5796</v>
      </c>
      <c r="D9" s="1338"/>
      <c r="E9" s="8" t="s">
        <v>5144</v>
      </c>
      <c r="F9" s="8" t="s">
        <v>79</v>
      </c>
      <c r="G9" s="291">
        <v>51.4</v>
      </c>
      <c r="H9" s="292" t="s">
        <v>2658</v>
      </c>
      <c r="I9" s="25">
        <v>711580.57</v>
      </c>
      <c r="J9" s="30" t="s">
        <v>13071</v>
      </c>
      <c r="K9" s="30" t="s">
        <v>13072</v>
      </c>
      <c r="L9" s="57"/>
      <c r="M9" s="57"/>
      <c r="P9" s="254"/>
    </row>
    <row r="10" spans="1:20" s="57" customFormat="1" ht="34.5" customHeight="1" x14ac:dyDescent="0.2">
      <c r="A10" s="31" t="s">
        <v>2050</v>
      </c>
      <c r="B10" s="31" t="s">
        <v>281</v>
      </c>
      <c r="C10" s="1337" t="s">
        <v>6395</v>
      </c>
      <c r="D10" s="1337"/>
      <c r="E10" s="1349" t="s">
        <v>2664</v>
      </c>
      <c r="F10" s="1359" t="s">
        <v>79</v>
      </c>
      <c r="G10" s="290">
        <f>57.1-19.78</f>
        <v>37.32</v>
      </c>
      <c r="H10" s="346" t="s">
        <v>2658</v>
      </c>
      <c r="I10" s="1375">
        <v>1027364.9</v>
      </c>
      <c r="J10" s="30" t="s">
        <v>3097</v>
      </c>
      <c r="K10" s="30" t="s">
        <v>13073</v>
      </c>
      <c r="P10" s="73"/>
    </row>
    <row r="11" spans="1:20" s="57" customFormat="1" ht="23.25" customHeight="1" x14ac:dyDescent="0.2">
      <c r="A11" s="31" t="s">
        <v>3709</v>
      </c>
      <c r="B11" s="31" t="s">
        <v>281</v>
      </c>
      <c r="C11" s="1337" t="s">
        <v>6395</v>
      </c>
      <c r="D11" s="1337"/>
      <c r="E11" s="1349"/>
      <c r="F11" s="1359"/>
      <c r="G11" s="290">
        <v>19.78</v>
      </c>
      <c r="H11" s="346" t="s">
        <v>2658</v>
      </c>
      <c r="I11" s="1375"/>
      <c r="J11" s="32" t="s">
        <v>3097</v>
      </c>
      <c r="K11" s="32" t="s">
        <v>5785</v>
      </c>
      <c r="P11" s="73"/>
    </row>
    <row r="12" spans="1:20" s="57" customFormat="1" ht="33.75" customHeight="1" x14ac:dyDescent="0.2">
      <c r="A12" s="31" t="s">
        <v>2051</v>
      </c>
      <c r="B12" s="31" t="s">
        <v>281</v>
      </c>
      <c r="C12" s="1337" t="s">
        <v>5796</v>
      </c>
      <c r="D12" s="1337"/>
      <c r="E12" s="164" t="s">
        <v>5147</v>
      </c>
      <c r="F12" s="31" t="s">
        <v>79</v>
      </c>
      <c r="G12" s="289">
        <v>27.6</v>
      </c>
      <c r="H12" s="24" t="s">
        <v>2658</v>
      </c>
      <c r="I12" s="566">
        <v>514336.53</v>
      </c>
      <c r="J12" s="32" t="s">
        <v>6392</v>
      </c>
      <c r="K12" s="32" t="s">
        <v>11918</v>
      </c>
      <c r="N12" s="5"/>
      <c r="O12" s="5"/>
      <c r="P12" s="73"/>
    </row>
    <row r="13" spans="1:20" s="57" customFormat="1" ht="57" customHeight="1" x14ac:dyDescent="0.2">
      <c r="A13" s="31" t="s">
        <v>3586</v>
      </c>
      <c r="B13" s="31" t="s">
        <v>281</v>
      </c>
      <c r="C13" s="1337" t="s">
        <v>5796</v>
      </c>
      <c r="D13" s="1337"/>
      <c r="E13" s="164" t="s">
        <v>5635</v>
      </c>
      <c r="F13" s="31" t="s">
        <v>3779</v>
      </c>
      <c r="G13" s="289">
        <f>88.7-51.2-7.5-0.8</f>
        <v>29.2</v>
      </c>
      <c r="H13" s="24" t="s">
        <v>2658</v>
      </c>
      <c r="I13" s="1379">
        <v>1513192.97</v>
      </c>
      <c r="J13" s="30" t="s">
        <v>13074</v>
      </c>
      <c r="K13" s="30" t="s">
        <v>13075</v>
      </c>
      <c r="L13" s="5"/>
      <c r="M13" s="5"/>
      <c r="N13" s="5"/>
      <c r="O13" s="5"/>
      <c r="P13" s="73"/>
    </row>
    <row r="14" spans="1:20" s="212" customFormat="1" ht="56.25" customHeight="1" x14ac:dyDescent="0.2">
      <c r="A14" s="31" t="s">
        <v>3587</v>
      </c>
      <c r="B14" s="31" t="s">
        <v>281</v>
      </c>
      <c r="C14" s="1337" t="s">
        <v>5796</v>
      </c>
      <c r="D14" s="1337"/>
      <c r="E14" s="164" t="s">
        <v>5635</v>
      </c>
      <c r="F14" s="31" t="s">
        <v>5591</v>
      </c>
      <c r="G14" s="289">
        <v>51.2</v>
      </c>
      <c r="H14" s="24" t="s">
        <v>2658</v>
      </c>
      <c r="I14" s="1380"/>
      <c r="J14" s="30" t="s">
        <v>13076</v>
      </c>
      <c r="K14" s="32" t="s">
        <v>13442</v>
      </c>
      <c r="L14" s="176"/>
      <c r="M14" s="176"/>
      <c r="P14" s="253"/>
    </row>
    <row r="15" spans="1:20" ht="70.5" customHeight="1" x14ac:dyDescent="0.2">
      <c r="A15" s="31" t="s">
        <v>6478</v>
      </c>
      <c r="B15" s="31" t="s">
        <v>281</v>
      </c>
      <c r="C15" s="1337" t="s">
        <v>5796</v>
      </c>
      <c r="D15" s="1337"/>
      <c r="E15" s="164" t="s">
        <v>5635</v>
      </c>
      <c r="F15" s="31" t="s">
        <v>5590</v>
      </c>
      <c r="G15" s="289">
        <v>7.5</v>
      </c>
      <c r="H15" s="24" t="s">
        <v>2658</v>
      </c>
      <c r="I15" s="1381"/>
      <c r="J15" s="30" t="s">
        <v>13077</v>
      </c>
      <c r="K15" s="30" t="s">
        <v>13451</v>
      </c>
      <c r="L15" s="176"/>
    </row>
    <row r="16" spans="1:20" ht="35.25" customHeight="1" x14ac:dyDescent="0.2">
      <c r="A16" s="31" t="s">
        <v>2052</v>
      </c>
      <c r="B16" s="31" t="s">
        <v>281</v>
      </c>
      <c r="C16" s="1337" t="s">
        <v>5797</v>
      </c>
      <c r="D16" s="1337"/>
      <c r="E16" s="18" t="s">
        <v>5145</v>
      </c>
      <c r="F16" s="31" t="s">
        <v>79</v>
      </c>
      <c r="G16" s="289">
        <v>211.8</v>
      </c>
      <c r="H16" s="346" t="s">
        <v>2700</v>
      </c>
      <c r="I16" s="741">
        <v>2932154.96</v>
      </c>
      <c r="J16" s="30" t="s">
        <v>13078</v>
      </c>
      <c r="K16" s="704" t="s">
        <v>13079</v>
      </c>
      <c r="L16" s="1376"/>
      <c r="M16" s="1376"/>
      <c r="N16" s="1376"/>
      <c r="P16" s="99"/>
    </row>
    <row r="17" spans="1:23" ht="24.75" customHeight="1" x14ac:dyDescent="0.2">
      <c r="A17" s="31" t="s">
        <v>2053</v>
      </c>
      <c r="B17" s="29" t="s">
        <v>281</v>
      </c>
      <c r="C17" s="1338" t="s">
        <v>5798</v>
      </c>
      <c r="D17" s="1338"/>
      <c r="E17" s="46" t="s">
        <v>5146</v>
      </c>
      <c r="F17" s="29" t="s">
        <v>167</v>
      </c>
      <c r="G17" s="291">
        <v>40.6</v>
      </c>
      <c r="H17" s="292" t="s">
        <v>484</v>
      </c>
      <c r="I17" s="40">
        <v>2892007.42</v>
      </c>
      <c r="J17" s="30" t="s">
        <v>2661</v>
      </c>
      <c r="K17" s="8" t="s">
        <v>10842</v>
      </c>
    </row>
    <row r="18" spans="1:23" ht="42" customHeight="1" x14ac:dyDescent="0.2">
      <c r="A18" s="29" t="s">
        <v>7388</v>
      </c>
      <c r="B18" s="29" t="s">
        <v>281</v>
      </c>
      <c r="C18" s="1377" t="s">
        <v>5798</v>
      </c>
      <c r="D18" s="1378"/>
      <c r="E18" s="131" t="s">
        <v>5146</v>
      </c>
      <c r="F18" s="29" t="s">
        <v>7389</v>
      </c>
      <c r="G18" s="291">
        <v>22.6</v>
      </c>
      <c r="H18" s="47" t="s">
        <v>484</v>
      </c>
      <c r="I18" s="8"/>
      <c r="J18" s="747" t="s">
        <v>13080</v>
      </c>
      <c r="K18" s="381" t="s">
        <v>13435</v>
      </c>
    </row>
    <row r="19" spans="1:23" ht="25.5" customHeight="1" x14ac:dyDescent="0.2">
      <c r="A19" s="29" t="s">
        <v>6479</v>
      </c>
      <c r="B19" s="29" t="s">
        <v>281</v>
      </c>
      <c r="C19" s="1377" t="s">
        <v>5798</v>
      </c>
      <c r="D19" s="1378"/>
      <c r="E19" s="131" t="s">
        <v>5146</v>
      </c>
      <c r="F19" s="29" t="s">
        <v>277</v>
      </c>
      <c r="G19" s="291">
        <v>123.3</v>
      </c>
      <c r="H19" s="47" t="s">
        <v>484</v>
      </c>
      <c r="I19" s="8"/>
      <c r="J19" s="30" t="s">
        <v>3097</v>
      </c>
      <c r="K19" s="180"/>
    </row>
    <row r="20" spans="1:23" ht="31.9" customHeight="1" x14ac:dyDescent="0.2">
      <c r="A20" s="31" t="s">
        <v>6479</v>
      </c>
      <c r="B20" s="29" t="s">
        <v>281</v>
      </c>
      <c r="C20" s="1338" t="s">
        <v>5798</v>
      </c>
      <c r="D20" s="1338"/>
      <c r="E20" s="46" t="s">
        <v>5146</v>
      </c>
      <c r="F20" s="29" t="s">
        <v>277</v>
      </c>
      <c r="G20" s="291">
        <v>123.3</v>
      </c>
      <c r="H20" s="292" t="s">
        <v>484</v>
      </c>
      <c r="I20" s="40"/>
      <c r="J20" s="30" t="s">
        <v>2662</v>
      </c>
      <c r="K20" s="30"/>
    </row>
    <row r="21" spans="1:23" ht="28.5" customHeight="1" x14ac:dyDescent="0.2">
      <c r="A21" s="31" t="s">
        <v>2054</v>
      </c>
      <c r="B21" s="63" t="s">
        <v>281</v>
      </c>
      <c r="C21" s="1337" t="s">
        <v>6233</v>
      </c>
      <c r="D21" s="1392"/>
      <c r="E21" s="46" t="s">
        <v>6604</v>
      </c>
      <c r="F21" s="31" t="s">
        <v>5163</v>
      </c>
      <c r="G21" s="289">
        <f>51.5</f>
        <v>51.5</v>
      </c>
      <c r="H21" s="346" t="s">
        <v>62</v>
      </c>
      <c r="I21" s="566">
        <v>974497.42</v>
      </c>
      <c r="J21" s="564"/>
      <c r="K21" s="553"/>
    </row>
    <row r="22" spans="1:23" s="5" customFormat="1" ht="38.25" customHeight="1" x14ac:dyDescent="0.2">
      <c r="A22" s="31" t="s">
        <v>2055</v>
      </c>
      <c r="B22" s="31" t="s">
        <v>281</v>
      </c>
      <c r="C22" s="1386" t="s">
        <v>11899</v>
      </c>
      <c r="D22" s="1387"/>
      <c r="E22" s="18" t="s">
        <v>3769</v>
      </c>
      <c r="F22" s="31" t="s">
        <v>72</v>
      </c>
      <c r="G22" s="289">
        <f>416.3-175-50</f>
        <v>191.3</v>
      </c>
      <c r="H22" s="346" t="s">
        <v>160</v>
      </c>
      <c r="I22" s="566"/>
      <c r="J22" s="32" t="s">
        <v>10841</v>
      </c>
      <c r="K22" s="32" t="s">
        <v>10841</v>
      </c>
    </row>
    <row r="23" spans="1:23" s="5" customFormat="1" ht="47.25" customHeight="1" x14ac:dyDescent="0.2">
      <c r="A23" s="31" t="s">
        <v>6480</v>
      </c>
      <c r="B23" s="31" t="s">
        <v>281</v>
      </c>
      <c r="C23" s="1388"/>
      <c r="D23" s="1389"/>
      <c r="E23" s="18" t="s">
        <v>3769</v>
      </c>
      <c r="F23" s="31" t="s">
        <v>72</v>
      </c>
      <c r="G23" s="289">
        <f>175</f>
        <v>175</v>
      </c>
      <c r="H23" s="346" t="s">
        <v>160</v>
      </c>
      <c r="I23" s="566"/>
      <c r="J23" s="32" t="s">
        <v>3602</v>
      </c>
      <c r="K23" s="32" t="s">
        <v>10843</v>
      </c>
    </row>
    <row r="24" spans="1:23" s="5" customFormat="1" ht="78" customHeight="1" x14ac:dyDescent="0.2">
      <c r="A24" s="31" t="s">
        <v>11570</v>
      </c>
      <c r="B24" s="31" t="s">
        <v>281</v>
      </c>
      <c r="C24" s="1390"/>
      <c r="D24" s="1391"/>
      <c r="E24" s="18" t="s">
        <v>3769</v>
      </c>
      <c r="F24" s="135" t="s">
        <v>72</v>
      </c>
      <c r="G24" s="289">
        <v>50</v>
      </c>
      <c r="H24" s="346" t="s">
        <v>160</v>
      </c>
      <c r="I24" s="344"/>
      <c r="J24" s="704" t="s">
        <v>11571</v>
      </c>
      <c r="K24" s="734" t="s">
        <v>13452</v>
      </c>
      <c r="L24" s="857"/>
      <c r="M24" s="22"/>
    </row>
    <row r="25" spans="1:23" s="5" customFormat="1" ht="24.75" customHeight="1" x14ac:dyDescent="0.2">
      <c r="A25" s="31" t="s">
        <v>2056</v>
      </c>
      <c r="B25" s="31" t="s">
        <v>281</v>
      </c>
      <c r="C25" s="1337" t="s">
        <v>274</v>
      </c>
      <c r="D25" s="1337"/>
      <c r="E25" s="18" t="s">
        <v>3770</v>
      </c>
      <c r="F25" s="31" t="s">
        <v>2701</v>
      </c>
      <c r="G25" s="289">
        <f>16.6-13.7</f>
        <v>2.9000000000000021</v>
      </c>
      <c r="H25" s="346" t="s">
        <v>160</v>
      </c>
      <c r="I25" s="566"/>
      <c r="J25" s="32" t="s">
        <v>10841</v>
      </c>
      <c r="K25" s="32" t="s">
        <v>10841</v>
      </c>
      <c r="L25" s="858"/>
    </row>
    <row r="26" spans="1:23" s="5" customFormat="1" ht="48.75" customHeight="1" x14ac:dyDescent="0.2">
      <c r="A26" s="31" t="s">
        <v>6519</v>
      </c>
      <c r="B26" s="31" t="s">
        <v>281</v>
      </c>
      <c r="C26" s="1337" t="s">
        <v>5799</v>
      </c>
      <c r="D26" s="1337"/>
      <c r="E26" s="18"/>
      <c r="F26" s="31"/>
      <c r="G26" s="289">
        <v>13.7</v>
      </c>
      <c r="H26" s="346"/>
      <c r="I26" s="25"/>
      <c r="J26" s="32" t="s">
        <v>3602</v>
      </c>
      <c r="K26" s="32" t="s">
        <v>10843</v>
      </c>
    </row>
    <row r="27" spans="1:23" s="57" customFormat="1" ht="56.25" x14ac:dyDescent="0.2">
      <c r="A27" s="31" t="s">
        <v>5165</v>
      </c>
      <c r="B27" s="31" t="s">
        <v>5476</v>
      </c>
      <c r="C27" s="1337" t="s">
        <v>5800</v>
      </c>
      <c r="D27" s="1337"/>
      <c r="E27" s="105" t="s">
        <v>6600</v>
      </c>
      <c r="F27" s="31" t="s">
        <v>3779</v>
      </c>
      <c r="G27" s="289">
        <v>584.6</v>
      </c>
      <c r="H27" s="24" t="s">
        <v>160</v>
      </c>
      <c r="I27" s="566">
        <v>11604626.720000001</v>
      </c>
      <c r="J27" s="32" t="s">
        <v>3714</v>
      </c>
      <c r="K27" s="32" t="s">
        <v>10844</v>
      </c>
      <c r="L27" s="5"/>
      <c r="M27" s="5"/>
      <c r="N27" s="5"/>
      <c r="O27" s="5"/>
      <c r="P27" s="73"/>
    </row>
    <row r="28" spans="1:23" s="57" customFormat="1" ht="54.6" customHeight="1" x14ac:dyDescent="0.2">
      <c r="A28" s="31" t="s">
        <v>2057</v>
      </c>
      <c r="B28" s="31" t="s">
        <v>6597</v>
      </c>
      <c r="C28" s="1337" t="s">
        <v>5800</v>
      </c>
      <c r="D28" s="1337"/>
      <c r="E28" s="105" t="s">
        <v>6601</v>
      </c>
      <c r="F28" s="31" t="s">
        <v>3779</v>
      </c>
      <c r="G28" s="289">
        <v>465</v>
      </c>
      <c r="H28" s="24" t="s">
        <v>160</v>
      </c>
      <c r="I28" s="566">
        <v>9230501.9199999999</v>
      </c>
      <c r="J28" s="32" t="s">
        <v>6370</v>
      </c>
      <c r="K28" s="32" t="s">
        <v>10845</v>
      </c>
      <c r="L28" s="5"/>
      <c r="M28" s="5"/>
      <c r="N28" s="5"/>
      <c r="O28" s="5"/>
      <c r="P28" s="73"/>
    </row>
    <row r="29" spans="1:23" s="57" customFormat="1" ht="55.15" customHeight="1" x14ac:dyDescent="0.2">
      <c r="A29" s="31" t="s">
        <v>2058</v>
      </c>
      <c r="B29" s="31" t="s">
        <v>281</v>
      </c>
      <c r="C29" s="1337" t="s">
        <v>5800</v>
      </c>
      <c r="D29" s="1337"/>
      <c r="E29" s="105" t="s">
        <v>3768</v>
      </c>
      <c r="F29" s="31" t="s">
        <v>79</v>
      </c>
      <c r="G29" s="289">
        <f>132.9</f>
        <v>132.9</v>
      </c>
      <c r="H29" s="24" t="s">
        <v>160</v>
      </c>
      <c r="I29" s="48">
        <v>2638137</v>
      </c>
      <c r="J29" s="32" t="s">
        <v>6370</v>
      </c>
      <c r="K29" s="32" t="s">
        <v>6370</v>
      </c>
      <c r="L29" s="1384"/>
      <c r="M29" s="1384"/>
      <c r="N29" s="70"/>
      <c r="O29" s="70"/>
      <c r="P29" s="73"/>
      <c r="Q29" s="70"/>
      <c r="R29" s="70"/>
      <c r="S29" s="70"/>
      <c r="T29" s="70"/>
      <c r="U29" s="70"/>
      <c r="V29" s="70"/>
      <c r="W29" s="70"/>
    </row>
    <row r="30" spans="1:23" ht="23.25" customHeight="1" x14ac:dyDescent="0.2">
      <c r="A30" s="31" t="s">
        <v>2673</v>
      </c>
      <c r="B30" s="29" t="s">
        <v>281</v>
      </c>
      <c r="C30" s="1338" t="s">
        <v>5800</v>
      </c>
      <c r="D30" s="1338"/>
      <c r="E30" s="105" t="s">
        <v>6602</v>
      </c>
      <c r="F30" s="29" t="s">
        <v>79</v>
      </c>
      <c r="G30" s="291">
        <v>44.6</v>
      </c>
      <c r="H30" s="292" t="s">
        <v>160</v>
      </c>
      <c r="I30" s="25">
        <v>141270.95000000001</v>
      </c>
      <c r="J30" s="32" t="s">
        <v>276</v>
      </c>
      <c r="K30" s="30"/>
      <c r="L30" s="13"/>
      <c r="M30" s="13"/>
      <c r="N30" s="13"/>
      <c r="O30" s="13"/>
      <c r="Q30" s="13"/>
      <c r="R30" s="13"/>
      <c r="S30" s="13"/>
      <c r="T30" s="13"/>
      <c r="U30" s="13"/>
      <c r="V30" s="13"/>
      <c r="W30" s="13"/>
    </row>
    <row r="31" spans="1:23" ht="33.75" customHeight="1" x14ac:dyDescent="0.2">
      <c r="A31" s="31" t="s">
        <v>2674</v>
      </c>
      <c r="B31" s="29" t="s">
        <v>11931</v>
      </c>
      <c r="C31" s="1338" t="s">
        <v>5800</v>
      </c>
      <c r="D31" s="1338"/>
      <c r="E31" s="46" t="s">
        <v>6505</v>
      </c>
      <c r="F31" s="29" t="s">
        <v>72</v>
      </c>
      <c r="G31" s="291">
        <v>29.9</v>
      </c>
      <c r="H31" s="292" t="s">
        <v>160</v>
      </c>
      <c r="I31" s="25"/>
      <c r="J31" s="30" t="s">
        <v>5525</v>
      </c>
      <c r="K31" s="30" t="s">
        <v>13081</v>
      </c>
      <c r="L31" s="232"/>
      <c r="M31" s="232"/>
      <c r="N31" s="232"/>
      <c r="O31" s="233"/>
      <c r="Q31" s="13"/>
      <c r="R31" s="13"/>
      <c r="S31" s="13"/>
      <c r="T31" s="13"/>
      <c r="U31" s="13"/>
      <c r="V31" s="13"/>
      <c r="W31" s="13"/>
    </row>
    <row r="32" spans="1:23" s="34" customFormat="1" ht="22.5" x14ac:dyDescent="0.2">
      <c r="A32" s="31" t="s">
        <v>2059</v>
      </c>
      <c r="B32" s="29" t="s">
        <v>281</v>
      </c>
      <c r="C32" s="1338" t="s">
        <v>5801</v>
      </c>
      <c r="D32" s="1338"/>
      <c r="E32" s="46"/>
      <c r="F32" s="29" t="s">
        <v>2675</v>
      </c>
      <c r="G32" s="291">
        <f>40-15</f>
        <v>25</v>
      </c>
      <c r="H32" s="26" t="s">
        <v>163</v>
      </c>
      <c r="I32" s="25"/>
      <c r="J32" s="32" t="s">
        <v>276</v>
      </c>
      <c r="K32" s="30"/>
      <c r="L32" s="60"/>
      <c r="M32" s="60"/>
      <c r="N32" s="60"/>
      <c r="O32" s="60"/>
      <c r="Q32" s="37"/>
      <c r="R32" s="37"/>
      <c r="S32" s="37"/>
      <c r="T32" s="37"/>
      <c r="U32" s="37"/>
      <c r="V32" s="37"/>
      <c r="W32" s="37"/>
    </row>
    <row r="33" spans="1:299" s="34" customFormat="1" ht="33.75" x14ac:dyDescent="0.2">
      <c r="A33" s="31" t="s">
        <v>6481</v>
      </c>
      <c r="B33" s="29" t="s">
        <v>281</v>
      </c>
      <c r="C33" s="1338" t="s">
        <v>5801</v>
      </c>
      <c r="D33" s="1338"/>
      <c r="E33" s="46"/>
      <c r="F33" s="29" t="s">
        <v>72</v>
      </c>
      <c r="G33" s="291">
        <v>15</v>
      </c>
      <c r="H33" s="26" t="s">
        <v>163</v>
      </c>
      <c r="I33" s="25"/>
      <c r="J33" s="30" t="s">
        <v>5782</v>
      </c>
      <c r="K33" s="32" t="s">
        <v>10846</v>
      </c>
      <c r="L33" s="60"/>
      <c r="M33" s="60"/>
      <c r="N33" s="60"/>
      <c r="O33" s="60"/>
      <c r="Q33" s="37"/>
      <c r="R33" s="37"/>
      <c r="S33" s="37"/>
      <c r="T33" s="37"/>
      <c r="U33" s="37"/>
      <c r="V33" s="37"/>
      <c r="W33" s="37"/>
    </row>
    <row r="34" spans="1:299" s="36" customFormat="1" ht="22.5" x14ac:dyDescent="0.2">
      <c r="A34" s="31" t="s">
        <v>2060</v>
      </c>
      <c r="B34" s="29" t="s">
        <v>281</v>
      </c>
      <c r="C34" s="1338" t="s">
        <v>5802</v>
      </c>
      <c r="D34" s="1338"/>
      <c r="E34" s="46"/>
      <c r="F34" s="29" t="s">
        <v>3087</v>
      </c>
      <c r="G34" s="291">
        <v>108.2</v>
      </c>
      <c r="H34" s="26" t="s">
        <v>163</v>
      </c>
      <c r="I34" s="25"/>
      <c r="J34" s="30" t="s">
        <v>276</v>
      </c>
      <c r="K34" s="30"/>
      <c r="L34" s="13"/>
      <c r="M34" s="13"/>
      <c r="N34" s="13"/>
      <c r="O34" s="13"/>
      <c r="Q34" s="52"/>
      <c r="R34" s="52"/>
      <c r="S34" s="52"/>
      <c r="T34" s="52"/>
      <c r="U34" s="52"/>
      <c r="V34" s="52"/>
      <c r="W34" s="52"/>
    </row>
    <row r="35" spans="1:299" ht="35.25" customHeight="1" x14ac:dyDescent="0.2">
      <c r="A35" s="31" t="s">
        <v>2061</v>
      </c>
      <c r="B35" s="29" t="s">
        <v>281</v>
      </c>
      <c r="C35" s="1338" t="s">
        <v>5803</v>
      </c>
      <c r="D35" s="1338"/>
      <c r="E35" s="46" t="s">
        <v>6603</v>
      </c>
      <c r="F35" s="29" t="s">
        <v>2676</v>
      </c>
      <c r="G35" s="294">
        <f>26.1/2</f>
        <v>13.05</v>
      </c>
      <c r="H35" s="26" t="s">
        <v>73</v>
      </c>
      <c r="I35" s="25"/>
      <c r="J35" s="30" t="s">
        <v>5487</v>
      </c>
      <c r="K35" s="30" t="s">
        <v>5783</v>
      </c>
    </row>
    <row r="36" spans="1:299" ht="36.75" customHeight="1" x14ac:dyDescent="0.2">
      <c r="A36" s="31" t="s">
        <v>6482</v>
      </c>
      <c r="B36" s="29" t="s">
        <v>281</v>
      </c>
      <c r="C36" s="1338" t="s">
        <v>5803</v>
      </c>
      <c r="D36" s="1338"/>
      <c r="E36" s="46" t="s">
        <v>6603</v>
      </c>
      <c r="F36" s="29" t="s">
        <v>2676</v>
      </c>
      <c r="G36" s="294">
        <f>26.1/2</f>
        <v>13.05</v>
      </c>
      <c r="H36" s="26" t="s">
        <v>73</v>
      </c>
      <c r="I36" s="25"/>
      <c r="J36" s="30" t="s">
        <v>5488</v>
      </c>
      <c r="K36" s="30" t="s">
        <v>5784</v>
      </c>
    </row>
    <row r="37" spans="1:299" s="36" customFormat="1" ht="35.25" customHeight="1" x14ac:dyDescent="0.2">
      <c r="A37" s="31" t="s">
        <v>2062</v>
      </c>
      <c r="B37" s="29" t="s">
        <v>281</v>
      </c>
      <c r="C37" s="1338" t="s">
        <v>5804</v>
      </c>
      <c r="D37" s="1338"/>
      <c r="E37" s="46" t="s">
        <v>3658</v>
      </c>
      <c r="F37" s="29" t="s">
        <v>79</v>
      </c>
      <c r="G37" s="291">
        <v>38.1</v>
      </c>
      <c r="H37" s="26" t="s">
        <v>64</v>
      </c>
      <c r="I37" s="25"/>
      <c r="J37" s="30" t="s">
        <v>13082</v>
      </c>
      <c r="K37" s="30" t="s">
        <v>13083</v>
      </c>
      <c r="L37" s="4"/>
      <c r="M37" s="4"/>
      <c r="N37" s="4"/>
      <c r="O37"/>
      <c r="P37" s="4"/>
    </row>
    <row r="38" spans="1:299" s="36" customFormat="1" ht="78.75" customHeight="1" x14ac:dyDescent="0.2">
      <c r="A38" s="29" t="s">
        <v>2063</v>
      </c>
      <c r="B38" s="29" t="s">
        <v>281</v>
      </c>
      <c r="C38" s="1377" t="s">
        <v>5220</v>
      </c>
      <c r="D38" s="1378"/>
      <c r="E38" s="46" t="s">
        <v>3661</v>
      </c>
      <c r="F38" s="29" t="s">
        <v>5928</v>
      </c>
      <c r="G38" s="291">
        <v>75.7</v>
      </c>
      <c r="H38" s="26" t="s">
        <v>80</v>
      </c>
      <c r="I38" s="25">
        <v>239780.51</v>
      </c>
      <c r="J38" s="30" t="s">
        <v>11572</v>
      </c>
      <c r="K38" s="30" t="s">
        <v>11930</v>
      </c>
      <c r="L38" s="4"/>
      <c r="M38" s="4"/>
      <c r="N38" s="4"/>
      <c r="O38"/>
      <c r="P38" s="4"/>
    </row>
    <row r="39" spans="1:299" s="36" customFormat="1" ht="34.5" customHeight="1" x14ac:dyDescent="0.2">
      <c r="A39" s="31" t="s">
        <v>5972</v>
      </c>
      <c r="B39" s="29" t="s">
        <v>281</v>
      </c>
      <c r="C39" s="1338" t="s">
        <v>5220</v>
      </c>
      <c r="D39" s="1338"/>
      <c r="E39" s="736" t="s">
        <v>7975</v>
      </c>
      <c r="F39" s="29" t="s">
        <v>7692</v>
      </c>
      <c r="G39" s="291">
        <v>107.6</v>
      </c>
      <c r="H39" s="26" t="s">
        <v>80</v>
      </c>
      <c r="I39" s="25"/>
      <c r="J39" s="30" t="s">
        <v>13084</v>
      </c>
      <c r="K39" s="30" t="s">
        <v>13085</v>
      </c>
      <c r="L39" s="4"/>
      <c r="M39" s="4"/>
      <c r="N39" s="4"/>
      <c r="O39"/>
      <c r="P39" s="4"/>
    </row>
    <row r="40" spans="1:299" s="57" customFormat="1" ht="26.25" customHeight="1" x14ac:dyDescent="0.2">
      <c r="A40" s="31" t="s">
        <v>5973</v>
      </c>
      <c r="B40" s="31" t="s">
        <v>281</v>
      </c>
      <c r="C40" s="1337" t="s">
        <v>5805</v>
      </c>
      <c r="D40" s="1337"/>
      <c r="E40" s="563" t="s">
        <v>3663</v>
      </c>
      <c r="F40" s="31" t="s">
        <v>447</v>
      </c>
      <c r="G40" s="289">
        <v>43</v>
      </c>
      <c r="H40" s="346" t="s">
        <v>64</v>
      </c>
      <c r="I40" s="566">
        <v>136202.93</v>
      </c>
      <c r="J40" s="32" t="s">
        <v>10756</v>
      </c>
      <c r="K40" s="32" t="s">
        <v>10847</v>
      </c>
      <c r="L40" s="1383"/>
      <c r="M40" s="1383"/>
      <c r="N40" s="1383"/>
      <c r="O40" s="1383"/>
      <c r="P40" s="73"/>
    </row>
    <row r="41" spans="1:299" s="5" customFormat="1" ht="28.5" customHeight="1" x14ac:dyDescent="0.2">
      <c r="A41" s="31" t="s">
        <v>2064</v>
      </c>
      <c r="B41" s="29" t="s">
        <v>281</v>
      </c>
      <c r="C41" s="1337" t="s">
        <v>5806</v>
      </c>
      <c r="D41" s="1337"/>
      <c r="E41" s="18" t="s">
        <v>5412</v>
      </c>
      <c r="F41" s="31" t="s">
        <v>2677</v>
      </c>
      <c r="G41" s="289">
        <v>5.5</v>
      </c>
      <c r="H41" s="292" t="s">
        <v>160</v>
      </c>
      <c r="I41" s="25"/>
      <c r="J41" s="18" t="s">
        <v>3730</v>
      </c>
      <c r="K41" s="32"/>
    </row>
    <row r="42" spans="1:299" s="5" customFormat="1" ht="24" customHeight="1" x14ac:dyDescent="0.2">
      <c r="A42" s="31" t="s">
        <v>5137</v>
      </c>
      <c r="B42" s="31" t="s">
        <v>281</v>
      </c>
      <c r="C42" s="1342" t="s">
        <v>5807</v>
      </c>
      <c r="D42" s="1342"/>
      <c r="E42" s="12" t="s">
        <v>5637</v>
      </c>
      <c r="F42" s="31" t="s">
        <v>78</v>
      </c>
      <c r="G42" s="295">
        <v>63.9</v>
      </c>
      <c r="H42" s="285" t="s">
        <v>2667</v>
      </c>
      <c r="I42" s="566"/>
      <c r="J42" s="375" t="s">
        <v>8222</v>
      </c>
      <c r="K42" s="180" t="s">
        <v>10848</v>
      </c>
    </row>
    <row r="43" spans="1:299" s="5" customFormat="1" ht="68.25" customHeight="1" x14ac:dyDescent="0.2">
      <c r="A43" s="31" t="s">
        <v>6483</v>
      </c>
      <c r="B43" s="31" t="s">
        <v>281</v>
      </c>
      <c r="C43" s="1342" t="s">
        <v>5807</v>
      </c>
      <c r="D43" s="1342"/>
      <c r="E43" s="12" t="s">
        <v>5637</v>
      </c>
      <c r="F43" s="63" t="s">
        <v>78</v>
      </c>
      <c r="G43" s="295">
        <f>49.4+0.5</f>
        <v>49.9</v>
      </c>
      <c r="H43" s="285" t="s">
        <v>2667</v>
      </c>
      <c r="I43" s="566"/>
      <c r="J43" s="32" t="s">
        <v>8251</v>
      </c>
      <c r="K43" s="32" t="s">
        <v>8251</v>
      </c>
    </row>
    <row r="44" spans="1:299" s="35" customFormat="1" ht="67.900000000000006" customHeight="1" x14ac:dyDescent="0.2">
      <c r="A44" s="31" t="s">
        <v>2065</v>
      </c>
      <c r="B44" s="29" t="s">
        <v>281</v>
      </c>
      <c r="C44" s="1342" t="s">
        <v>5807</v>
      </c>
      <c r="D44" s="1342"/>
      <c r="E44" s="12" t="s">
        <v>5636</v>
      </c>
      <c r="F44" s="63" t="s">
        <v>78</v>
      </c>
      <c r="G44" s="295">
        <v>58.2</v>
      </c>
      <c r="H44" s="285" t="s">
        <v>2667</v>
      </c>
      <c r="I44" s="25"/>
      <c r="J44" s="75" t="s">
        <v>11910</v>
      </c>
      <c r="K44" s="30" t="s">
        <v>11927</v>
      </c>
      <c r="L44" s="59"/>
      <c r="M44" s="59"/>
      <c r="N44" s="59"/>
      <c r="O44" s="59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</row>
    <row r="45" spans="1:299" ht="34.5" customHeight="1" x14ac:dyDescent="0.2">
      <c r="A45" s="31" t="s">
        <v>2678</v>
      </c>
      <c r="B45" s="29" t="s">
        <v>281</v>
      </c>
      <c r="C45" s="1337" t="s">
        <v>5808</v>
      </c>
      <c r="D45" s="1337"/>
      <c r="E45" s="18" t="s">
        <v>6570</v>
      </c>
      <c r="F45" s="29" t="s">
        <v>2679</v>
      </c>
      <c r="G45" s="294">
        <f>61-15.25*3</f>
        <v>15.25</v>
      </c>
      <c r="H45" s="292" t="s">
        <v>67</v>
      </c>
      <c r="I45" s="40">
        <v>796305.59</v>
      </c>
      <c r="J45" s="30" t="s">
        <v>5524</v>
      </c>
      <c r="K45" s="8" t="s">
        <v>10849</v>
      </c>
    </row>
    <row r="46" spans="1:299" ht="78" customHeight="1" x14ac:dyDescent="0.2">
      <c r="A46" s="31" t="s">
        <v>6484</v>
      </c>
      <c r="B46" s="29" t="s">
        <v>281</v>
      </c>
      <c r="C46" s="1337" t="s">
        <v>5808</v>
      </c>
      <c r="D46" s="1337"/>
      <c r="E46" s="18" t="s">
        <v>6570</v>
      </c>
      <c r="F46" s="29" t="s">
        <v>2679</v>
      </c>
      <c r="G46" s="294">
        <f>61-15.25*3</f>
        <v>15.25</v>
      </c>
      <c r="H46" s="292" t="s">
        <v>67</v>
      </c>
      <c r="I46" s="40"/>
      <c r="J46" s="30" t="s">
        <v>5521</v>
      </c>
      <c r="K46" s="8" t="s">
        <v>13086</v>
      </c>
    </row>
    <row r="47" spans="1:299" ht="57.75" customHeight="1" x14ac:dyDescent="0.2">
      <c r="A47" s="31" t="s">
        <v>6485</v>
      </c>
      <c r="B47" s="29" t="s">
        <v>281</v>
      </c>
      <c r="C47" s="1337" t="s">
        <v>5808</v>
      </c>
      <c r="D47" s="1337"/>
      <c r="E47" s="18" t="s">
        <v>6570</v>
      </c>
      <c r="F47" s="29" t="s">
        <v>2679</v>
      </c>
      <c r="G47" s="294">
        <f>61-15.25*3</f>
        <v>15.25</v>
      </c>
      <c r="H47" s="292" t="s">
        <v>67</v>
      </c>
      <c r="I47" s="40"/>
      <c r="J47" s="30" t="s">
        <v>5522</v>
      </c>
      <c r="K47" s="8" t="s">
        <v>13087</v>
      </c>
    </row>
    <row r="48" spans="1:299" ht="33" customHeight="1" x14ac:dyDescent="0.2">
      <c r="A48" s="562" t="s">
        <v>6486</v>
      </c>
      <c r="B48" s="29" t="s">
        <v>281</v>
      </c>
      <c r="C48" s="1337" t="s">
        <v>5808</v>
      </c>
      <c r="D48" s="1337"/>
      <c r="E48" s="18" t="s">
        <v>6570</v>
      </c>
      <c r="F48" s="29" t="s">
        <v>2679</v>
      </c>
      <c r="G48" s="294">
        <f>61-15.25*3</f>
        <v>15.25</v>
      </c>
      <c r="H48" s="292" t="s">
        <v>67</v>
      </c>
      <c r="I48" s="40"/>
      <c r="J48" s="30" t="s">
        <v>5523</v>
      </c>
      <c r="K48" s="8" t="s">
        <v>11919</v>
      </c>
    </row>
    <row r="49" spans="1:17" s="57" customFormat="1" ht="59.25" customHeight="1" x14ac:dyDescent="0.2">
      <c r="A49" s="31" t="s">
        <v>6487</v>
      </c>
      <c r="B49" s="31" t="s">
        <v>281</v>
      </c>
      <c r="C49" s="1337" t="s">
        <v>5808</v>
      </c>
      <c r="D49" s="1337"/>
      <c r="E49" s="18" t="s">
        <v>6567</v>
      </c>
      <c r="F49" s="31" t="s">
        <v>158</v>
      </c>
      <c r="G49" s="289">
        <v>34.299999999999997</v>
      </c>
      <c r="H49" s="24" t="s">
        <v>67</v>
      </c>
      <c r="I49" s="566">
        <v>148723.09</v>
      </c>
      <c r="J49" s="32" t="s">
        <v>3713</v>
      </c>
      <c r="K49" s="32" t="s">
        <v>3713</v>
      </c>
      <c r="L49" s="5"/>
      <c r="M49" s="5"/>
      <c r="N49" s="5"/>
      <c r="O49" s="5"/>
      <c r="P49" s="73"/>
    </row>
    <row r="50" spans="1:17" s="57" customFormat="1" ht="44.25" customHeight="1" x14ac:dyDescent="0.2">
      <c r="A50" s="31" t="s">
        <v>2066</v>
      </c>
      <c r="B50" s="31" t="s">
        <v>281</v>
      </c>
      <c r="C50" s="1337" t="s">
        <v>5808</v>
      </c>
      <c r="D50" s="1337"/>
      <c r="E50" s="18" t="s">
        <v>6542</v>
      </c>
      <c r="F50" s="31" t="s">
        <v>158</v>
      </c>
      <c r="G50" s="289">
        <v>104.3</v>
      </c>
      <c r="H50" s="24" t="s">
        <v>67</v>
      </c>
      <c r="I50" s="566">
        <v>452239.58</v>
      </c>
      <c r="J50" s="32" t="s">
        <v>8961</v>
      </c>
      <c r="K50" s="32" t="s">
        <v>10850</v>
      </c>
      <c r="L50" s="5"/>
      <c r="M50" s="5"/>
      <c r="N50" s="5"/>
      <c r="O50" s="5"/>
      <c r="P50" s="73"/>
    </row>
    <row r="51" spans="1:17" s="57" customFormat="1" ht="59.25" customHeight="1" x14ac:dyDescent="0.2">
      <c r="A51" s="31" t="s">
        <v>2702</v>
      </c>
      <c r="B51" s="31" t="s">
        <v>281</v>
      </c>
      <c r="C51" s="1337" t="s">
        <v>5808</v>
      </c>
      <c r="D51" s="1337"/>
      <c r="E51" s="18" t="s">
        <v>6569</v>
      </c>
      <c r="F51" s="31" t="s">
        <v>158</v>
      </c>
      <c r="G51" s="289">
        <f>279.9-79.6</f>
        <v>200.29999999999998</v>
      </c>
      <c r="H51" s="24" t="s">
        <v>67</v>
      </c>
      <c r="I51" s="566">
        <f>1213632.41/279.9*G51</f>
        <v>868490.78857806348</v>
      </c>
      <c r="J51" s="32" t="s">
        <v>3713</v>
      </c>
      <c r="K51" s="553" t="s">
        <v>10851</v>
      </c>
      <c r="L51" s="5"/>
      <c r="M51" s="5"/>
      <c r="N51" s="5"/>
      <c r="O51" s="5"/>
      <c r="P51" s="73"/>
    </row>
    <row r="52" spans="1:17" s="57" customFormat="1" ht="28.5" customHeight="1" x14ac:dyDescent="0.2">
      <c r="A52" s="31" t="s">
        <v>8285</v>
      </c>
      <c r="B52" s="31" t="s">
        <v>281</v>
      </c>
      <c r="C52" s="1337" t="s">
        <v>5808</v>
      </c>
      <c r="D52" s="1337"/>
      <c r="E52" s="18" t="s">
        <v>6569</v>
      </c>
      <c r="F52" s="31" t="s">
        <v>158</v>
      </c>
      <c r="G52" s="289">
        <v>79.599999999999994</v>
      </c>
      <c r="H52" s="24" t="s">
        <v>67</v>
      </c>
      <c r="I52" s="566">
        <f>1213632.41/279.9*G52</f>
        <v>345141.62142193638</v>
      </c>
      <c r="J52" s="32" t="s">
        <v>8306</v>
      </c>
      <c r="K52" s="553" t="s">
        <v>10852</v>
      </c>
      <c r="L52" s="5"/>
      <c r="M52" s="5"/>
      <c r="N52" s="5"/>
      <c r="O52" s="5"/>
      <c r="P52" s="73"/>
    </row>
    <row r="53" spans="1:17" s="57" customFormat="1" ht="56.25" x14ac:dyDescent="0.2">
      <c r="A53" s="31" t="s">
        <v>2703</v>
      </c>
      <c r="B53" s="31" t="s">
        <v>281</v>
      </c>
      <c r="C53" s="1337" t="s">
        <v>5808</v>
      </c>
      <c r="D53" s="1337"/>
      <c r="E53" s="18" t="s">
        <v>6568</v>
      </c>
      <c r="F53" s="31" t="s">
        <v>69</v>
      </c>
      <c r="G53" s="289">
        <v>104.3</v>
      </c>
      <c r="H53" s="24" t="s">
        <v>67</v>
      </c>
      <c r="I53" s="566">
        <v>597493.91</v>
      </c>
      <c r="J53" s="32" t="s">
        <v>3713</v>
      </c>
      <c r="K53" s="553" t="s">
        <v>10851</v>
      </c>
      <c r="L53" s="5"/>
      <c r="M53" s="5"/>
      <c r="N53" s="5"/>
      <c r="O53" s="5"/>
      <c r="P53" s="73"/>
    </row>
    <row r="54" spans="1:17" ht="78" customHeight="1" x14ac:dyDescent="0.2">
      <c r="A54" s="46" t="s">
        <v>13089</v>
      </c>
      <c r="B54" s="46" t="s">
        <v>3052</v>
      </c>
      <c r="C54" s="1345" t="s">
        <v>5809</v>
      </c>
      <c r="D54" s="1346"/>
      <c r="E54" s="46" t="s">
        <v>13090</v>
      </c>
      <c r="F54" s="29" t="s">
        <v>2681</v>
      </c>
      <c r="G54" s="33">
        <f>406.9-113</f>
        <v>293.89999999999998</v>
      </c>
      <c r="H54" s="25" t="s">
        <v>82</v>
      </c>
      <c r="I54" s="25">
        <v>5287960.4800000004</v>
      </c>
      <c r="J54" s="30" t="s">
        <v>13091</v>
      </c>
      <c r="K54" s="30" t="s">
        <v>13092</v>
      </c>
      <c r="L54" s="5"/>
      <c r="M54" s="5"/>
      <c r="N54" s="5"/>
      <c r="O54" s="5"/>
      <c r="P54" s="73"/>
      <c r="Q54" s="5"/>
    </row>
    <row r="55" spans="1:17" s="5" customFormat="1" ht="57.75" customHeight="1" x14ac:dyDescent="0.2">
      <c r="A55" s="31" t="s">
        <v>2704</v>
      </c>
      <c r="B55" s="31" t="s">
        <v>6442</v>
      </c>
      <c r="C55" s="1351" t="s">
        <v>5809</v>
      </c>
      <c r="D55" s="1351"/>
      <c r="E55" s="29" t="s">
        <v>6566</v>
      </c>
      <c r="F55" s="189" t="s">
        <v>2680</v>
      </c>
      <c r="G55" s="289">
        <f>273.1-1</f>
        <v>272.10000000000002</v>
      </c>
      <c r="H55" s="296" t="s">
        <v>82</v>
      </c>
      <c r="I55" s="25"/>
      <c r="J55" s="80" t="s">
        <v>6666</v>
      </c>
      <c r="K55" s="32" t="s">
        <v>10853</v>
      </c>
      <c r="P55" s="73"/>
    </row>
    <row r="56" spans="1:17" ht="57.75" customHeight="1" x14ac:dyDescent="0.2">
      <c r="A56" s="31" t="s">
        <v>2705</v>
      </c>
      <c r="B56" s="29" t="s">
        <v>281</v>
      </c>
      <c r="C56" s="1338" t="s">
        <v>5810</v>
      </c>
      <c r="D56" s="1338"/>
      <c r="E56" s="29" t="s">
        <v>6586</v>
      </c>
      <c r="F56" s="29" t="s">
        <v>2707</v>
      </c>
      <c r="G56" s="291">
        <v>55.4</v>
      </c>
      <c r="H56" s="26" t="s">
        <v>488</v>
      </c>
      <c r="I56" s="25"/>
      <c r="J56" s="30" t="s">
        <v>13445</v>
      </c>
      <c r="K56" s="30" t="s">
        <v>13446</v>
      </c>
    </row>
    <row r="57" spans="1:17" ht="26.25" customHeight="1" x14ac:dyDescent="0.2">
      <c r="A57" s="31" t="s">
        <v>2067</v>
      </c>
      <c r="B57" s="29" t="s">
        <v>281</v>
      </c>
      <c r="C57" s="1348" t="s">
        <v>5811</v>
      </c>
      <c r="D57" s="1348"/>
      <c r="E57" s="46" t="s">
        <v>5134</v>
      </c>
      <c r="F57" s="29" t="s">
        <v>2708</v>
      </c>
      <c r="G57" s="291">
        <v>83.6</v>
      </c>
      <c r="H57" s="26" t="s">
        <v>488</v>
      </c>
      <c r="I57" s="25"/>
      <c r="J57" s="30" t="s">
        <v>276</v>
      </c>
      <c r="K57" s="30"/>
    </row>
    <row r="58" spans="1:17" s="57" customFormat="1" ht="33.75" x14ac:dyDescent="0.2">
      <c r="A58" s="31" t="s">
        <v>2068</v>
      </c>
      <c r="B58" s="31" t="s">
        <v>281</v>
      </c>
      <c r="C58" s="1337" t="s">
        <v>5812</v>
      </c>
      <c r="D58" s="1337"/>
      <c r="E58" s="28" t="s">
        <v>8076</v>
      </c>
      <c r="F58" s="31" t="s">
        <v>487</v>
      </c>
      <c r="G58" s="289">
        <v>40.299999999999997</v>
      </c>
      <c r="H58" s="346" t="s">
        <v>488</v>
      </c>
      <c r="I58" s="162">
        <v>751005.73</v>
      </c>
      <c r="J58" s="32" t="s">
        <v>486</v>
      </c>
      <c r="K58" s="32" t="s">
        <v>486</v>
      </c>
      <c r="L58" s="5"/>
      <c r="M58" s="5"/>
      <c r="N58" s="5"/>
      <c r="O58" s="5"/>
      <c r="P58" s="73"/>
    </row>
    <row r="59" spans="1:17" s="5" customFormat="1" ht="38.25" customHeight="1" x14ac:dyDescent="0.2">
      <c r="A59" s="31" t="s">
        <v>2069</v>
      </c>
      <c r="B59" s="31" t="s">
        <v>2278</v>
      </c>
      <c r="C59" s="1337" t="s">
        <v>5813</v>
      </c>
      <c r="D59" s="1337"/>
      <c r="E59" s="1349" t="s">
        <v>3629</v>
      </c>
      <c r="F59" s="31" t="s">
        <v>5164</v>
      </c>
      <c r="G59" s="289">
        <f>127.4-34.2</f>
        <v>93.2</v>
      </c>
      <c r="H59" s="346" t="s">
        <v>488</v>
      </c>
      <c r="I59" s="566"/>
      <c r="J59" s="32" t="s">
        <v>276</v>
      </c>
      <c r="K59" s="32" t="s">
        <v>276</v>
      </c>
    </row>
    <row r="60" spans="1:17" s="5" customFormat="1" ht="41.25" customHeight="1" x14ac:dyDescent="0.2">
      <c r="A60" s="31" t="s">
        <v>6520</v>
      </c>
      <c r="B60" s="31" t="s">
        <v>2278</v>
      </c>
      <c r="C60" s="1338" t="s">
        <v>5813</v>
      </c>
      <c r="D60" s="1338"/>
      <c r="E60" s="1349"/>
      <c r="F60" s="29" t="s">
        <v>3708</v>
      </c>
      <c r="G60" s="291">
        <v>34.200000000000003</v>
      </c>
      <c r="H60" s="26" t="s">
        <v>488</v>
      </c>
      <c r="I60" s="25"/>
      <c r="J60" s="30" t="s">
        <v>2866</v>
      </c>
      <c r="K60" s="30" t="s">
        <v>10854</v>
      </c>
      <c r="L60" s="61"/>
      <c r="M60" s="61"/>
      <c r="N60" s="61"/>
      <c r="O60" s="61"/>
    </row>
    <row r="61" spans="1:17" s="57" customFormat="1" ht="22.5" x14ac:dyDescent="0.2">
      <c r="A61" s="31" t="s">
        <v>2070</v>
      </c>
      <c r="B61" s="31" t="s">
        <v>281</v>
      </c>
      <c r="C61" s="1337" t="s">
        <v>5793</v>
      </c>
      <c r="D61" s="1337"/>
      <c r="E61" s="28" t="s">
        <v>5485</v>
      </c>
      <c r="F61" s="31" t="s">
        <v>162</v>
      </c>
      <c r="G61" s="289">
        <v>96.6</v>
      </c>
      <c r="H61" s="346" t="s">
        <v>163</v>
      </c>
      <c r="I61" s="566">
        <v>2012477</v>
      </c>
      <c r="J61" s="32" t="s">
        <v>5457</v>
      </c>
      <c r="K61" s="32" t="s">
        <v>10855</v>
      </c>
      <c r="P61" s="73"/>
    </row>
    <row r="62" spans="1:17" s="5" customFormat="1" ht="33" customHeight="1" x14ac:dyDescent="0.2">
      <c r="A62" s="31" t="s">
        <v>2071</v>
      </c>
      <c r="B62" s="31" t="s">
        <v>281</v>
      </c>
      <c r="C62" s="1337" t="s">
        <v>5793</v>
      </c>
      <c r="D62" s="1337"/>
      <c r="E62" s="18" t="s">
        <v>5871</v>
      </c>
      <c r="F62" s="31" t="s">
        <v>2864</v>
      </c>
      <c r="G62" s="289">
        <v>10.3</v>
      </c>
      <c r="H62" s="346" t="s">
        <v>163</v>
      </c>
      <c r="I62" s="566"/>
      <c r="J62" s="102" t="s">
        <v>3103</v>
      </c>
      <c r="K62" s="32" t="s">
        <v>10856</v>
      </c>
    </row>
    <row r="63" spans="1:17" s="5" customFormat="1" ht="27.75" customHeight="1" x14ac:dyDescent="0.2">
      <c r="A63" s="31" t="s">
        <v>2072</v>
      </c>
      <c r="B63" s="31" t="s">
        <v>281</v>
      </c>
      <c r="C63" s="1337" t="s">
        <v>5793</v>
      </c>
      <c r="D63" s="1337"/>
      <c r="E63" s="46" t="s">
        <v>6565</v>
      </c>
      <c r="F63" s="31" t="s">
        <v>3771</v>
      </c>
      <c r="G63" s="293">
        <v>27.2</v>
      </c>
      <c r="H63" s="346" t="s">
        <v>163</v>
      </c>
      <c r="I63" s="566">
        <v>86156.27</v>
      </c>
      <c r="J63" s="102" t="s">
        <v>3772</v>
      </c>
      <c r="K63" s="553" t="s">
        <v>10857</v>
      </c>
    </row>
    <row r="64" spans="1:17" s="5" customFormat="1" ht="45" customHeight="1" x14ac:dyDescent="0.2">
      <c r="A64" s="31" t="s">
        <v>2073</v>
      </c>
      <c r="B64" s="31" t="s">
        <v>281</v>
      </c>
      <c r="C64" s="1337" t="s">
        <v>5814</v>
      </c>
      <c r="D64" s="1337"/>
      <c r="E64" s="46" t="s">
        <v>3629</v>
      </c>
      <c r="F64" s="31" t="s">
        <v>2709</v>
      </c>
      <c r="G64" s="289">
        <v>17.100000000000001</v>
      </c>
      <c r="H64" s="346" t="s">
        <v>163</v>
      </c>
      <c r="I64" s="566">
        <v>145699.01</v>
      </c>
      <c r="J64" s="47" t="s">
        <v>9909</v>
      </c>
      <c r="K64" s="47" t="s">
        <v>9910</v>
      </c>
      <c r="P64" s="64"/>
    </row>
    <row r="65" spans="1:16" s="57" customFormat="1" ht="51.75" customHeight="1" x14ac:dyDescent="0.2">
      <c r="A65" s="31" t="s">
        <v>2074</v>
      </c>
      <c r="B65" s="31" t="s">
        <v>281</v>
      </c>
      <c r="C65" s="1337" t="s">
        <v>6393</v>
      </c>
      <c r="D65" s="1337"/>
      <c r="E65" s="28" t="s">
        <v>5937</v>
      </c>
      <c r="F65" s="31" t="s">
        <v>2659</v>
      </c>
      <c r="G65" s="289">
        <v>81.7</v>
      </c>
      <c r="H65" s="346" t="s">
        <v>75</v>
      </c>
      <c r="I65" s="566"/>
      <c r="J65" s="700" t="s">
        <v>7899</v>
      </c>
      <c r="K65" s="30" t="s">
        <v>12579</v>
      </c>
      <c r="L65" s="5"/>
      <c r="M65" s="5"/>
      <c r="N65" s="5"/>
      <c r="O65" s="5"/>
      <c r="P65" s="73"/>
    </row>
    <row r="66" spans="1:16" s="59" customFormat="1" ht="58.5" customHeight="1" x14ac:dyDescent="0.2">
      <c r="A66" s="31" t="s">
        <v>2075</v>
      </c>
      <c r="B66" s="31" t="s">
        <v>281</v>
      </c>
      <c r="C66" s="1337" t="s">
        <v>5815</v>
      </c>
      <c r="D66" s="1337"/>
      <c r="E66" s="28" t="s">
        <v>6560</v>
      </c>
      <c r="F66" s="31" t="s">
        <v>158</v>
      </c>
      <c r="G66" s="289">
        <f>681.9</f>
        <v>681.9</v>
      </c>
      <c r="H66" s="346" t="s">
        <v>484</v>
      </c>
      <c r="I66" s="566">
        <v>2956684.31</v>
      </c>
      <c r="J66" s="32" t="s">
        <v>3677</v>
      </c>
      <c r="K66" s="32" t="s">
        <v>10858</v>
      </c>
      <c r="P66" s="169"/>
    </row>
    <row r="67" spans="1:16" s="111" customFormat="1" ht="58.5" customHeight="1" x14ac:dyDescent="0.2">
      <c r="A67" s="31" t="s">
        <v>6521</v>
      </c>
      <c r="B67" s="31" t="s">
        <v>6561</v>
      </c>
      <c r="C67" s="1337" t="s">
        <v>5815</v>
      </c>
      <c r="D67" s="1337"/>
      <c r="E67" s="28" t="s">
        <v>6445</v>
      </c>
      <c r="F67" s="31" t="s">
        <v>158</v>
      </c>
      <c r="G67" s="289">
        <f>193.7</f>
        <v>193.7</v>
      </c>
      <c r="H67" s="346" t="s">
        <v>484</v>
      </c>
      <c r="I67" s="566">
        <v>839873.51</v>
      </c>
      <c r="J67" s="80" t="s">
        <v>6666</v>
      </c>
      <c r="K67" s="32" t="s">
        <v>10853</v>
      </c>
      <c r="P67" s="170"/>
    </row>
    <row r="68" spans="1:16" s="111" customFormat="1" ht="45" x14ac:dyDescent="0.2">
      <c r="A68" s="31" t="s">
        <v>6522</v>
      </c>
      <c r="B68" s="29" t="s">
        <v>281</v>
      </c>
      <c r="C68" s="1337" t="s">
        <v>5815</v>
      </c>
      <c r="D68" s="1337"/>
      <c r="E68" s="28" t="s">
        <v>6559</v>
      </c>
      <c r="F68" s="29" t="s">
        <v>79</v>
      </c>
      <c r="G68" s="291">
        <f>28.7+11.9</f>
        <v>40.6</v>
      </c>
      <c r="H68" s="26" t="s">
        <v>484</v>
      </c>
      <c r="I68" s="25">
        <v>176039.57</v>
      </c>
      <c r="J68" s="30" t="s">
        <v>5520</v>
      </c>
      <c r="K68" s="731" t="s">
        <v>13434</v>
      </c>
      <c r="L68" s="4"/>
      <c r="M68" s="4"/>
      <c r="N68" s="4"/>
      <c r="O68" s="4"/>
      <c r="P68" s="170"/>
    </row>
    <row r="69" spans="1:16" s="57" customFormat="1" ht="60" customHeight="1" x14ac:dyDescent="0.2">
      <c r="A69" s="31" t="s">
        <v>6523</v>
      </c>
      <c r="B69" s="31" t="s">
        <v>281</v>
      </c>
      <c r="C69" s="1337" t="s">
        <v>5815</v>
      </c>
      <c r="D69" s="1337"/>
      <c r="E69" s="80" t="s">
        <v>3664</v>
      </c>
      <c r="F69" s="739" t="s">
        <v>5129</v>
      </c>
      <c r="G69" s="289">
        <f>71.8</f>
        <v>71.8</v>
      </c>
      <c r="H69" s="346">
        <v>1983</v>
      </c>
      <c r="I69" s="741">
        <v>1338020.93</v>
      </c>
      <c r="J69" s="30" t="s">
        <v>13093</v>
      </c>
      <c r="K69" s="30" t="s">
        <v>13094</v>
      </c>
      <c r="P69" s="73"/>
    </row>
    <row r="70" spans="1:16" s="57" customFormat="1" ht="34.5" customHeight="1" x14ac:dyDescent="0.2">
      <c r="A70" s="31" t="s">
        <v>6524</v>
      </c>
      <c r="B70" s="31" t="s">
        <v>2278</v>
      </c>
      <c r="C70" s="1337" t="s">
        <v>5816</v>
      </c>
      <c r="D70" s="1337"/>
      <c r="E70" s="80" t="s">
        <v>3662</v>
      </c>
      <c r="F70" s="31" t="s">
        <v>79</v>
      </c>
      <c r="G70" s="289">
        <v>29.1</v>
      </c>
      <c r="H70" s="346" t="s">
        <v>161</v>
      </c>
      <c r="I70" s="162">
        <v>242260.07</v>
      </c>
      <c r="J70" s="735" t="s">
        <v>13095</v>
      </c>
      <c r="K70" s="345" t="s">
        <v>13096</v>
      </c>
      <c r="P70" s="73"/>
    </row>
    <row r="71" spans="1:16" ht="59.25" customHeight="1" x14ac:dyDescent="0.2">
      <c r="A71" s="31" t="s">
        <v>2076</v>
      </c>
      <c r="B71" s="31" t="s">
        <v>3150</v>
      </c>
      <c r="C71" s="1337" t="s">
        <v>5823</v>
      </c>
      <c r="D71" s="1337"/>
      <c r="E71" s="31" t="s">
        <v>3474</v>
      </c>
      <c r="F71" s="31" t="s">
        <v>63</v>
      </c>
      <c r="G71" s="289">
        <v>493.26</v>
      </c>
      <c r="H71" s="346" t="s">
        <v>159</v>
      </c>
      <c r="I71" s="566">
        <v>1897045.78</v>
      </c>
      <c r="J71" s="32" t="s">
        <v>8150</v>
      </c>
      <c r="K71" s="553" t="s">
        <v>10859</v>
      </c>
    </row>
    <row r="72" spans="1:16" s="57" customFormat="1" ht="63" customHeight="1" x14ac:dyDescent="0.2">
      <c r="A72" s="31" t="s">
        <v>4799</v>
      </c>
      <c r="B72" s="31" t="s">
        <v>281</v>
      </c>
      <c r="C72" s="1337" t="s">
        <v>5823</v>
      </c>
      <c r="D72" s="1337"/>
      <c r="E72" s="18" t="s">
        <v>8197</v>
      </c>
      <c r="F72" s="31" t="s">
        <v>63</v>
      </c>
      <c r="G72" s="289">
        <v>269.3</v>
      </c>
      <c r="H72" s="346" t="s">
        <v>76</v>
      </c>
      <c r="I72" s="566">
        <v>4875221.08</v>
      </c>
      <c r="J72" s="32" t="s">
        <v>3713</v>
      </c>
      <c r="K72" s="553" t="s">
        <v>10851</v>
      </c>
      <c r="L72" s="5"/>
      <c r="M72" s="5"/>
      <c r="N72" s="5"/>
      <c r="O72" s="5"/>
      <c r="P72" s="73"/>
    </row>
    <row r="73" spans="1:16" s="57" customFormat="1" ht="45.75" customHeight="1" x14ac:dyDescent="0.2">
      <c r="A73" s="31" t="s">
        <v>2077</v>
      </c>
      <c r="B73" s="31" t="s">
        <v>281</v>
      </c>
      <c r="C73" s="1343" t="s">
        <v>5817</v>
      </c>
      <c r="D73" s="1344"/>
      <c r="E73" s="18" t="s">
        <v>3473</v>
      </c>
      <c r="F73" s="31" t="s">
        <v>3553</v>
      </c>
      <c r="G73" s="290">
        <f>575.9-29.42-145.68</f>
        <v>400.8</v>
      </c>
      <c r="H73" s="18" t="s">
        <v>159</v>
      </c>
      <c r="I73" s="1339">
        <v>3331834.9</v>
      </c>
      <c r="J73" s="30" t="s">
        <v>9915</v>
      </c>
      <c r="K73" s="32" t="s">
        <v>13436</v>
      </c>
      <c r="L73" s="579" t="s">
        <v>11895</v>
      </c>
      <c r="M73" s="5"/>
      <c r="N73" s="5"/>
      <c r="O73" s="5"/>
      <c r="P73" s="73"/>
    </row>
    <row r="74" spans="1:16" s="57" customFormat="1" ht="58.5" customHeight="1" x14ac:dyDescent="0.2">
      <c r="A74" s="31" t="s">
        <v>11573</v>
      </c>
      <c r="B74" s="31" t="s">
        <v>281</v>
      </c>
      <c r="C74" s="1343" t="s">
        <v>5817</v>
      </c>
      <c r="D74" s="1344"/>
      <c r="E74" s="18" t="s">
        <v>3473</v>
      </c>
      <c r="F74" s="31" t="s">
        <v>3553</v>
      </c>
      <c r="G74" s="290">
        <v>29.42</v>
      </c>
      <c r="H74" s="18" t="s">
        <v>159</v>
      </c>
      <c r="I74" s="1340"/>
      <c r="J74" s="30" t="s">
        <v>3713</v>
      </c>
      <c r="K74" s="345" t="s">
        <v>11574</v>
      </c>
      <c r="L74" s="5"/>
      <c r="M74" s="5"/>
      <c r="N74" s="5"/>
      <c r="O74" s="5"/>
      <c r="P74" s="73"/>
    </row>
    <row r="75" spans="1:16" s="57" customFormat="1" ht="48.75" customHeight="1" x14ac:dyDescent="0.2">
      <c r="A75" s="31" t="s">
        <v>11624</v>
      </c>
      <c r="B75" s="31" t="s">
        <v>281</v>
      </c>
      <c r="C75" s="1343" t="s">
        <v>5817</v>
      </c>
      <c r="D75" s="1344"/>
      <c r="E75" s="18" t="s">
        <v>3473</v>
      </c>
      <c r="F75" s="31" t="s">
        <v>3553</v>
      </c>
      <c r="G75" s="290">
        <v>145.68</v>
      </c>
      <c r="H75" s="18" t="s">
        <v>159</v>
      </c>
      <c r="I75" s="1341"/>
      <c r="J75" s="30" t="s">
        <v>3713</v>
      </c>
      <c r="K75" s="345" t="s">
        <v>13097</v>
      </c>
      <c r="L75" s="5"/>
      <c r="M75" s="5"/>
      <c r="N75" s="5"/>
      <c r="O75" s="5"/>
      <c r="P75" s="73"/>
    </row>
    <row r="76" spans="1:16" s="57" customFormat="1" ht="57" customHeight="1" x14ac:dyDescent="0.2">
      <c r="A76" s="31" t="s">
        <v>4800</v>
      </c>
      <c r="B76" s="31" t="s">
        <v>3149</v>
      </c>
      <c r="C76" s="1337" t="s">
        <v>5817</v>
      </c>
      <c r="D76" s="1337"/>
      <c r="E76" s="31" t="s">
        <v>3475</v>
      </c>
      <c r="F76" s="31" t="s">
        <v>3148</v>
      </c>
      <c r="G76" s="289">
        <v>327.9</v>
      </c>
      <c r="H76" s="346" t="s">
        <v>159</v>
      </c>
      <c r="I76" s="566">
        <v>6073651.1900000004</v>
      </c>
      <c r="J76" s="32" t="s">
        <v>3714</v>
      </c>
      <c r="K76" s="32" t="s">
        <v>10844</v>
      </c>
      <c r="L76" s="5"/>
      <c r="M76" s="5"/>
      <c r="N76" s="5"/>
      <c r="O76" s="5"/>
      <c r="P76" s="73"/>
    </row>
    <row r="77" spans="1:16" s="57" customFormat="1" ht="36" customHeight="1" x14ac:dyDescent="0.2">
      <c r="A77" s="31" t="s">
        <v>2078</v>
      </c>
      <c r="B77" s="31" t="s">
        <v>281</v>
      </c>
      <c r="C77" s="1337" t="s">
        <v>5823</v>
      </c>
      <c r="D77" s="1337"/>
      <c r="E77" s="18" t="s">
        <v>8077</v>
      </c>
      <c r="F77" s="31" t="s">
        <v>3151</v>
      </c>
      <c r="G77" s="289">
        <f>148-20</f>
        <v>128</v>
      </c>
      <c r="H77" s="346" t="s">
        <v>159</v>
      </c>
      <c r="I77" s="162">
        <v>2370928.19</v>
      </c>
      <c r="J77" s="32" t="s">
        <v>3694</v>
      </c>
      <c r="K77" s="32" t="s">
        <v>10860</v>
      </c>
      <c r="L77" s="5"/>
      <c r="M77" s="5"/>
      <c r="N77" s="5"/>
      <c r="O77" s="5"/>
      <c r="P77" s="73"/>
    </row>
    <row r="78" spans="1:16" s="57" customFormat="1" ht="48" customHeight="1" x14ac:dyDescent="0.2">
      <c r="A78" s="31" t="s">
        <v>6525</v>
      </c>
      <c r="B78" s="31" t="s">
        <v>281</v>
      </c>
      <c r="C78" s="1337" t="s">
        <v>5817</v>
      </c>
      <c r="D78" s="1337"/>
      <c r="E78" s="18" t="s">
        <v>8077</v>
      </c>
      <c r="F78" s="31" t="s">
        <v>3151</v>
      </c>
      <c r="G78" s="289">
        <v>20</v>
      </c>
      <c r="H78" s="346" t="s">
        <v>159</v>
      </c>
      <c r="I78" s="162">
        <v>370457.53</v>
      </c>
      <c r="J78" s="32" t="s">
        <v>5519</v>
      </c>
      <c r="K78" s="32" t="s">
        <v>3694</v>
      </c>
      <c r="L78" s="5"/>
      <c r="M78" s="5"/>
      <c r="N78" s="5"/>
      <c r="O78" s="5"/>
      <c r="P78" s="73"/>
    </row>
    <row r="79" spans="1:16" s="57" customFormat="1" ht="67.5" customHeight="1" x14ac:dyDescent="0.2">
      <c r="A79" s="189" t="s">
        <v>2079</v>
      </c>
      <c r="B79" s="189" t="s">
        <v>281</v>
      </c>
      <c r="C79" s="1351" t="s">
        <v>5821</v>
      </c>
      <c r="D79" s="1351"/>
      <c r="E79" s="189" t="s">
        <v>9243</v>
      </c>
      <c r="F79" s="189" t="s">
        <v>5168</v>
      </c>
      <c r="G79" s="297">
        <v>413.5</v>
      </c>
      <c r="H79" s="296" t="s">
        <v>18</v>
      </c>
      <c r="I79" s="190">
        <v>85003.199999999997</v>
      </c>
      <c r="J79" s="32" t="s">
        <v>6382</v>
      </c>
      <c r="K79" s="32" t="s">
        <v>10861</v>
      </c>
      <c r="L79" s="5"/>
      <c r="M79" s="5"/>
      <c r="N79" s="5"/>
      <c r="O79" s="5"/>
    </row>
    <row r="80" spans="1:16" ht="33.75" x14ac:dyDescent="0.2">
      <c r="A80" s="31" t="s">
        <v>2080</v>
      </c>
      <c r="B80" s="29" t="s">
        <v>281</v>
      </c>
      <c r="C80" s="1338" t="s">
        <v>5821</v>
      </c>
      <c r="D80" s="1338"/>
      <c r="E80" s="46"/>
      <c r="F80" s="29" t="s">
        <v>2863</v>
      </c>
      <c r="G80" s="291">
        <v>19.600000000000001</v>
      </c>
      <c r="H80" s="26" t="s">
        <v>18</v>
      </c>
      <c r="I80" s="25"/>
      <c r="J80" s="30" t="s">
        <v>11890</v>
      </c>
      <c r="K80" s="32" t="s">
        <v>13433</v>
      </c>
      <c r="L80" s="5"/>
    </row>
    <row r="81" spans="1:16" s="57" customFormat="1" ht="90" customHeight="1" x14ac:dyDescent="0.2">
      <c r="A81" s="31" t="s">
        <v>2081</v>
      </c>
      <c r="B81" s="31" t="s">
        <v>281</v>
      </c>
      <c r="C81" s="1337" t="s">
        <v>5822</v>
      </c>
      <c r="D81" s="1337"/>
      <c r="E81" s="18" t="s">
        <v>9242</v>
      </c>
      <c r="F81" s="31" t="s">
        <v>2860</v>
      </c>
      <c r="G81" s="289">
        <f>117.9</f>
        <v>117.9</v>
      </c>
      <c r="H81" s="346" t="s">
        <v>165</v>
      </c>
      <c r="I81" s="741">
        <v>708077.93</v>
      </c>
      <c r="J81" s="32" t="s">
        <v>13816</v>
      </c>
      <c r="K81" s="731" t="s">
        <v>13817</v>
      </c>
      <c r="L81" s="5"/>
      <c r="M81" s="5"/>
      <c r="N81" s="5"/>
      <c r="O81" s="5"/>
      <c r="P81" s="73"/>
    </row>
    <row r="82" spans="1:16" s="5" customFormat="1" ht="36.75" customHeight="1" x14ac:dyDescent="0.2">
      <c r="A82" s="31" t="s">
        <v>2082</v>
      </c>
      <c r="B82" s="556" t="s">
        <v>5265</v>
      </c>
      <c r="C82" s="1314" t="s">
        <v>5818</v>
      </c>
      <c r="D82" s="1314"/>
      <c r="E82" s="18" t="s">
        <v>5639</v>
      </c>
      <c r="F82" s="553" t="s">
        <v>158</v>
      </c>
      <c r="G82" s="299">
        <v>593.9</v>
      </c>
      <c r="H82" s="24" t="s">
        <v>36</v>
      </c>
      <c r="I82" s="566">
        <v>122088.02</v>
      </c>
      <c r="J82" s="556" t="s">
        <v>5620</v>
      </c>
      <c r="K82" s="556" t="s">
        <v>10862</v>
      </c>
    </row>
    <row r="83" spans="1:16" s="5" customFormat="1" ht="41.25" customHeight="1" x14ac:dyDescent="0.2">
      <c r="A83" s="31" t="s">
        <v>2083</v>
      </c>
      <c r="B83" s="31" t="s">
        <v>7723</v>
      </c>
      <c r="C83" s="1343" t="s">
        <v>5820</v>
      </c>
      <c r="D83" s="1344"/>
      <c r="E83" s="31" t="s">
        <v>6662</v>
      </c>
      <c r="F83" s="31" t="s">
        <v>5169</v>
      </c>
      <c r="G83" s="289">
        <v>296.5</v>
      </c>
      <c r="H83" s="346" t="s">
        <v>161</v>
      </c>
      <c r="I83" s="48">
        <v>1780704.88</v>
      </c>
      <c r="J83" s="556" t="s">
        <v>5620</v>
      </c>
      <c r="K83" s="32" t="s">
        <v>10860</v>
      </c>
    </row>
    <row r="84" spans="1:16" s="176" customFormat="1" ht="68.25" customHeight="1" x14ac:dyDescent="0.2">
      <c r="A84" s="31" t="s">
        <v>2084</v>
      </c>
      <c r="B84" s="31" t="s">
        <v>281</v>
      </c>
      <c r="C84" s="1343" t="s">
        <v>11575</v>
      </c>
      <c r="D84" s="1344"/>
      <c r="E84" s="1296" t="s">
        <v>10840</v>
      </c>
      <c r="F84" s="31" t="s">
        <v>9623</v>
      </c>
      <c r="G84" s="527">
        <f>162.6</f>
        <v>162.6</v>
      </c>
      <c r="H84" s="259" t="s">
        <v>77</v>
      </c>
      <c r="I84" s="1339">
        <v>10731311.460000001</v>
      </c>
      <c r="J84" s="32" t="s">
        <v>10838</v>
      </c>
      <c r="K84" s="32" t="s">
        <v>11578</v>
      </c>
    </row>
    <row r="85" spans="1:16" s="5" customFormat="1" ht="66.75" customHeight="1" x14ac:dyDescent="0.2">
      <c r="A85" s="31" t="s">
        <v>6457</v>
      </c>
      <c r="B85" s="31" t="s">
        <v>281</v>
      </c>
      <c r="C85" s="1343" t="s">
        <v>11575</v>
      </c>
      <c r="D85" s="1344"/>
      <c r="E85" s="1365"/>
      <c r="F85" s="135" t="s">
        <v>9623</v>
      </c>
      <c r="G85" s="289">
        <f>170.7-8.1</f>
        <v>162.6</v>
      </c>
      <c r="H85" s="346" t="s">
        <v>77</v>
      </c>
      <c r="I85" s="1340"/>
      <c r="J85" s="32" t="s">
        <v>10838</v>
      </c>
      <c r="K85" s="574" t="s">
        <v>11579</v>
      </c>
    </row>
    <row r="86" spans="1:16" s="5" customFormat="1" ht="35.25" customHeight="1" x14ac:dyDescent="0.2">
      <c r="A86" s="31" t="s">
        <v>6526</v>
      </c>
      <c r="B86" s="31" t="s">
        <v>281</v>
      </c>
      <c r="C86" s="1343" t="s">
        <v>11575</v>
      </c>
      <c r="D86" s="1344"/>
      <c r="E86" s="1365"/>
      <c r="F86" s="135" t="s">
        <v>9622</v>
      </c>
      <c r="G86" s="289">
        <v>8.1</v>
      </c>
      <c r="H86" s="346" t="s">
        <v>77</v>
      </c>
      <c r="I86" s="1340"/>
      <c r="J86" s="32" t="s">
        <v>11580</v>
      </c>
      <c r="K86" s="32" t="s">
        <v>11581</v>
      </c>
    </row>
    <row r="87" spans="1:16" s="5" customFormat="1" ht="36" customHeight="1" x14ac:dyDescent="0.2">
      <c r="A87" s="31" t="s">
        <v>10502</v>
      </c>
      <c r="B87" s="31" t="s">
        <v>281</v>
      </c>
      <c r="C87" s="1343" t="s">
        <v>11575</v>
      </c>
      <c r="D87" s="1344"/>
      <c r="E87" s="1365"/>
      <c r="F87" s="31" t="s">
        <v>9622</v>
      </c>
      <c r="G87" s="528">
        <f>217.7</f>
        <v>217.7</v>
      </c>
      <c r="H87" s="346" t="s">
        <v>77</v>
      </c>
      <c r="I87" s="1340"/>
      <c r="J87" s="1352" t="s">
        <v>10838</v>
      </c>
      <c r="K87" s="32" t="s">
        <v>11582</v>
      </c>
    </row>
    <row r="88" spans="1:16" s="5" customFormat="1" ht="38.25" customHeight="1" x14ac:dyDescent="0.2">
      <c r="A88" s="31" t="s">
        <v>11576</v>
      </c>
      <c r="B88" s="31" t="s">
        <v>11577</v>
      </c>
      <c r="C88" s="1343" t="s">
        <v>11575</v>
      </c>
      <c r="D88" s="1344"/>
      <c r="E88" s="1297"/>
      <c r="F88" s="31" t="s">
        <v>10839</v>
      </c>
      <c r="G88" s="528">
        <v>82.8</v>
      </c>
      <c r="H88" s="521" t="s">
        <v>77</v>
      </c>
      <c r="I88" s="1341"/>
      <c r="J88" s="1353"/>
      <c r="K88" s="32" t="s">
        <v>11583</v>
      </c>
    </row>
    <row r="89" spans="1:16" s="57" customFormat="1" ht="78.75" customHeight="1" x14ac:dyDescent="0.2">
      <c r="A89" s="31" t="s">
        <v>2085</v>
      </c>
      <c r="B89" s="31" t="s">
        <v>281</v>
      </c>
      <c r="C89" s="1343" t="s">
        <v>5824</v>
      </c>
      <c r="D89" s="1344"/>
      <c r="E89" s="18" t="s">
        <v>6451</v>
      </c>
      <c r="F89" s="31" t="s">
        <v>3786</v>
      </c>
      <c r="G89" s="289">
        <f>132.9-90.5</f>
        <v>42.400000000000006</v>
      </c>
      <c r="H89" s="346" t="s">
        <v>473</v>
      </c>
      <c r="I89" s="566">
        <f>1260067.43/132.9*42.4</f>
        <v>402007.96863807371</v>
      </c>
      <c r="J89" s="32" t="s">
        <v>11585</v>
      </c>
      <c r="K89" s="32" t="s">
        <v>11903</v>
      </c>
      <c r="L89" s="5"/>
      <c r="M89" s="5"/>
      <c r="N89" s="5"/>
      <c r="O89" s="5"/>
      <c r="P89" s="73"/>
    </row>
    <row r="90" spans="1:16" s="57" customFormat="1" ht="78.75" customHeight="1" x14ac:dyDescent="0.2">
      <c r="A90" s="31" t="s">
        <v>11584</v>
      </c>
      <c r="B90" s="31" t="s">
        <v>281</v>
      </c>
      <c r="C90" s="1343" t="s">
        <v>5824</v>
      </c>
      <c r="D90" s="1344"/>
      <c r="E90" s="18" t="s">
        <v>6451</v>
      </c>
      <c r="F90" s="31" t="s">
        <v>3786</v>
      </c>
      <c r="G90" s="289">
        <v>90.5</v>
      </c>
      <c r="H90" s="346" t="s">
        <v>473</v>
      </c>
      <c r="I90" s="566">
        <f>1260067.43/132.9*90.5</f>
        <v>858059.46136192617</v>
      </c>
      <c r="J90" s="32" t="s">
        <v>11586</v>
      </c>
      <c r="K90" s="32" t="s">
        <v>11901</v>
      </c>
      <c r="L90" s="5"/>
      <c r="M90" s="5"/>
      <c r="N90" s="5"/>
      <c r="O90" s="5"/>
      <c r="P90" s="73"/>
    </row>
    <row r="91" spans="1:16" ht="39" customHeight="1" x14ac:dyDescent="0.2">
      <c r="A91" s="31" t="s">
        <v>2086</v>
      </c>
      <c r="B91" s="29" t="s">
        <v>281</v>
      </c>
      <c r="C91" s="1337" t="s">
        <v>5824</v>
      </c>
      <c r="D91" s="1337"/>
      <c r="E91" s="46" t="s">
        <v>6230</v>
      </c>
      <c r="F91" s="29" t="s">
        <v>170</v>
      </c>
      <c r="G91" s="291">
        <v>155.19999999999999</v>
      </c>
      <c r="H91" s="346" t="s">
        <v>473</v>
      </c>
      <c r="I91" s="25">
        <v>1471500.86</v>
      </c>
      <c r="J91" s="32" t="s">
        <v>10503</v>
      </c>
      <c r="K91" s="32" t="s">
        <v>10863</v>
      </c>
    </row>
    <row r="92" spans="1:16" ht="22.5" x14ac:dyDescent="0.2">
      <c r="A92" s="31" t="s">
        <v>2087</v>
      </c>
      <c r="B92" s="29" t="s">
        <v>281</v>
      </c>
      <c r="C92" s="1337" t="s">
        <v>5824</v>
      </c>
      <c r="D92" s="1337"/>
      <c r="E92" s="46" t="s">
        <v>6231</v>
      </c>
      <c r="F92" s="561" t="s">
        <v>171</v>
      </c>
      <c r="G92" s="291">
        <f>151.9-21.8</f>
        <v>130.1</v>
      </c>
      <c r="H92" s="346" t="s">
        <v>473</v>
      </c>
      <c r="I92" s="1354">
        <v>1440212.51</v>
      </c>
      <c r="J92" s="32" t="s">
        <v>3097</v>
      </c>
      <c r="K92" s="30"/>
    </row>
    <row r="93" spans="1:16" ht="69" customHeight="1" x14ac:dyDescent="0.2">
      <c r="A93" s="31" t="s">
        <v>11587</v>
      </c>
      <c r="B93" s="575" t="s">
        <v>281</v>
      </c>
      <c r="C93" s="1343" t="s">
        <v>5824</v>
      </c>
      <c r="D93" s="1344"/>
      <c r="E93" s="46" t="s">
        <v>6231</v>
      </c>
      <c r="F93" s="561" t="s">
        <v>171</v>
      </c>
      <c r="G93" s="291">
        <v>21.8</v>
      </c>
      <c r="H93" s="346" t="s">
        <v>473</v>
      </c>
      <c r="I93" s="1355"/>
      <c r="J93" s="32" t="s">
        <v>11588</v>
      </c>
      <c r="K93" s="32" t="s">
        <v>11900</v>
      </c>
    </row>
    <row r="94" spans="1:16" ht="37.5" customHeight="1" x14ac:dyDescent="0.2">
      <c r="A94" s="31" t="s">
        <v>2088</v>
      </c>
      <c r="B94" s="29" t="s">
        <v>281</v>
      </c>
      <c r="C94" s="1357" t="s">
        <v>5824</v>
      </c>
      <c r="D94" s="1358"/>
      <c r="E94" s="46" t="s">
        <v>6453</v>
      </c>
      <c r="F94" s="29" t="s">
        <v>169</v>
      </c>
      <c r="G94" s="291">
        <f>27.2-13.6</f>
        <v>13.6</v>
      </c>
      <c r="H94" s="346" t="s">
        <v>473</v>
      </c>
      <c r="I94" s="25"/>
      <c r="J94" s="30" t="s">
        <v>5517</v>
      </c>
      <c r="K94" s="32" t="s">
        <v>13441</v>
      </c>
    </row>
    <row r="95" spans="1:16" ht="67.5" x14ac:dyDescent="0.2">
      <c r="A95" s="31" t="s">
        <v>6458</v>
      </c>
      <c r="B95" s="29" t="s">
        <v>281</v>
      </c>
      <c r="C95" s="1356" t="s">
        <v>5824</v>
      </c>
      <c r="D95" s="1356"/>
      <c r="E95" s="46"/>
      <c r="F95" s="29" t="s">
        <v>169</v>
      </c>
      <c r="G95" s="291">
        <v>13.6</v>
      </c>
      <c r="H95" s="346" t="s">
        <v>473</v>
      </c>
      <c r="I95" s="25"/>
      <c r="J95" s="30" t="s">
        <v>5517</v>
      </c>
      <c r="K95" s="30" t="s">
        <v>11911</v>
      </c>
    </row>
    <row r="96" spans="1:16" ht="34.5" customHeight="1" x14ac:dyDescent="0.2">
      <c r="A96" s="31" t="s">
        <v>2089</v>
      </c>
      <c r="B96" s="31" t="s">
        <v>281</v>
      </c>
      <c r="C96" s="1359" t="s">
        <v>5824</v>
      </c>
      <c r="D96" s="1359"/>
      <c r="E96" s="18" t="s">
        <v>6452</v>
      </c>
      <c r="F96" s="31" t="s">
        <v>4201</v>
      </c>
      <c r="G96" s="291">
        <f>51.5-8</f>
        <v>43.5</v>
      </c>
      <c r="H96" s="390" t="s">
        <v>473</v>
      </c>
      <c r="I96" s="741">
        <v>488287.98</v>
      </c>
      <c r="J96" s="30" t="s">
        <v>13098</v>
      </c>
      <c r="K96" s="30" t="s">
        <v>13099</v>
      </c>
    </row>
    <row r="97" spans="1:16" ht="45.75" customHeight="1" x14ac:dyDescent="0.2">
      <c r="A97" s="31" t="s">
        <v>2090</v>
      </c>
      <c r="B97" s="29" t="s">
        <v>281</v>
      </c>
      <c r="C97" s="1356" t="s">
        <v>5824</v>
      </c>
      <c r="D97" s="1356"/>
      <c r="E97" s="46" t="s">
        <v>6383</v>
      </c>
      <c r="F97" s="29" t="s">
        <v>19</v>
      </c>
      <c r="G97" s="291">
        <v>25.6</v>
      </c>
      <c r="H97" s="346" t="s">
        <v>473</v>
      </c>
      <c r="I97" s="25"/>
      <c r="J97" s="30" t="s">
        <v>5518</v>
      </c>
      <c r="K97" s="30" t="s">
        <v>11929</v>
      </c>
    </row>
    <row r="98" spans="1:16" s="57" customFormat="1" ht="34.5" customHeight="1" x14ac:dyDescent="0.2">
      <c r="A98" s="31" t="s">
        <v>2091</v>
      </c>
      <c r="B98" s="31" t="s">
        <v>281</v>
      </c>
      <c r="C98" s="1337" t="s">
        <v>5825</v>
      </c>
      <c r="D98" s="1337"/>
      <c r="E98" s="31" t="s">
        <v>3660</v>
      </c>
      <c r="F98" s="31" t="s">
        <v>5140</v>
      </c>
      <c r="G98" s="289">
        <v>48</v>
      </c>
      <c r="H98" s="346" t="s">
        <v>159</v>
      </c>
      <c r="I98" s="741"/>
      <c r="J98" s="30" t="s">
        <v>9444</v>
      </c>
      <c r="K98" s="30" t="s">
        <v>13100</v>
      </c>
      <c r="L98" s="5"/>
      <c r="M98" s="5"/>
      <c r="N98" s="5"/>
      <c r="O98" s="5"/>
    </row>
    <row r="99" spans="1:16" s="5" customFormat="1" ht="22.5" customHeight="1" x14ac:dyDescent="0.2">
      <c r="A99" s="31" t="s">
        <v>2092</v>
      </c>
      <c r="B99" s="31" t="s">
        <v>281</v>
      </c>
      <c r="C99" s="1337" t="s">
        <v>5825</v>
      </c>
      <c r="D99" s="1337"/>
      <c r="E99" s="18" t="s">
        <v>3659</v>
      </c>
      <c r="F99" s="31" t="s">
        <v>5141</v>
      </c>
      <c r="G99" s="289">
        <f>256.5-27.4-13-9</f>
        <v>207.1</v>
      </c>
      <c r="H99" s="346" t="s">
        <v>159</v>
      </c>
      <c r="I99" s="566"/>
      <c r="J99" s="32" t="s">
        <v>3097</v>
      </c>
      <c r="K99" s="32"/>
    </row>
    <row r="100" spans="1:16" ht="24.75" customHeight="1" x14ac:dyDescent="0.2">
      <c r="A100" s="31" t="s">
        <v>6527</v>
      </c>
      <c r="B100" s="31" t="s">
        <v>281</v>
      </c>
      <c r="C100" s="1337" t="s">
        <v>5825</v>
      </c>
      <c r="D100" s="1337"/>
      <c r="E100" s="18" t="s">
        <v>3659</v>
      </c>
      <c r="F100" s="31" t="s">
        <v>8172</v>
      </c>
      <c r="G100" s="289">
        <f>256.5-27.4-13-207.1</f>
        <v>9</v>
      </c>
      <c r="H100" s="346" t="s">
        <v>159</v>
      </c>
      <c r="I100" s="566"/>
      <c r="J100" s="32" t="s">
        <v>3097</v>
      </c>
      <c r="K100" s="32"/>
    </row>
    <row r="101" spans="1:16" s="5" customFormat="1" ht="45.75" customHeight="1" x14ac:dyDescent="0.2">
      <c r="A101" s="31" t="s">
        <v>6528</v>
      </c>
      <c r="B101" s="31" t="s">
        <v>281</v>
      </c>
      <c r="C101" s="1337" t="s">
        <v>5825</v>
      </c>
      <c r="D101" s="1337"/>
      <c r="E101" s="18" t="s">
        <v>3659</v>
      </c>
      <c r="F101" s="31" t="s">
        <v>5142</v>
      </c>
      <c r="G101" s="289">
        <v>27.4</v>
      </c>
      <c r="H101" s="346" t="s">
        <v>159</v>
      </c>
      <c r="I101" s="566"/>
      <c r="J101" s="32" t="s">
        <v>5152</v>
      </c>
      <c r="K101" s="32" t="s">
        <v>5152</v>
      </c>
    </row>
    <row r="102" spans="1:16" s="57" customFormat="1" ht="56.25" customHeight="1" x14ac:dyDescent="0.2">
      <c r="A102" s="31" t="s">
        <v>6529</v>
      </c>
      <c r="B102" s="31" t="s">
        <v>281</v>
      </c>
      <c r="C102" s="1337" t="s">
        <v>5825</v>
      </c>
      <c r="D102" s="1337"/>
      <c r="E102" s="18" t="s">
        <v>3659</v>
      </c>
      <c r="F102" s="31" t="s">
        <v>5143</v>
      </c>
      <c r="G102" s="289">
        <f>256.5-27.4-207.1-9</f>
        <v>13</v>
      </c>
      <c r="H102" s="346" t="s">
        <v>159</v>
      </c>
      <c r="I102" s="566"/>
      <c r="J102" s="32" t="s">
        <v>5516</v>
      </c>
      <c r="K102" s="32" t="s">
        <v>10864</v>
      </c>
      <c r="P102" s="73"/>
    </row>
    <row r="103" spans="1:16" s="57" customFormat="1" ht="35.25" customHeight="1" x14ac:dyDescent="0.2">
      <c r="A103" s="31" t="s">
        <v>10866</v>
      </c>
      <c r="B103" s="31" t="s">
        <v>281</v>
      </c>
      <c r="C103" s="1343" t="s">
        <v>5825</v>
      </c>
      <c r="D103" s="1344"/>
      <c r="E103" s="18" t="s">
        <v>3659</v>
      </c>
      <c r="F103" s="31" t="s">
        <v>5142</v>
      </c>
      <c r="G103" s="289">
        <v>20.9</v>
      </c>
      <c r="H103" s="346" t="s">
        <v>159</v>
      </c>
      <c r="I103" s="566"/>
      <c r="J103" s="32" t="s">
        <v>10867</v>
      </c>
      <c r="K103" s="32" t="s">
        <v>10868</v>
      </c>
      <c r="P103" s="73"/>
    </row>
    <row r="104" spans="1:16" ht="45" customHeight="1" x14ac:dyDescent="0.2">
      <c r="A104" s="31" t="s">
        <v>2093</v>
      </c>
      <c r="B104" s="29" t="s">
        <v>281</v>
      </c>
      <c r="C104" s="1338" t="s">
        <v>9797</v>
      </c>
      <c r="D104" s="1338"/>
      <c r="E104" s="46" t="s">
        <v>9785</v>
      </c>
      <c r="F104" s="29" t="s">
        <v>167</v>
      </c>
      <c r="G104" s="291">
        <f>57+7.1</f>
        <v>64.099999999999994</v>
      </c>
      <c r="H104" s="26" t="s">
        <v>76</v>
      </c>
      <c r="I104" s="40">
        <v>279827.90999999997</v>
      </c>
      <c r="J104" s="30" t="s">
        <v>10504</v>
      </c>
      <c r="K104" s="30" t="s">
        <v>10865</v>
      </c>
      <c r="L104" s="57"/>
      <c r="M104" s="57"/>
      <c r="N104" s="57"/>
      <c r="O104" s="57"/>
      <c r="P104" s="73"/>
    </row>
    <row r="105" spans="1:16" ht="56.25" customHeight="1" x14ac:dyDescent="0.2">
      <c r="A105" s="31" t="s">
        <v>2094</v>
      </c>
      <c r="B105" s="29" t="s">
        <v>281</v>
      </c>
      <c r="C105" s="1338" t="s">
        <v>5826</v>
      </c>
      <c r="D105" s="1338"/>
      <c r="E105" s="46" t="s">
        <v>8974</v>
      </c>
      <c r="F105" s="29" t="s">
        <v>167</v>
      </c>
      <c r="G105" s="291">
        <v>73.099999999999994</v>
      </c>
      <c r="H105" s="26" t="s">
        <v>76</v>
      </c>
      <c r="I105" s="40">
        <v>587158.4</v>
      </c>
      <c r="J105" s="30" t="s">
        <v>5515</v>
      </c>
      <c r="K105" s="30" t="s">
        <v>13101</v>
      </c>
    </row>
    <row r="106" spans="1:16" s="5" customFormat="1" ht="24" customHeight="1" x14ac:dyDescent="0.2">
      <c r="A106" s="31" t="s">
        <v>2095</v>
      </c>
      <c r="B106" s="31" t="s">
        <v>281</v>
      </c>
      <c r="C106" s="1338" t="s">
        <v>5826</v>
      </c>
      <c r="D106" s="1338"/>
      <c r="E106" s="18" t="s">
        <v>8975</v>
      </c>
      <c r="F106" s="31" t="s">
        <v>20</v>
      </c>
      <c r="G106" s="289">
        <v>164.4</v>
      </c>
      <c r="H106" s="346" t="s">
        <v>76</v>
      </c>
      <c r="I106" s="566"/>
      <c r="J106" s="32" t="s">
        <v>10505</v>
      </c>
      <c r="K106" s="32" t="s">
        <v>10869</v>
      </c>
      <c r="P106" s="64"/>
    </row>
    <row r="107" spans="1:16" s="57" customFormat="1" ht="35.25" customHeight="1" x14ac:dyDescent="0.2">
      <c r="A107" s="63" t="s">
        <v>5528</v>
      </c>
      <c r="B107" s="31" t="s">
        <v>14000</v>
      </c>
      <c r="C107" s="1342" t="s">
        <v>5831</v>
      </c>
      <c r="D107" s="1342"/>
      <c r="E107" s="18" t="s">
        <v>7719</v>
      </c>
      <c r="F107" s="63" t="s">
        <v>158</v>
      </c>
      <c r="G107" s="295">
        <v>360.8</v>
      </c>
      <c r="H107" s="285" t="s">
        <v>2862</v>
      </c>
      <c r="I107" s="55"/>
      <c r="J107" s="75" t="s">
        <v>14001</v>
      </c>
      <c r="K107" s="75" t="s">
        <v>14002</v>
      </c>
      <c r="L107" s="5"/>
      <c r="M107" s="5"/>
      <c r="N107" s="5"/>
      <c r="O107" s="5"/>
      <c r="P107" s="73"/>
    </row>
    <row r="108" spans="1:16" s="57" customFormat="1" ht="44.25" customHeight="1" x14ac:dyDescent="0.2">
      <c r="A108" s="31" t="s">
        <v>2096</v>
      </c>
      <c r="B108" s="31" t="s">
        <v>281</v>
      </c>
      <c r="C108" s="1337" t="s">
        <v>5828</v>
      </c>
      <c r="D108" s="1337"/>
      <c r="E108" s="18" t="s">
        <v>4766</v>
      </c>
      <c r="F108" s="31" t="s">
        <v>3753</v>
      </c>
      <c r="G108" s="289">
        <f>121.9-51</f>
        <v>70.900000000000006</v>
      </c>
      <c r="H108" s="346" t="s">
        <v>503</v>
      </c>
      <c r="I108" s="48">
        <v>1687581.16</v>
      </c>
      <c r="J108" s="32" t="s">
        <v>5514</v>
      </c>
      <c r="K108" s="32" t="s">
        <v>10506</v>
      </c>
      <c r="P108" s="73"/>
    </row>
    <row r="109" spans="1:16" s="57" customFormat="1" ht="33" customHeight="1" x14ac:dyDescent="0.2">
      <c r="A109" s="31" t="s">
        <v>9397</v>
      </c>
      <c r="B109" s="31" t="s">
        <v>9455</v>
      </c>
      <c r="C109" s="1337" t="s">
        <v>5828</v>
      </c>
      <c r="D109" s="1337"/>
      <c r="E109" s="18" t="s">
        <v>9454</v>
      </c>
      <c r="F109" s="31" t="s">
        <v>3753</v>
      </c>
      <c r="G109" s="289">
        <v>51</v>
      </c>
      <c r="H109" s="346" t="s">
        <v>503</v>
      </c>
      <c r="I109" s="48">
        <v>1068483.6599999999</v>
      </c>
      <c r="J109" s="32" t="s">
        <v>3726</v>
      </c>
      <c r="K109" s="32" t="s">
        <v>9398</v>
      </c>
      <c r="L109" s="5"/>
      <c r="M109" s="5"/>
      <c r="N109" s="5"/>
      <c r="O109" s="5"/>
      <c r="P109" s="73"/>
    </row>
    <row r="110" spans="1:16" s="57" customFormat="1" ht="46.5" customHeight="1" x14ac:dyDescent="0.2">
      <c r="A110" s="31" t="s">
        <v>2097</v>
      </c>
      <c r="B110" s="31" t="s">
        <v>281</v>
      </c>
      <c r="C110" s="1337" t="s">
        <v>5830</v>
      </c>
      <c r="D110" s="1337"/>
      <c r="E110" s="18"/>
      <c r="F110" s="31" t="s">
        <v>3753</v>
      </c>
      <c r="G110" s="289">
        <v>26.8</v>
      </c>
      <c r="H110" s="346" t="s">
        <v>503</v>
      </c>
      <c r="I110" s="741"/>
      <c r="J110" s="30" t="s">
        <v>5513</v>
      </c>
      <c r="K110" s="30" t="s">
        <v>13102</v>
      </c>
      <c r="L110" s="5"/>
      <c r="M110" s="5"/>
      <c r="N110" s="5"/>
      <c r="O110" s="5"/>
      <c r="P110" s="73"/>
    </row>
    <row r="111" spans="1:16" s="57" customFormat="1" ht="36" customHeight="1" x14ac:dyDescent="0.2">
      <c r="A111" s="31" t="s">
        <v>2098</v>
      </c>
      <c r="B111" s="31" t="s">
        <v>281</v>
      </c>
      <c r="C111" s="1337" t="s">
        <v>5828</v>
      </c>
      <c r="D111" s="1337"/>
      <c r="E111" s="18"/>
      <c r="F111" s="31" t="s">
        <v>3753</v>
      </c>
      <c r="G111" s="289">
        <f>61.8+8.9</f>
        <v>70.7</v>
      </c>
      <c r="H111" s="346" t="s">
        <v>503</v>
      </c>
      <c r="I111" s="566"/>
      <c r="J111" s="32" t="s">
        <v>3097</v>
      </c>
      <c r="K111" s="32" t="s">
        <v>10870</v>
      </c>
      <c r="P111" s="73"/>
    </row>
    <row r="112" spans="1:16" s="57" customFormat="1" ht="34.5" customHeight="1" x14ac:dyDescent="0.2">
      <c r="A112" s="31" t="s">
        <v>2099</v>
      </c>
      <c r="B112" s="31" t="s">
        <v>281</v>
      </c>
      <c r="C112" s="1337" t="s">
        <v>5828</v>
      </c>
      <c r="D112" s="1337"/>
      <c r="E112" s="12"/>
      <c r="F112" s="31" t="s">
        <v>4176</v>
      </c>
      <c r="G112" s="290">
        <v>15.7</v>
      </c>
      <c r="H112" s="285" t="s">
        <v>503</v>
      </c>
      <c r="I112" s="12"/>
      <c r="J112" s="32" t="s">
        <v>5267</v>
      </c>
      <c r="K112" s="32" t="s">
        <v>5267</v>
      </c>
    </row>
    <row r="113" spans="1:16" s="5" customFormat="1" ht="27" customHeight="1" x14ac:dyDescent="0.2">
      <c r="A113" s="31" t="s">
        <v>2100</v>
      </c>
      <c r="B113" s="31" t="s">
        <v>3756</v>
      </c>
      <c r="C113" s="1337" t="s">
        <v>5828</v>
      </c>
      <c r="D113" s="1337"/>
      <c r="E113" s="18"/>
      <c r="F113" s="31" t="s">
        <v>3755</v>
      </c>
      <c r="G113" s="289">
        <f>45.1-10.7</f>
        <v>34.400000000000006</v>
      </c>
      <c r="H113" s="346" t="s">
        <v>503</v>
      </c>
      <c r="I113" s="566"/>
      <c r="J113" s="556"/>
      <c r="K113" s="556"/>
    </row>
    <row r="114" spans="1:16" s="5" customFormat="1" ht="27" customHeight="1" x14ac:dyDescent="0.2">
      <c r="A114" s="31" t="s">
        <v>6530</v>
      </c>
      <c r="B114" s="31" t="s">
        <v>281</v>
      </c>
      <c r="C114" s="1337" t="s">
        <v>5828</v>
      </c>
      <c r="D114" s="1337"/>
      <c r="E114" s="18"/>
      <c r="F114" s="31" t="s">
        <v>3755</v>
      </c>
      <c r="G114" s="289">
        <v>10.7</v>
      </c>
      <c r="H114" s="346" t="s">
        <v>503</v>
      </c>
      <c r="I114" s="566"/>
      <c r="J114" s="32" t="s">
        <v>3097</v>
      </c>
      <c r="K114" s="32"/>
    </row>
    <row r="115" spans="1:16" s="5" customFormat="1" ht="24.75" customHeight="1" x14ac:dyDescent="0.2">
      <c r="A115" s="31" t="s">
        <v>2101</v>
      </c>
      <c r="B115" s="31" t="s">
        <v>281</v>
      </c>
      <c r="C115" s="1337" t="s">
        <v>5828</v>
      </c>
      <c r="D115" s="1337"/>
      <c r="E115" s="18"/>
      <c r="F115" s="31" t="s">
        <v>3755</v>
      </c>
      <c r="G115" s="289">
        <v>50.9</v>
      </c>
      <c r="H115" s="346" t="s">
        <v>503</v>
      </c>
      <c r="I115" s="566"/>
      <c r="J115" s="32" t="s">
        <v>4124</v>
      </c>
      <c r="K115" s="32" t="s">
        <v>3754</v>
      </c>
    </row>
    <row r="116" spans="1:16" s="5" customFormat="1" ht="24.75" customHeight="1" x14ac:dyDescent="0.2">
      <c r="A116" s="31" t="s">
        <v>2102</v>
      </c>
      <c r="B116" s="31" t="s">
        <v>281</v>
      </c>
      <c r="C116" s="1337" t="s">
        <v>5828</v>
      </c>
      <c r="D116" s="1337"/>
      <c r="E116" s="18"/>
      <c r="F116" s="31" t="s">
        <v>3752</v>
      </c>
      <c r="G116" s="289">
        <v>19</v>
      </c>
      <c r="H116" s="346" t="s">
        <v>503</v>
      </c>
      <c r="I116" s="566"/>
      <c r="J116" s="32" t="s">
        <v>3097</v>
      </c>
      <c r="K116" s="32"/>
    </row>
    <row r="117" spans="1:16" s="5" customFormat="1" ht="34.5" customHeight="1" x14ac:dyDescent="0.2">
      <c r="A117" s="31" t="s">
        <v>3836</v>
      </c>
      <c r="B117" s="31" t="s">
        <v>3750</v>
      </c>
      <c r="C117" s="1337" t="s">
        <v>5828</v>
      </c>
      <c r="D117" s="1337"/>
      <c r="E117" s="18" t="s">
        <v>5188</v>
      </c>
      <c r="F117" s="31" t="s">
        <v>3751</v>
      </c>
      <c r="G117" s="289">
        <v>17.399999999999999</v>
      </c>
      <c r="H117" s="346" t="s">
        <v>503</v>
      </c>
      <c r="I117" s="566"/>
      <c r="J117" s="47" t="s">
        <v>5512</v>
      </c>
      <c r="K117" s="47" t="s">
        <v>5512</v>
      </c>
    </row>
    <row r="118" spans="1:16" s="5" customFormat="1" ht="27.75" customHeight="1" x14ac:dyDescent="0.2">
      <c r="A118" s="31" t="s">
        <v>2103</v>
      </c>
      <c r="B118" s="31" t="s">
        <v>281</v>
      </c>
      <c r="C118" s="1337" t="s">
        <v>5829</v>
      </c>
      <c r="D118" s="1337"/>
      <c r="E118" s="18"/>
      <c r="F118" s="31" t="s">
        <v>279</v>
      </c>
      <c r="G118" s="289">
        <f>50-32</f>
        <v>18</v>
      </c>
      <c r="H118" s="346" t="s">
        <v>521</v>
      </c>
      <c r="I118" s="566"/>
      <c r="J118" s="32"/>
      <c r="K118" s="32"/>
    </row>
    <row r="119" spans="1:16" s="57" customFormat="1" ht="33.75" x14ac:dyDescent="0.2">
      <c r="A119" s="31" t="s">
        <v>6531</v>
      </c>
      <c r="B119" s="31" t="s">
        <v>281</v>
      </c>
      <c r="C119" s="1337" t="s">
        <v>5829</v>
      </c>
      <c r="D119" s="1337"/>
      <c r="E119" s="28"/>
      <c r="F119" s="31" t="s">
        <v>3782</v>
      </c>
      <c r="G119" s="289">
        <v>32</v>
      </c>
      <c r="H119" s="346" t="s">
        <v>521</v>
      </c>
      <c r="I119" s="566"/>
      <c r="J119" s="32" t="s">
        <v>10507</v>
      </c>
      <c r="K119" s="32"/>
      <c r="L119" s="5"/>
      <c r="M119" s="5"/>
      <c r="N119" s="5"/>
      <c r="O119" s="5"/>
    </row>
    <row r="120" spans="1:16" s="5" customFormat="1" ht="33.75" customHeight="1" x14ac:dyDescent="0.2">
      <c r="A120" s="31" t="s">
        <v>2104</v>
      </c>
      <c r="B120" s="31" t="s">
        <v>281</v>
      </c>
      <c r="C120" s="1337" t="s">
        <v>5827</v>
      </c>
      <c r="D120" s="1337"/>
      <c r="E120" s="18" t="s">
        <v>8972</v>
      </c>
      <c r="F120" s="31" t="s">
        <v>173</v>
      </c>
      <c r="G120" s="748">
        <v>31.7</v>
      </c>
      <c r="H120" s="346" t="s">
        <v>3394</v>
      </c>
      <c r="I120" s="741">
        <v>602595.13</v>
      </c>
      <c r="J120" s="32" t="s">
        <v>13443</v>
      </c>
      <c r="K120" s="32" t="s">
        <v>13444</v>
      </c>
    </row>
    <row r="121" spans="1:16" s="66" customFormat="1" ht="44.25" customHeight="1" x14ac:dyDescent="0.2">
      <c r="A121" s="31" t="s">
        <v>2105</v>
      </c>
      <c r="B121" s="134" t="s">
        <v>3608</v>
      </c>
      <c r="C121" s="1350" t="s">
        <v>280</v>
      </c>
      <c r="D121" s="1350"/>
      <c r="E121" s="104" t="s">
        <v>4406</v>
      </c>
      <c r="F121" s="134" t="s">
        <v>4485</v>
      </c>
      <c r="G121" s="300">
        <f>1023.7-2</f>
        <v>1021.7</v>
      </c>
      <c r="H121" s="301">
        <v>1993</v>
      </c>
      <c r="I121" s="1366">
        <f>397880.73/1935.5*1023.7</f>
        <v>210442.0063554637</v>
      </c>
      <c r="J121" s="102" t="s">
        <v>3103</v>
      </c>
      <c r="K121" s="102" t="s">
        <v>3103</v>
      </c>
    </row>
    <row r="122" spans="1:16" s="66" customFormat="1" ht="25.5" customHeight="1" x14ac:dyDescent="0.2">
      <c r="A122" s="31" t="s">
        <v>6532</v>
      </c>
      <c r="B122" s="31" t="s">
        <v>281</v>
      </c>
      <c r="C122" s="1350" t="s">
        <v>280</v>
      </c>
      <c r="D122" s="1350"/>
      <c r="E122" s="104"/>
      <c r="F122" s="134" t="s">
        <v>5167</v>
      </c>
      <c r="G122" s="300">
        <v>2</v>
      </c>
      <c r="H122" s="301">
        <v>1993</v>
      </c>
      <c r="I122" s="1366"/>
      <c r="J122" s="102" t="s">
        <v>4134</v>
      </c>
      <c r="K122" s="360" t="s">
        <v>10871</v>
      </c>
    </row>
    <row r="123" spans="1:16" s="57" customFormat="1" ht="51.75" customHeight="1" x14ac:dyDescent="0.2">
      <c r="A123" s="31" t="s">
        <v>2106</v>
      </c>
      <c r="B123" s="31" t="s">
        <v>281</v>
      </c>
      <c r="C123" s="1337" t="s">
        <v>5762</v>
      </c>
      <c r="D123" s="1337"/>
      <c r="E123" s="553" t="s">
        <v>5503</v>
      </c>
      <c r="F123" s="31" t="s">
        <v>4755</v>
      </c>
      <c r="G123" s="289">
        <v>244.3</v>
      </c>
      <c r="H123" s="346" t="s">
        <v>64</v>
      </c>
      <c r="I123" s="566"/>
      <c r="J123" s="32" t="s">
        <v>3716</v>
      </c>
      <c r="K123" s="32" t="s">
        <v>10872</v>
      </c>
      <c r="P123" s="73"/>
    </row>
    <row r="124" spans="1:16" s="57" customFormat="1" ht="73.5" customHeight="1" x14ac:dyDescent="0.2">
      <c r="A124" s="31" t="s">
        <v>2107</v>
      </c>
      <c r="B124" s="31" t="s">
        <v>281</v>
      </c>
      <c r="C124" s="1337" t="s">
        <v>5762</v>
      </c>
      <c r="D124" s="1337"/>
      <c r="E124" s="553" t="s">
        <v>5504</v>
      </c>
      <c r="F124" s="31" t="s">
        <v>4754</v>
      </c>
      <c r="G124" s="290">
        <f>60.1+23.25</f>
        <v>83.35</v>
      </c>
      <c r="H124" s="346" t="s">
        <v>64</v>
      </c>
      <c r="I124" s="566">
        <v>1587567.31</v>
      </c>
      <c r="J124" s="32" t="s">
        <v>5166</v>
      </c>
      <c r="K124" s="12" t="s">
        <v>10873</v>
      </c>
      <c r="P124" s="73"/>
    </row>
    <row r="125" spans="1:16" s="57" customFormat="1" ht="54" customHeight="1" x14ac:dyDescent="0.2">
      <c r="A125" s="31" t="s">
        <v>2108</v>
      </c>
      <c r="B125" s="31" t="s">
        <v>281</v>
      </c>
      <c r="C125" s="1337" t="s">
        <v>5762</v>
      </c>
      <c r="D125" s="1337"/>
      <c r="E125" s="18" t="s">
        <v>5505</v>
      </c>
      <c r="F125" s="31" t="s">
        <v>4754</v>
      </c>
      <c r="G125" s="289">
        <f>67.5-37.5</f>
        <v>30</v>
      </c>
      <c r="H125" s="346" t="s">
        <v>64</v>
      </c>
      <c r="I125" s="566">
        <v>571409.94999999995</v>
      </c>
      <c r="J125" s="32" t="s">
        <v>8151</v>
      </c>
      <c r="K125" s="553" t="s">
        <v>10859</v>
      </c>
      <c r="L125" s="5"/>
      <c r="M125" s="5"/>
      <c r="N125" s="5"/>
      <c r="O125" s="5"/>
      <c r="P125" s="73"/>
    </row>
    <row r="126" spans="1:16" s="5" customFormat="1" ht="57.75" customHeight="1" x14ac:dyDescent="0.2">
      <c r="A126" s="31" t="s">
        <v>10876</v>
      </c>
      <c r="B126" s="31" t="s">
        <v>281</v>
      </c>
      <c r="C126" s="1351" t="s">
        <v>5763</v>
      </c>
      <c r="D126" s="1351"/>
      <c r="E126" s="28" t="s">
        <v>10874</v>
      </c>
      <c r="F126" s="31" t="s">
        <v>5486</v>
      </c>
      <c r="G126" s="289">
        <f>18.8+29.3</f>
        <v>48.1</v>
      </c>
      <c r="H126" s="346" t="s">
        <v>473</v>
      </c>
      <c r="I126" s="566">
        <f>29412.64+75255.94</f>
        <v>104668.58</v>
      </c>
      <c r="J126" s="32" t="s">
        <v>474</v>
      </c>
      <c r="K126" s="32" t="s">
        <v>10875</v>
      </c>
    </row>
    <row r="127" spans="1:16" s="57" customFormat="1" ht="45.75" customHeight="1" x14ac:dyDescent="0.2">
      <c r="A127" s="31" t="s">
        <v>2109</v>
      </c>
      <c r="B127" s="31" t="s">
        <v>281</v>
      </c>
      <c r="C127" s="1351" t="s">
        <v>5763</v>
      </c>
      <c r="D127" s="1351"/>
      <c r="E127" s="28" t="s">
        <v>6212</v>
      </c>
      <c r="F127" s="31" t="s">
        <v>3688</v>
      </c>
      <c r="G127" s="289">
        <v>22.3</v>
      </c>
      <c r="H127" s="346" t="s">
        <v>473</v>
      </c>
      <c r="I127" s="566"/>
      <c r="J127" s="32" t="s">
        <v>3716</v>
      </c>
      <c r="K127" s="32" t="s">
        <v>10877</v>
      </c>
    </row>
    <row r="128" spans="1:16" ht="56.25" x14ac:dyDescent="0.2">
      <c r="A128" s="31" t="s">
        <v>2110</v>
      </c>
      <c r="B128" s="31" t="s">
        <v>281</v>
      </c>
      <c r="C128" s="1337" t="s">
        <v>5764</v>
      </c>
      <c r="D128" s="1337"/>
      <c r="E128" s="18" t="s">
        <v>5951</v>
      </c>
      <c r="F128" s="31" t="s">
        <v>5974</v>
      </c>
      <c r="G128" s="289">
        <v>42</v>
      </c>
      <c r="H128" s="346" t="s">
        <v>502</v>
      </c>
      <c r="I128" s="741">
        <v>36327.480000000003</v>
      </c>
      <c r="J128" s="30" t="s">
        <v>515</v>
      </c>
      <c r="K128" s="30" t="s">
        <v>13104</v>
      </c>
    </row>
    <row r="129" spans="1:16" ht="47.25" customHeight="1" x14ac:dyDescent="0.2">
      <c r="A129" s="31" t="s">
        <v>2111</v>
      </c>
      <c r="B129" s="31" t="s">
        <v>281</v>
      </c>
      <c r="C129" s="1343" t="s">
        <v>5765</v>
      </c>
      <c r="D129" s="1344"/>
      <c r="E129" s="18" t="s">
        <v>8967</v>
      </c>
      <c r="F129" s="31" t="s">
        <v>5975</v>
      </c>
      <c r="G129" s="289">
        <v>32.5</v>
      </c>
      <c r="H129" s="346" t="s">
        <v>62</v>
      </c>
      <c r="I129" s="741">
        <v>178719.13</v>
      </c>
      <c r="J129" s="30" t="s">
        <v>13088</v>
      </c>
      <c r="K129" s="30" t="s">
        <v>13105</v>
      </c>
    </row>
    <row r="130" spans="1:16" s="5" customFormat="1" ht="24.75" customHeight="1" x14ac:dyDescent="0.2">
      <c r="A130" s="31" t="s">
        <v>2112</v>
      </c>
      <c r="B130" s="31" t="s">
        <v>281</v>
      </c>
      <c r="C130" s="1337" t="s">
        <v>5766</v>
      </c>
      <c r="D130" s="1337"/>
      <c r="E130" s="1292" t="s">
        <v>5574</v>
      </c>
      <c r="F130" s="558" t="s">
        <v>5974</v>
      </c>
      <c r="G130" s="289">
        <f>208.8-73.15</f>
        <v>135.65</v>
      </c>
      <c r="H130" s="346" t="s">
        <v>3757</v>
      </c>
      <c r="I130" s="566"/>
      <c r="J130" s="12" t="s">
        <v>10508</v>
      </c>
      <c r="K130" s="12"/>
      <c r="P130" s="64"/>
    </row>
    <row r="131" spans="1:16" s="5" customFormat="1" ht="33.75" x14ac:dyDescent="0.2">
      <c r="A131" s="31" t="s">
        <v>6533</v>
      </c>
      <c r="B131" s="31" t="s">
        <v>281</v>
      </c>
      <c r="C131" s="1337" t="s">
        <v>5766</v>
      </c>
      <c r="D131" s="1337"/>
      <c r="E131" s="1292"/>
      <c r="F131" s="558" t="s">
        <v>5974</v>
      </c>
      <c r="G131" s="290">
        <v>73.150000000000006</v>
      </c>
      <c r="H131" s="346" t="s">
        <v>3757</v>
      </c>
      <c r="I131" s="566"/>
      <c r="J131" s="32" t="s">
        <v>3687</v>
      </c>
      <c r="K131" s="32" t="s">
        <v>10878</v>
      </c>
      <c r="P131" s="64"/>
    </row>
    <row r="132" spans="1:16" s="5" customFormat="1" ht="36" customHeight="1" x14ac:dyDescent="0.2">
      <c r="A132" s="31" t="s">
        <v>2113</v>
      </c>
      <c r="B132" s="31" t="s">
        <v>2278</v>
      </c>
      <c r="C132" s="1337" t="s">
        <v>6473</v>
      </c>
      <c r="D132" s="1337"/>
      <c r="E132" s="1289" t="s">
        <v>2665</v>
      </c>
      <c r="F132" s="31" t="s">
        <v>5976</v>
      </c>
      <c r="G132" s="289">
        <f>72.6-31</f>
        <v>41.599999999999994</v>
      </c>
      <c r="H132" s="346" t="s">
        <v>473</v>
      </c>
      <c r="I132" s="566"/>
      <c r="J132" s="32" t="s">
        <v>3097</v>
      </c>
      <c r="K132" s="32"/>
    </row>
    <row r="133" spans="1:16" s="5" customFormat="1" ht="39.75" customHeight="1" x14ac:dyDescent="0.2">
      <c r="A133" s="31" t="s">
        <v>9192</v>
      </c>
      <c r="B133" s="31" t="s">
        <v>2278</v>
      </c>
      <c r="C133" s="1337" t="s">
        <v>6473</v>
      </c>
      <c r="D133" s="1337"/>
      <c r="E133" s="1291"/>
      <c r="F133" s="31" t="s">
        <v>5976</v>
      </c>
      <c r="G133" s="289">
        <v>31</v>
      </c>
      <c r="H133" s="346" t="s">
        <v>473</v>
      </c>
      <c r="I133" s="566"/>
      <c r="J133" s="32" t="s">
        <v>10879</v>
      </c>
      <c r="K133" s="32" t="s">
        <v>3097</v>
      </c>
    </row>
    <row r="134" spans="1:16" ht="33.75" x14ac:dyDescent="0.2">
      <c r="A134" s="31" t="s">
        <v>2114</v>
      </c>
      <c r="B134" s="31" t="s">
        <v>281</v>
      </c>
      <c r="C134" s="1337" t="s">
        <v>5767</v>
      </c>
      <c r="D134" s="1337"/>
      <c r="E134" s="18" t="s">
        <v>8973</v>
      </c>
      <c r="F134" s="31" t="s">
        <v>5979</v>
      </c>
      <c r="G134" s="289">
        <v>31.3</v>
      </c>
      <c r="H134" s="346" t="s">
        <v>4252</v>
      </c>
      <c r="I134" s="741"/>
      <c r="J134" s="30" t="s">
        <v>13088</v>
      </c>
      <c r="K134" s="30" t="s">
        <v>13106</v>
      </c>
    </row>
    <row r="135" spans="1:16" s="5" customFormat="1" ht="22.5" x14ac:dyDescent="0.2">
      <c r="A135" s="31" t="s">
        <v>2115</v>
      </c>
      <c r="B135" s="31" t="s">
        <v>281</v>
      </c>
      <c r="C135" s="1338" t="s">
        <v>5767</v>
      </c>
      <c r="D135" s="1338"/>
      <c r="E135" s="18" t="s">
        <v>6169</v>
      </c>
      <c r="F135" s="103" t="s">
        <v>5977</v>
      </c>
      <c r="G135" s="289">
        <v>91</v>
      </c>
      <c r="H135" s="346" t="s">
        <v>4252</v>
      </c>
      <c r="I135" s="566"/>
      <c r="J135" s="556" t="s">
        <v>9601</v>
      </c>
      <c r="K135" s="556" t="s">
        <v>10880</v>
      </c>
      <c r="P135" s="64"/>
    </row>
    <row r="136" spans="1:16" s="5" customFormat="1" ht="36" customHeight="1" x14ac:dyDescent="0.2">
      <c r="A136" s="31" t="s">
        <v>2116</v>
      </c>
      <c r="B136" s="31" t="s">
        <v>281</v>
      </c>
      <c r="C136" s="1338" t="s">
        <v>5767</v>
      </c>
      <c r="D136" s="1338"/>
      <c r="E136" s="12"/>
      <c r="F136" s="103" t="s">
        <v>5977</v>
      </c>
      <c r="G136" s="289">
        <f>92.8</f>
        <v>92.8</v>
      </c>
      <c r="H136" s="346" t="s">
        <v>4252</v>
      </c>
      <c r="I136" s="566"/>
      <c r="J136" s="18" t="s">
        <v>3097</v>
      </c>
      <c r="K136" s="32"/>
      <c r="P136" s="64"/>
    </row>
    <row r="137" spans="1:16" s="5" customFormat="1" ht="36" customHeight="1" x14ac:dyDescent="0.2">
      <c r="A137" s="31" t="s">
        <v>2117</v>
      </c>
      <c r="B137" s="31" t="s">
        <v>281</v>
      </c>
      <c r="C137" s="1337" t="s">
        <v>5768</v>
      </c>
      <c r="D137" s="1337"/>
      <c r="E137" s="18"/>
      <c r="F137" s="31" t="s">
        <v>5978</v>
      </c>
      <c r="G137" s="289">
        <v>55.6</v>
      </c>
      <c r="H137" s="346" t="s">
        <v>66</v>
      </c>
      <c r="I137" s="566"/>
      <c r="J137" s="18" t="s">
        <v>3097</v>
      </c>
      <c r="K137" s="32"/>
    </row>
    <row r="138" spans="1:16" ht="48.75" customHeight="1" x14ac:dyDescent="0.2">
      <c r="A138" s="31" t="s">
        <v>6534</v>
      </c>
      <c r="B138" s="31" t="s">
        <v>281</v>
      </c>
      <c r="C138" s="1338" t="s">
        <v>5769</v>
      </c>
      <c r="D138" s="1338"/>
      <c r="E138" s="345" t="s">
        <v>5916</v>
      </c>
      <c r="F138" s="29" t="s">
        <v>4191</v>
      </c>
      <c r="G138" s="291">
        <f>203</f>
        <v>203</v>
      </c>
      <c r="H138" s="26" t="s">
        <v>160</v>
      </c>
      <c r="I138" s="25"/>
      <c r="J138" s="30" t="s">
        <v>3083</v>
      </c>
      <c r="K138" s="30" t="s">
        <v>10881</v>
      </c>
    </row>
    <row r="139" spans="1:16" ht="59.25" customHeight="1" x14ac:dyDescent="0.2">
      <c r="A139" s="31" t="s">
        <v>2118</v>
      </c>
      <c r="B139" s="31" t="s">
        <v>281</v>
      </c>
      <c r="C139" s="1338" t="s">
        <v>5769</v>
      </c>
      <c r="D139" s="1338"/>
      <c r="E139" s="18" t="s">
        <v>5952</v>
      </c>
      <c r="F139" s="31" t="s">
        <v>5965</v>
      </c>
      <c r="G139" s="289">
        <v>208.9</v>
      </c>
      <c r="H139" s="346">
        <v>1989</v>
      </c>
      <c r="I139" s="741"/>
      <c r="J139" s="30" t="s">
        <v>515</v>
      </c>
      <c r="K139" s="30" t="s">
        <v>13107</v>
      </c>
    </row>
    <row r="140" spans="1:16" ht="70.5" customHeight="1" x14ac:dyDescent="0.2">
      <c r="A140" s="46" t="s">
        <v>13555</v>
      </c>
      <c r="B140" s="46" t="s">
        <v>281</v>
      </c>
      <c r="C140" s="1345" t="s">
        <v>13109</v>
      </c>
      <c r="D140" s="1346"/>
      <c r="E140" s="46" t="s">
        <v>13207</v>
      </c>
      <c r="F140" s="31" t="s">
        <v>4193</v>
      </c>
      <c r="G140" s="291">
        <v>12.6</v>
      </c>
      <c r="H140" s="346">
        <v>1989</v>
      </c>
      <c r="I140" s="25">
        <v>78893.17</v>
      </c>
      <c r="J140" s="30" t="s">
        <v>3097</v>
      </c>
      <c r="K140" s="30"/>
    </row>
    <row r="141" spans="1:16" s="247" customFormat="1" ht="67.5" customHeight="1" x14ac:dyDescent="0.2">
      <c r="A141" s="46" t="s">
        <v>2119</v>
      </c>
      <c r="B141" s="46" t="s">
        <v>281</v>
      </c>
      <c r="C141" s="1345" t="s">
        <v>13110</v>
      </c>
      <c r="D141" s="1346"/>
      <c r="E141" s="46" t="s">
        <v>13137</v>
      </c>
      <c r="F141" s="31" t="s">
        <v>4193</v>
      </c>
      <c r="G141" s="291">
        <f>9.1</f>
        <v>9.1</v>
      </c>
      <c r="H141" s="346">
        <v>1989</v>
      </c>
      <c r="I141" s="25">
        <v>4758.5200000000004</v>
      </c>
      <c r="J141" s="30" t="s">
        <v>3097</v>
      </c>
      <c r="K141" s="30"/>
      <c r="P141" s="254"/>
    </row>
    <row r="142" spans="1:16" ht="69" customHeight="1" x14ac:dyDescent="0.2">
      <c r="A142" s="46" t="s">
        <v>13135</v>
      </c>
      <c r="B142" s="46" t="s">
        <v>281</v>
      </c>
      <c r="C142" s="1345" t="s">
        <v>13111</v>
      </c>
      <c r="D142" s="1346"/>
      <c r="E142" s="46" t="s">
        <v>13208</v>
      </c>
      <c r="F142" s="31" t="s">
        <v>4193</v>
      </c>
      <c r="G142" s="752">
        <f>19+2.9</f>
        <v>21.9</v>
      </c>
      <c r="H142" s="346">
        <v>1989</v>
      </c>
      <c r="I142" s="25">
        <v>3436.71</v>
      </c>
      <c r="J142" s="30" t="s">
        <v>13136</v>
      </c>
      <c r="K142" s="30"/>
    </row>
    <row r="143" spans="1:16" s="5" customFormat="1" ht="78" customHeight="1" x14ac:dyDescent="0.2">
      <c r="A143" s="46" t="s">
        <v>4710</v>
      </c>
      <c r="B143" s="46" t="s">
        <v>281</v>
      </c>
      <c r="C143" s="1345" t="s">
        <v>13108</v>
      </c>
      <c r="D143" s="1346"/>
      <c r="E143" s="46" t="s">
        <v>13138</v>
      </c>
      <c r="F143" s="29" t="s">
        <v>4192</v>
      </c>
      <c r="G143" s="749">
        <f>8.3+4.4</f>
        <v>12.700000000000001</v>
      </c>
      <c r="H143" s="346">
        <v>1989</v>
      </c>
      <c r="I143" s="25">
        <v>8270.75</v>
      </c>
      <c r="J143" s="30" t="s">
        <v>14421</v>
      </c>
      <c r="K143" s="906" t="s">
        <v>14422</v>
      </c>
      <c r="P143" s="64"/>
    </row>
    <row r="144" spans="1:16" s="57" customFormat="1" ht="79.5" customHeight="1" x14ac:dyDescent="0.2">
      <c r="A144" s="31" t="s">
        <v>6535</v>
      </c>
      <c r="B144" s="31" t="s">
        <v>281</v>
      </c>
      <c r="C144" s="1337" t="s">
        <v>5769</v>
      </c>
      <c r="D144" s="1337"/>
      <c r="E144" s="164"/>
      <c r="F144" s="31" t="s">
        <v>6030</v>
      </c>
      <c r="G144" s="289">
        <v>72.5</v>
      </c>
      <c r="H144" s="346">
        <v>1989</v>
      </c>
      <c r="I144" s="697">
        <v>4796.28</v>
      </c>
      <c r="J144" s="32" t="s">
        <v>3691</v>
      </c>
      <c r="K144" s="12" t="s">
        <v>10873</v>
      </c>
      <c r="P144" s="73"/>
    </row>
    <row r="145" spans="1:17" s="57" customFormat="1" ht="48" customHeight="1" x14ac:dyDescent="0.2">
      <c r="A145" s="18" t="s">
        <v>6456</v>
      </c>
      <c r="B145" s="18" t="s">
        <v>281</v>
      </c>
      <c r="C145" s="1337" t="s">
        <v>5770</v>
      </c>
      <c r="D145" s="1337"/>
      <c r="E145" s="18"/>
      <c r="F145" s="31" t="s">
        <v>522</v>
      </c>
      <c r="G145" s="289">
        <v>10.3</v>
      </c>
      <c r="H145" s="346">
        <v>1933</v>
      </c>
      <c r="I145" s="566">
        <v>88510.68</v>
      </c>
      <c r="J145" s="32" t="s">
        <v>3097</v>
      </c>
      <c r="K145" s="32"/>
    </row>
    <row r="146" spans="1:17" s="5" customFormat="1" ht="36" customHeight="1" x14ac:dyDescent="0.2">
      <c r="A146" s="31" t="s">
        <v>2120</v>
      </c>
      <c r="B146" s="31" t="s">
        <v>281</v>
      </c>
      <c r="C146" s="1337" t="s">
        <v>5770</v>
      </c>
      <c r="D146" s="1337"/>
      <c r="E146" s="18"/>
      <c r="F146" s="31" t="s">
        <v>522</v>
      </c>
      <c r="G146" s="289">
        <v>27.5</v>
      </c>
      <c r="H146" s="346" t="s">
        <v>3710</v>
      </c>
      <c r="I146" s="566"/>
      <c r="J146" s="32" t="s">
        <v>3097</v>
      </c>
      <c r="K146" s="32"/>
    </row>
    <row r="147" spans="1:17" s="5" customFormat="1" ht="35.25" customHeight="1" x14ac:dyDescent="0.2">
      <c r="A147" s="31" t="s">
        <v>5573</v>
      </c>
      <c r="B147" s="31" t="s">
        <v>281</v>
      </c>
      <c r="C147" s="1337" t="s">
        <v>5770</v>
      </c>
      <c r="D147" s="1337"/>
      <c r="E147" s="18"/>
      <c r="F147" s="31" t="s">
        <v>3787</v>
      </c>
      <c r="G147" s="289">
        <v>14.2</v>
      </c>
      <c r="H147" s="346">
        <v>1933</v>
      </c>
      <c r="I147" s="566"/>
      <c r="J147" s="32" t="s">
        <v>3097</v>
      </c>
      <c r="K147" s="32"/>
    </row>
    <row r="148" spans="1:17" s="5" customFormat="1" ht="48" customHeight="1" x14ac:dyDescent="0.2">
      <c r="A148" s="63" t="s">
        <v>2121</v>
      </c>
      <c r="B148" s="63" t="s">
        <v>281</v>
      </c>
      <c r="C148" s="1342" t="s">
        <v>5771</v>
      </c>
      <c r="D148" s="1342"/>
      <c r="E148" s="12" t="s">
        <v>8955</v>
      </c>
      <c r="F148" s="63" t="s">
        <v>5961</v>
      </c>
      <c r="G148" s="426">
        <v>44.1</v>
      </c>
      <c r="H148" s="285" t="s">
        <v>18</v>
      </c>
      <c r="I148" s="62">
        <f>15136508.43 /1130.9*G148</f>
        <v>590255.56792200904</v>
      </c>
      <c r="J148" s="750" t="s">
        <v>9595</v>
      </c>
      <c r="K148" s="751" t="s">
        <v>13112</v>
      </c>
      <c r="P148" s="64"/>
    </row>
    <row r="149" spans="1:17" s="212" customFormat="1" ht="45" customHeight="1" x14ac:dyDescent="0.2">
      <c r="A149" s="63" t="s">
        <v>2122</v>
      </c>
      <c r="B149" s="63" t="s">
        <v>281</v>
      </c>
      <c r="C149" s="1342" t="s">
        <v>5772</v>
      </c>
      <c r="D149" s="1342"/>
      <c r="E149" s="12" t="s">
        <v>9248</v>
      </c>
      <c r="F149" s="63" t="s">
        <v>3738</v>
      </c>
      <c r="G149" s="427">
        <v>56.2</v>
      </c>
      <c r="H149" s="285" t="s">
        <v>18</v>
      </c>
      <c r="I149" s="62">
        <v>419762.86</v>
      </c>
      <c r="J149" s="75" t="s">
        <v>5235</v>
      </c>
      <c r="K149" s="375" t="s">
        <v>11909</v>
      </c>
      <c r="P149" s="253"/>
    </row>
    <row r="150" spans="1:17" ht="33.75" x14ac:dyDescent="0.2">
      <c r="A150" s="31" t="s">
        <v>5529</v>
      </c>
      <c r="B150" s="31" t="s">
        <v>3108</v>
      </c>
      <c r="C150" s="1337" t="s">
        <v>5773</v>
      </c>
      <c r="D150" s="1337"/>
      <c r="E150" s="18" t="s">
        <v>6477</v>
      </c>
      <c r="F150" s="31" t="s">
        <v>5980</v>
      </c>
      <c r="G150" s="302">
        <v>171.5</v>
      </c>
      <c r="H150" s="346" t="s">
        <v>66</v>
      </c>
      <c r="I150" s="20">
        <v>67428.649999999994</v>
      </c>
      <c r="J150" s="32" t="s">
        <v>2669</v>
      </c>
      <c r="K150" s="32" t="s">
        <v>10882</v>
      </c>
    </row>
    <row r="151" spans="1:17" s="5" customFormat="1" ht="34.5" customHeight="1" x14ac:dyDescent="0.2">
      <c r="A151" s="31" t="s">
        <v>5530</v>
      </c>
      <c r="B151" s="29" t="s">
        <v>281</v>
      </c>
      <c r="C151" s="1356" t="s">
        <v>5773</v>
      </c>
      <c r="D151" s="1356"/>
      <c r="E151" s="18"/>
      <c r="F151" s="31" t="s">
        <v>5981</v>
      </c>
      <c r="G151" s="289">
        <v>76.400000000000006</v>
      </c>
      <c r="H151" s="346" t="s">
        <v>66</v>
      </c>
      <c r="I151" s="566"/>
      <c r="J151" s="32" t="s">
        <v>3097</v>
      </c>
      <c r="K151" s="32" t="s">
        <v>278</v>
      </c>
    </row>
    <row r="152" spans="1:17" s="5" customFormat="1" ht="55.5" customHeight="1" x14ac:dyDescent="0.2">
      <c r="A152" s="31" t="s">
        <v>5531</v>
      </c>
      <c r="B152" s="29" t="s">
        <v>281</v>
      </c>
      <c r="C152" s="1342" t="s">
        <v>5774</v>
      </c>
      <c r="D152" s="1342"/>
      <c r="E152" s="75"/>
      <c r="F152" s="63" t="s">
        <v>3790</v>
      </c>
      <c r="G152" s="295">
        <v>62</v>
      </c>
      <c r="H152" s="285"/>
      <c r="I152" s="62"/>
      <c r="J152" s="750" t="s">
        <v>13820</v>
      </c>
      <c r="K152" s="750" t="s">
        <v>13996</v>
      </c>
    </row>
    <row r="153" spans="1:17" s="57" customFormat="1" ht="35.25" customHeight="1" x14ac:dyDescent="0.2">
      <c r="A153" s="63" t="s">
        <v>5532</v>
      </c>
      <c r="B153" s="63" t="s">
        <v>281</v>
      </c>
      <c r="C153" s="1342" t="s">
        <v>5774</v>
      </c>
      <c r="D153" s="1342"/>
      <c r="E153" s="12"/>
      <c r="F153" s="63" t="s">
        <v>3790</v>
      </c>
      <c r="G153" s="295">
        <v>24</v>
      </c>
      <c r="H153" s="285" t="s">
        <v>38</v>
      </c>
      <c r="I153" s="62"/>
      <c r="J153" s="75" t="s">
        <v>3097</v>
      </c>
      <c r="K153" s="75"/>
    </row>
    <row r="154" spans="1:17" s="57" customFormat="1" ht="24" customHeight="1" x14ac:dyDescent="0.2">
      <c r="A154" s="63" t="s">
        <v>5533</v>
      </c>
      <c r="B154" s="63" t="s">
        <v>281</v>
      </c>
      <c r="C154" s="1342" t="s">
        <v>5774</v>
      </c>
      <c r="D154" s="1342"/>
      <c r="E154" s="12"/>
      <c r="F154" s="63" t="s">
        <v>4200</v>
      </c>
      <c r="G154" s="295">
        <v>15</v>
      </c>
      <c r="H154" s="285" t="s">
        <v>38</v>
      </c>
      <c r="I154" s="62"/>
      <c r="J154" s="75" t="s">
        <v>5236</v>
      </c>
      <c r="K154" s="75" t="s">
        <v>10883</v>
      </c>
      <c r="L154" s="5"/>
      <c r="M154" s="5"/>
      <c r="N154" s="5"/>
      <c r="O154" s="5"/>
    </row>
    <row r="155" spans="1:17" s="212" customFormat="1" ht="27.75" customHeight="1" x14ac:dyDescent="0.2">
      <c r="A155" s="63" t="s">
        <v>5534</v>
      </c>
      <c r="B155" s="63" t="s">
        <v>281</v>
      </c>
      <c r="C155" s="1342" t="s">
        <v>5774</v>
      </c>
      <c r="D155" s="1342"/>
      <c r="E155" s="12" t="s">
        <v>9238</v>
      </c>
      <c r="F155" s="63" t="s">
        <v>3148</v>
      </c>
      <c r="G155" s="295">
        <v>12.3</v>
      </c>
      <c r="H155" s="285" t="s">
        <v>38</v>
      </c>
      <c r="I155" s="62">
        <v>91869.81</v>
      </c>
      <c r="J155" s="75" t="s">
        <v>5511</v>
      </c>
      <c r="K155" s="12" t="s">
        <v>10884</v>
      </c>
    </row>
    <row r="156" spans="1:17" s="5" customFormat="1" ht="48.75" customHeight="1" x14ac:dyDescent="0.2">
      <c r="A156" s="31" t="s">
        <v>5535</v>
      </c>
      <c r="B156" s="31" t="s">
        <v>281</v>
      </c>
      <c r="C156" s="1342" t="s">
        <v>5775</v>
      </c>
      <c r="D156" s="1342"/>
      <c r="E156" s="18" t="s">
        <v>8103</v>
      </c>
      <c r="F156" s="31" t="s">
        <v>2882</v>
      </c>
      <c r="G156" s="290">
        <f>355.2-54.51-19.4</f>
        <v>281.29000000000002</v>
      </c>
      <c r="H156" s="346" t="s">
        <v>163</v>
      </c>
      <c r="I156" s="1369">
        <v>553404.81000000006</v>
      </c>
      <c r="J156" s="32" t="s">
        <v>305</v>
      </c>
      <c r="K156" s="32" t="s">
        <v>305</v>
      </c>
    </row>
    <row r="157" spans="1:17" s="5" customFormat="1" ht="24.75" customHeight="1" x14ac:dyDescent="0.2">
      <c r="A157" s="29" t="s">
        <v>6536</v>
      </c>
      <c r="B157" s="29" t="s">
        <v>281</v>
      </c>
      <c r="C157" s="1367" t="s">
        <v>5775</v>
      </c>
      <c r="D157" s="1368"/>
      <c r="E157" s="46" t="s">
        <v>8103</v>
      </c>
      <c r="F157" s="29" t="s">
        <v>2883</v>
      </c>
      <c r="G157" s="294">
        <v>35.6</v>
      </c>
      <c r="H157" s="346" t="s">
        <v>163</v>
      </c>
      <c r="I157" s="1370"/>
      <c r="J157" s="30" t="s">
        <v>12562</v>
      </c>
      <c r="K157" s="30" t="s">
        <v>12563</v>
      </c>
    </row>
    <row r="158" spans="1:17" s="5" customFormat="1" ht="46.5" customHeight="1" x14ac:dyDescent="0.2">
      <c r="A158" s="29" t="s">
        <v>6537</v>
      </c>
      <c r="B158" s="29" t="s">
        <v>281</v>
      </c>
      <c r="C158" s="1367" t="s">
        <v>5775</v>
      </c>
      <c r="D158" s="1368"/>
      <c r="E158" s="46" t="s">
        <v>8103</v>
      </c>
      <c r="F158" s="29" t="s">
        <v>2884</v>
      </c>
      <c r="G158" s="294">
        <v>18.600000000000001</v>
      </c>
      <c r="H158" s="346" t="s">
        <v>163</v>
      </c>
      <c r="I158" s="1370"/>
      <c r="J158" s="30" t="s">
        <v>14653</v>
      </c>
      <c r="K158" s="30" t="s">
        <v>14654</v>
      </c>
    </row>
    <row r="159" spans="1:17" s="5" customFormat="1" ht="47.25" customHeight="1" x14ac:dyDescent="0.2">
      <c r="A159" s="29" t="s">
        <v>10885</v>
      </c>
      <c r="B159" s="29" t="s">
        <v>281</v>
      </c>
      <c r="C159" s="1367" t="s">
        <v>5775</v>
      </c>
      <c r="D159" s="1368"/>
      <c r="E159" s="46" t="s">
        <v>8103</v>
      </c>
      <c r="F159" s="29" t="s">
        <v>2883</v>
      </c>
      <c r="G159" s="294">
        <v>19.399999999999999</v>
      </c>
      <c r="H159" s="346" t="s">
        <v>163</v>
      </c>
      <c r="I159" s="1371"/>
      <c r="J159" s="1021" t="s">
        <v>11589</v>
      </c>
      <c r="K159" s="30" t="s">
        <v>14655</v>
      </c>
    </row>
    <row r="160" spans="1:17" s="57" customFormat="1" ht="59.25" customHeight="1" x14ac:dyDescent="0.2">
      <c r="A160" s="31" t="s">
        <v>5536</v>
      </c>
      <c r="B160" s="31" t="s">
        <v>281</v>
      </c>
      <c r="C160" s="1342" t="s">
        <v>5775</v>
      </c>
      <c r="D160" s="1342"/>
      <c r="E160" s="46" t="s">
        <v>8104</v>
      </c>
      <c r="F160" s="31" t="s">
        <v>2884</v>
      </c>
      <c r="G160" s="290">
        <v>148.4</v>
      </c>
      <c r="H160" s="346" t="s">
        <v>163</v>
      </c>
      <c r="I160" s="566">
        <v>1986256.83</v>
      </c>
      <c r="J160" s="32" t="s">
        <v>3714</v>
      </c>
      <c r="K160" s="32" t="s">
        <v>10844</v>
      </c>
      <c r="L160" s="5"/>
      <c r="M160" s="5"/>
      <c r="N160" s="5"/>
      <c r="O160" s="5"/>
      <c r="P160" s="5"/>
      <c r="Q160" s="5"/>
    </row>
    <row r="161" spans="1:16" s="5" customFormat="1" ht="35.25" customHeight="1" x14ac:dyDescent="0.2">
      <c r="A161" s="31" t="s">
        <v>5537</v>
      </c>
      <c r="B161" s="31" t="s">
        <v>281</v>
      </c>
      <c r="C161" s="1337" t="s">
        <v>5776</v>
      </c>
      <c r="D161" s="1337"/>
      <c r="E161" s="18" t="s">
        <v>5790</v>
      </c>
      <c r="F161" s="31" t="s">
        <v>4179</v>
      </c>
      <c r="G161" s="290">
        <v>46.3</v>
      </c>
      <c r="H161" s="346" t="s">
        <v>488</v>
      </c>
      <c r="I161" s="566"/>
      <c r="J161" s="32" t="s">
        <v>10509</v>
      </c>
      <c r="K161" s="75" t="s">
        <v>10886</v>
      </c>
    </row>
    <row r="162" spans="1:16" s="5" customFormat="1" ht="35.25" customHeight="1" x14ac:dyDescent="0.2">
      <c r="A162" s="31" t="s">
        <v>5538</v>
      </c>
      <c r="B162" s="31" t="s">
        <v>281</v>
      </c>
      <c r="C162" s="1337" t="s">
        <v>5777</v>
      </c>
      <c r="D162" s="1337"/>
      <c r="E162" s="18" t="s">
        <v>5609</v>
      </c>
      <c r="F162" s="31" t="s">
        <v>3793</v>
      </c>
      <c r="G162" s="290">
        <f>60-27.8</f>
        <v>32.200000000000003</v>
      </c>
      <c r="H162" s="346" t="s">
        <v>36</v>
      </c>
      <c r="I162" s="566"/>
      <c r="J162" s="32" t="s">
        <v>3097</v>
      </c>
      <c r="K162" s="32"/>
    </row>
    <row r="163" spans="1:16" s="57" customFormat="1" ht="30" customHeight="1" x14ac:dyDescent="0.2">
      <c r="A163" s="31" t="s">
        <v>6538</v>
      </c>
      <c r="B163" s="31" t="s">
        <v>281</v>
      </c>
      <c r="C163" s="1337" t="s">
        <v>5777</v>
      </c>
      <c r="D163" s="1337"/>
      <c r="E163" s="18"/>
      <c r="F163" s="31" t="s">
        <v>3793</v>
      </c>
      <c r="G163" s="289">
        <v>27.8</v>
      </c>
      <c r="H163" s="346" t="s">
        <v>36</v>
      </c>
      <c r="I163" s="566"/>
      <c r="J163" s="32" t="s">
        <v>5604</v>
      </c>
      <c r="K163" s="32" t="s">
        <v>10887</v>
      </c>
      <c r="L163" s="5"/>
      <c r="M163" s="5"/>
      <c r="N163" s="5"/>
      <c r="O163" s="5"/>
    </row>
    <row r="164" spans="1:16" ht="33.75" x14ac:dyDescent="0.2">
      <c r="A164" s="17" t="s">
        <v>5539</v>
      </c>
      <c r="B164" s="17" t="s">
        <v>281</v>
      </c>
      <c r="C164" s="1337" t="s">
        <v>5962</v>
      </c>
      <c r="D164" s="1337"/>
      <c r="E164" s="18" t="s">
        <v>8968</v>
      </c>
      <c r="F164" s="31" t="s">
        <v>5982</v>
      </c>
      <c r="G164" s="290">
        <f>101.8-57.75</f>
        <v>44.05</v>
      </c>
      <c r="H164" s="346" t="s">
        <v>3757</v>
      </c>
      <c r="I164" s="566"/>
      <c r="J164" s="32" t="s">
        <v>3097</v>
      </c>
      <c r="K164" s="32"/>
      <c r="P164" s="4"/>
    </row>
    <row r="165" spans="1:16" ht="57" customHeight="1" x14ac:dyDescent="0.2">
      <c r="A165" s="17" t="s">
        <v>9649</v>
      </c>
      <c r="B165" s="17" t="s">
        <v>281</v>
      </c>
      <c r="C165" s="1337" t="s">
        <v>5962</v>
      </c>
      <c r="D165" s="1337"/>
      <c r="E165" s="18"/>
      <c r="F165" s="31" t="s">
        <v>5982</v>
      </c>
      <c r="G165" s="290">
        <v>57.75</v>
      </c>
      <c r="H165" s="346" t="s">
        <v>3757</v>
      </c>
      <c r="I165" s="566"/>
      <c r="J165" s="32" t="s">
        <v>9592</v>
      </c>
      <c r="K165" s="32" t="s">
        <v>10888</v>
      </c>
      <c r="P165" s="4"/>
    </row>
    <row r="166" spans="1:16" s="5" customFormat="1" ht="35.25" customHeight="1" x14ac:dyDescent="0.2">
      <c r="A166" s="17" t="s">
        <v>2123</v>
      </c>
      <c r="B166" s="31" t="s">
        <v>281</v>
      </c>
      <c r="C166" s="1343" t="s">
        <v>5432</v>
      </c>
      <c r="D166" s="1344"/>
      <c r="E166" s="18" t="s">
        <v>8969</v>
      </c>
      <c r="F166" s="31" t="s">
        <v>5156</v>
      </c>
      <c r="G166" s="289">
        <v>31</v>
      </c>
      <c r="H166" s="346" t="s">
        <v>3477</v>
      </c>
      <c r="I166" s="741">
        <v>296726.42</v>
      </c>
      <c r="J166" s="30" t="s">
        <v>13113</v>
      </c>
      <c r="K166" s="30" t="s">
        <v>13114</v>
      </c>
    </row>
    <row r="167" spans="1:16" s="57" customFormat="1" ht="35.25" customHeight="1" x14ac:dyDescent="0.2">
      <c r="A167" s="31" t="s">
        <v>2124</v>
      </c>
      <c r="B167" s="31" t="s">
        <v>281</v>
      </c>
      <c r="C167" s="1359" t="s">
        <v>5432</v>
      </c>
      <c r="D167" s="1359"/>
      <c r="E167" s="18" t="s">
        <v>8971</v>
      </c>
      <c r="F167" s="31" t="s">
        <v>6208</v>
      </c>
      <c r="G167" s="289">
        <v>21.4</v>
      </c>
      <c r="H167" s="346" t="s">
        <v>3477</v>
      </c>
      <c r="I167" s="741">
        <v>204836.95</v>
      </c>
      <c r="J167" s="30" t="s">
        <v>5673</v>
      </c>
      <c r="K167" s="30" t="s">
        <v>13115</v>
      </c>
      <c r="L167" s="5"/>
      <c r="M167" s="5"/>
      <c r="N167" s="5"/>
      <c r="O167" s="5"/>
    </row>
    <row r="168" spans="1:16" s="57" customFormat="1" ht="34.5" customHeight="1" x14ac:dyDescent="0.2">
      <c r="A168" s="31" t="s">
        <v>2125</v>
      </c>
      <c r="B168" s="31" t="s">
        <v>281</v>
      </c>
      <c r="C168" s="1359" t="s">
        <v>5432</v>
      </c>
      <c r="D168" s="1359"/>
      <c r="E168" s="18" t="s">
        <v>8970</v>
      </c>
      <c r="F168" s="31" t="s">
        <v>3758</v>
      </c>
      <c r="G168" s="293">
        <v>14.1</v>
      </c>
      <c r="H168" s="346" t="s">
        <v>3477</v>
      </c>
      <c r="I168" s="741">
        <v>134962.66</v>
      </c>
      <c r="J168" s="30" t="s">
        <v>9621</v>
      </c>
      <c r="K168" s="30" t="s">
        <v>13116</v>
      </c>
    </row>
    <row r="169" spans="1:16" s="57" customFormat="1" ht="80.25" customHeight="1" x14ac:dyDescent="0.2">
      <c r="A169" s="31" t="s">
        <v>2126</v>
      </c>
      <c r="B169" s="31" t="s">
        <v>281</v>
      </c>
      <c r="C169" s="1337" t="s">
        <v>5674</v>
      </c>
      <c r="D169" s="1337"/>
      <c r="E169" s="105" t="s">
        <v>9239</v>
      </c>
      <c r="F169" s="31" t="s">
        <v>37</v>
      </c>
      <c r="G169" s="289">
        <v>73.900000000000006</v>
      </c>
      <c r="H169" s="346" t="s">
        <v>67</v>
      </c>
      <c r="I169" s="566">
        <v>707357.5</v>
      </c>
      <c r="J169" s="32" t="s">
        <v>1</v>
      </c>
      <c r="K169" s="12" t="s">
        <v>10873</v>
      </c>
      <c r="P169" s="73"/>
    </row>
    <row r="170" spans="1:16" s="57" customFormat="1" ht="27" customHeight="1" x14ac:dyDescent="0.2">
      <c r="A170" s="31" t="s">
        <v>4177</v>
      </c>
      <c r="B170" s="31" t="s">
        <v>5991</v>
      </c>
      <c r="C170" s="1337" t="s">
        <v>5675</v>
      </c>
      <c r="D170" s="1337"/>
      <c r="E170" s="18" t="s">
        <v>6210</v>
      </c>
      <c r="F170" s="31" t="s">
        <v>172</v>
      </c>
      <c r="G170" s="289">
        <v>160.4</v>
      </c>
      <c r="H170" s="346">
        <v>1970</v>
      </c>
      <c r="I170" s="566">
        <v>1006611.05</v>
      </c>
      <c r="J170" s="32" t="s">
        <v>4767</v>
      </c>
      <c r="K170" s="32" t="s">
        <v>4767</v>
      </c>
      <c r="L170" s="5"/>
      <c r="M170" s="5"/>
      <c r="N170" s="5"/>
      <c r="O170" s="5"/>
    </row>
    <row r="171" spans="1:16" s="5" customFormat="1" ht="36.75" customHeight="1" x14ac:dyDescent="0.2">
      <c r="A171" s="31" t="s">
        <v>2127</v>
      </c>
      <c r="B171" s="31" t="s">
        <v>5950</v>
      </c>
      <c r="C171" s="1337" t="s">
        <v>5675</v>
      </c>
      <c r="D171" s="1337"/>
      <c r="E171" s="18" t="s">
        <v>5634</v>
      </c>
      <c r="F171" s="31" t="s">
        <v>5983</v>
      </c>
      <c r="G171" s="289">
        <f>216.9-85.05-7.8</f>
        <v>124.05000000000003</v>
      </c>
      <c r="H171" s="346" t="s">
        <v>2862</v>
      </c>
      <c r="I171" s="566">
        <v>2076127.76</v>
      </c>
      <c r="J171" s="32" t="s">
        <v>3097</v>
      </c>
      <c r="K171" s="32" t="s">
        <v>3097</v>
      </c>
      <c r="P171" s="64"/>
    </row>
    <row r="172" spans="1:16" s="5" customFormat="1" ht="48" customHeight="1" x14ac:dyDescent="0.2">
      <c r="A172" s="31" t="s">
        <v>6539</v>
      </c>
      <c r="B172" s="31" t="s">
        <v>281</v>
      </c>
      <c r="C172" s="1337" t="s">
        <v>5675</v>
      </c>
      <c r="D172" s="1337"/>
      <c r="E172" s="287"/>
      <c r="F172" s="31" t="s">
        <v>5984</v>
      </c>
      <c r="G172" s="290">
        <v>85.05</v>
      </c>
      <c r="H172" s="346" t="s">
        <v>2862</v>
      </c>
      <c r="I172" s="566"/>
      <c r="J172" s="32" t="s">
        <v>3687</v>
      </c>
      <c r="K172" s="32" t="s">
        <v>10878</v>
      </c>
      <c r="P172" s="64"/>
    </row>
    <row r="173" spans="1:16" ht="33.75" customHeight="1" x14ac:dyDescent="0.2">
      <c r="A173" s="31" t="s">
        <v>6540</v>
      </c>
      <c r="B173" s="31" t="s">
        <v>281</v>
      </c>
      <c r="C173" s="1337" t="s">
        <v>5675</v>
      </c>
      <c r="D173" s="1337"/>
      <c r="E173" s="287"/>
      <c r="F173" s="31" t="s">
        <v>5984</v>
      </c>
      <c r="G173" s="289">
        <v>7.8</v>
      </c>
      <c r="H173" s="346" t="s">
        <v>2862</v>
      </c>
      <c r="I173" s="741"/>
      <c r="J173" s="30" t="s">
        <v>6853</v>
      </c>
      <c r="K173" s="30" t="s">
        <v>13117</v>
      </c>
    </row>
    <row r="174" spans="1:16" ht="48.75" customHeight="1" x14ac:dyDescent="0.2">
      <c r="A174" s="31" t="s">
        <v>2128</v>
      </c>
      <c r="B174" s="29" t="s">
        <v>281</v>
      </c>
      <c r="C174" s="1337" t="s">
        <v>5675</v>
      </c>
      <c r="D174" s="1337"/>
      <c r="E174" s="46"/>
      <c r="F174" s="29" t="s">
        <v>5985</v>
      </c>
      <c r="G174" s="291">
        <v>6.3</v>
      </c>
      <c r="H174" s="26" t="s">
        <v>2862</v>
      </c>
      <c r="I174" s="25"/>
      <c r="J174" s="30" t="s">
        <v>5154</v>
      </c>
      <c r="K174" s="30" t="s">
        <v>13118</v>
      </c>
    </row>
    <row r="175" spans="1:16" ht="33.75" customHeight="1" x14ac:dyDescent="0.2">
      <c r="A175" s="31" t="s">
        <v>6543</v>
      </c>
      <c r="B175" s="31" t="s">
        <v>281</v>
      </c>
      <c r="C175" s="1337" t="s">
        <v>5676</v>
      </c>
      <c r="D175" s="1337"/>
      <c r="E175" s="46" t="s">
        <v>5249</v>
      </c>
      <c r="F175" s="31" t="s">
        <v>5984</v>
      </c>
      <c r="G175" s="291">
        <f>411.1-50-163.7</f>
        <v>197.40000000000003</v>
      </c>
      <c r="H175" s="26" t="s">
        <v>159</v>
      </c>
      <c r="I175" s="25">
        <v>3934975.21</v>
      </c>
      <c r="J175" s="30" t="s">
        <v>3097</v>
      </c>
      <c r="K175" s="30"/>
    </row>
    <row r="176" spans="1:16" ht="45" customHeight="1" x14ac:dyDescent="0.2">
      <c r="A176" s="31" t="s">
        <v>8307</v>
      </c>
      <c r="B176" s="31" t="s">
        <v>281</v>
      </c>
      <c r="C176" s="1337" t="s">
        <v>5676</v>
      </c>
      <c r="D176" s="1337"/>
      <c r="E176" s="46" t="s">
        <v>5249</v>
      </c>
      <c r="F176" s="31" t="s">
        <v>5984</v>
      </c>
      <c r="G176" s="289">
        <v>163.69999999999999</v>
      </c>
      <c r="H176" s="346" t="s">
        <v>159</v>
      </c>
      <c r="I176" s="566"/>
      <c r="J176" s="32" t="s">
        <v>5896</v>
      </c>
      <c r="K176" s="556" t="s">
        <v>10889</v>
      </c>
    </row>
    <row r="177" spans="1:16" s="5" customFormat="1" ht="78" customHeight="1" x14ac:dyDescent="0.2">
      <c r="A177" s="31" t="s">
        <v>8308</v>
      </c>
      <c r="B177" s="31" t="s">
        <v>9504</v>
      </c>
      <c r="C177" s="1337" t="s">
        <v>5676</v>
      </c>
      <c r="D177" s="1337"/>
      <c r="E177" s="46" t="s">
        <v>9503</v>
      </c>
      <c r="F177" s="31" t="s">
        <v>5984</v>
      </c>
      <c r="G177" s="290">
        <v>50</v>
      </c>
      <c r="H177" s="346" t="s">
        <v>159</v>
      </c>
      <c r="I177" s="566"/>
      <c r="J177" s="32" t="s">
        <v>5238</v>
      </c>
      <c r="K177" s="32" t="s">
        <v>11907</v>
      </c>
    </row>
    <row r="178" spans="1:16" s="5" customFormat="1" ht="54.75" customHeight="1" x14ac:dyDescent="0.2">
      <c r="A178" s="31" t="s">
        <v>9879</v>
      </c>
      <c r="B178" s="31" t="s">
        <v>281</v>
      </c>
      <c r="C178" s="1337" t="s">
        <v>5676</v>
      </c>
      <c r="D178" s="1337"/>
      <c r="E178" s="46" t="s">
        <v>5249</v>
      </c>
      <c r="F178" s="31" t="s">
        <v>5984</v>
      </c>
      <c r="G178" s="290">
        <v>54.3</v>
      </c>
      <c r="H178" s="346" t="s">
        <v>159</v>
      </c>
      <c r="I178" s="741"/>
      <c r="J178" s="30" t="s">
        <v>9924</v>
      </c>
      <c r="K178" s="731" t="s">
        <v>13429</v>
      </c>
    </row>
    <row r="179" spans="1:16" s="5" customFormat="1" ht="58.5" customHeight="1" x14ac:dyDescent="0.2">
      <c r="A179" s="31" t="s">
        <v>6544</v>
      </c>
      <c r="B179" s="31" t="s">
        <v>281</v>
      </c>
      <c r="C179" s="1337" t="s">
        <v>5751</v>
      </c>
      <c r="D179" s="1337"/>
      <c r="E179" s="18"/>
      <c r="F179" s="31"/>
      <c r="G179" s="289">
        <v>173.4</v>
      </c>
      <c r="H179" s="346"/>
      <c r="I179" s="566"/>
      <c r="J179" s="32" t="s">
        <v>3802</v>
      </c>
      <c r="K179" s="32" t="s">
        <v>10890</v>
      </c>
      <c r="P179" s="64"/>
    </row>
    <row r="180" spans="1:16" s="57" customFormat="1" ht="33.75" customHeight="1" x14ac:dyDescent="0.2">
      <c r="A180" s="31" t="s">
        <v>6545</v>
      </c>
      <c r="B180" s="31" t="s">
        <v>281</v>
      </c>
      <c r="C180" s="1337" t="s">
        <v>5752</v>
      </c>
      <c r="D180" s="1337"/>
      <c r="E180" s="12" t="s">
        <v>5997</v>
      </c>
      <c r="F180" s="31" t="s">
        <v>158</v>
      </c>
      <c r="G180" s="289">
        <v>250.2</v>
      </c>
      <c r="H180" s="346" t="s">
        <v>159</v>
      </c>
      <c r="I180" s="566"/>
      <c r="J180" s="32" t="s">
        <v>6391</v>
      </c>
      <c r="K180" s="32" t="s">
        <v>6391</v>
      </c>
      <c r="L180" s="5"/>
      <c r="M180" s="5"/>
      <c r="N180" s="5"/>
      <c r="O180" s="5"/>
    </row>
    <row r="181" spans="1:16" s="5" customFormat="1" ht="41.25" customHeight="1" x14ac:dyDescent="0.2">
      <c r="A181" s="31" t="s">
        <v>2129</v>
      </c>
      <c r="B181" s="31" t="s">
        <v>281</v>
      </c>
      <c r="C181" s="1337" t="s">
        <v>5753</v>
      </c>
      <c r="D181" s="1337"/>
      <c r="E181" s="18" t="s">
        <v>9241</v>
      </c>
      <c r="F181" s="31" t="s">
        <v>4708</v>
      </c>
      <c r="G181" s="289">
        <f>348.1-328.1</f>
        <v>20</v>
      </c>
      <c r="H181" s="346" t="s">
        <v>70</v>
      </c>
      <c r="I181" s="1372">
        <v>3213321.54</v>
      </c>
      <c r="J181" s="32" t="s">
        <v>4175</v>
      </c>
      <c r="K181" s="32" t="s">
        <v>8224</v>
      </c>
    </row>
    <row r="182" spans="1:16" s="5" customFormat="1" ht="38.25" customHeight="1" x14ac:dyDescent="0.2">
      <c r="A182" s="31" t="s">
        <v>2130</v>
      </c>
      <c r="B182" s="31" t="s">
        <v>281</v>
      </c>
      <c r="C182" s="1337" t="s">
        <v>5753</v>
      </c>
      <c r="D182" s="1337"/>
      <c r="E182" s="18" t="s">
        <v>9241</v>
      </c>
      <c r="F182" s="31" t="s">
        <v>4708</v>
      </c>
      <c r="G182" s="289">
        <f>348.1-20</f>
        <v>328.1</v>
      </c>
      <c r="H182" s="346" t="s">
        <v>70</v>
      </c>
      <c r="I182" s="1372"/>
      <c r="J182" s="32" t="s">
        <v>4175</v>
      </c>
      <c r="K182" s="32" t="s">
        <v>8224</v>
      </c>
    </row>
    <row r="183" spans="1:16" s="5" customFormat="1" ht="36" customHeight="1" x14ac:dyDescent="0.2">
      <c r="A183" s="31" t="s">
        <v>2131</v>
      </c>
      <c r="B183" s="31" t="s">
        <v>281</v>
      </c>
      <c r="C183" s="1337" t="s">
        <v>5754</v>
      </c>
      <c r="D183" s="1337"/>
      <c r="E183" s="12" t="s">
        <v>5508</v>
      </c>
      <c r="F183" s="31" t="s">
        <v>3801</v>
      </c>
      <c r="G183" s="295">
        <f>156.3-10.2</f>
        <v>146.10000000000002</v>
      </c>
      <c r="H183" s="285" t="s">
        <v>160</v>
      </c>
      <c r="I183" s="62"/>
      <c r="J183" s="75" t="s">
        <v>3800</v>
      </c>
      <c r="K183" s="75" t="s">
        <v>10891</v>
      </c>
    </row>
    <row r="184" spans="1:16" s="5" customFormat="1" ht="33.75" customHeight="1" x14ac:dyDescent="0.2">
      <c r="A184" s="31" t="s">
        <v>8309</v>
      </c>
      <c r="B184" s="31" t="s">
        <v>281</v>
      </c>
      <c r="C184" s="1337" t="s">
        <v>5754</v>
      </c>
      <c r="D184" s="1337"/>
      <c r="E184" s="18" t="s">
        <v>5508</v>
      </c>
      <c r="F184" s="31" t="s">
        <v>3801</v>
      </c>
      <c r="G184" s="295">
        <v>10.199999999999999</v>
      </c>
      <c r="H184" s="285" t="s">
        <v>160</v>
      </c>
      <c r="I184" s="62"/>
      <c r="J184" s="75"/>
      <c r="K184" s="75" t="s">
        <v>5482</v>
      </c>
    </row>
    <row r="185" spans="1:16" s="5" customFormat="1" ht="34.5" customHeight="1" x14ac:dyDescent="0.2">
      <c r="A185" s="31" t="s">
        <v>2132</v>
      </c>
      <c r="B185" s="31" t="s">
        <v>281</v>
      </c>
      <c r="C185" s="1337" t="s">
        <v>5755</v>
      </c>
      <c r="D185" s="1337"/>
      <c r="E185" s="18" t="s">
        <v>9240</v>
      </c>
      <c r="F185" s="29" t="s">
        <v>5986</v>
      </c>
      <c r="G185" s="295">
        <v>32</v>
      </c>
      <c r="H185" s="346" t="s">
        <v>66</v>
      </c>
      <c r="I185" s="566">
        <v>270386.56</v>
      </c>
      <c r="J185" s="32" t="s">
        <v>4180</v>
      </c>
      <c r="K185" s="32" t="s">
        <v>11916</v>
      </c>
      <c r="P185" s="64"/>
    </row>
    <row r="186" spans="1:16" s="5" customFormat="1" ht="45" x14ac:dyDescent="0.2">
      <c r="A186" s="63" t="s">
        <v>2133</v>
      </c>
      <c r="B186" s="63" t="s">
        <v>281</v>
      </c>
      <c r="C186" s="1337" t="s">
        <v>5756</v>
      </c>
      <c r="D186" s="1337"/>
      <c r="E186" s="18" t="s">
        <v>5581</v>
      </c>
      <c r="F186" s="31" t="s">
        <v>176</v>
      </c>
      <c r="G186" s="289">
        <v>152.4</v>
      </c>
      <c r="H186" s="346" t="s">
        <v>70</v>
      </c>
      <c r="I186" s="566">
        <v>31328.87</v>
      </c>
      <c r="J186" s="556" t="s">
        <v>8192</v>
      </c>
      <c r="K186" s="556" t="s">
        <v>8192</v>
      </c>
    </row>
    <row r="187" spans="1:16" s="5" customFormat="1" ht="37.5" customHeight="1" x14ac:dyDescent="0.2">
      <c r="A187" s="31" t="s">
        <v>2134</v>
      </c>
      <c r="B187" s="31" t="s">
        <v>281</v>
      </c>
      <c r="C187" s="1348" t="s">
        <v>5757</v>
      </c>
      <c r="D187" s="1348"/>
      <c r="E187" s="12"/>
      <c r="F187" s="63" t="s">
        <v>3783</v>
      </c>
      <c r="G187" s="295">
        <f>28.1</f>
        <v>28.1</v>
      </c>
      <c r="H187" s="285" t="s">
        <v>73</v>
      </c>
      <c r="I187" s="62"/>
      <c r="J187" s="75" t="s">
        <v>3097</v>
      </c>
      <c r="K187" s="75"/>
    </row>
    <row r="188" spans="1:16" s="5" customFormat="1" ht="34.5" customHeight="1" x14ac:dyDescent="0.2">
      <c r="A188" s="31" t="s">
        <v>2135</v>
      </c>
      <c r="B188" s="63" t="s">
        <v>281</v>
      </c>
      <c r="C188" s="1348" t="s">
        <v>5757</v>
      </c>
      <c r="D188" s="1348"/>
      <c r="E188" s="12"/>
      <c r="F188" s="63" t="s">
        <v>3783</v>
      </c>
      <c r="G188" s="295">
        <v>15.9</v>
      </c>
      <c r="H188" s="285" t="s">
        <v>73</v>
      </c>
      <c r="I188" s="62"/>
      <c r="J188" s="75" t="s">
        <v>3097</v>
      </c>
      <c r="K188" s="32"/>
    </row>
    <row r="189" spans="1:16" s="5" customFormat="1" ht="36.75" customHeight="1" x14ac:dyDescent="0.2">
      <c r="A189" s="31" t="s">
        <v>2136</v>
      </c>
      <c r="B189" s="63" t="s">
        <v>281</v>
      </c>
      <c r="C189" s="1348" t="s">
        <v>5757</v>
      </c>
      <c r="D189" s="1348"/>
      <c r="E189" s="12"/>
      <c r="F189" s="63" t="s">
        <v>3783</v>
      </c>
      <c r="G189" s="295">
        <v>30</v>
      </c>
      <c r="H189" s="285" t="s">
        <v>73</v>
      </c>
      <c r="I189" s="62"/>
      <c r="J189" s="75" t="s">
        <v>3097</v>
      </c>
      <c r="K189" s="75"/>
    </row>
    <row r="190" spans="1:16" s="57" customFormat="1" ht="34.5" customHeight="1" x14ac:dyDescent="0.2">
      <c r="A190" s="31" t="s">
        <v>2137</v>
      </c>
      <c r="B190" s="31" t="s">
        <v>281</v>
      </c>
      <c r="C190" s="1337" t="s">
        <v>5758</v>
      </c>
      <c r="D190" s="1337"/>
      <c r="E190" s="18"/>
      <c r="F190" s="31" t="s">
        <v>3087</v>
      </c>
      <c r="G190" s="289">
        <v>247</v>
      </c>
      <c r="H190" s="346" t="s">
        <v>75</v>
      </c>
      <c r="I190" s="566"/>
      <c r="J190" s="32" t="s">
        <v>3086</v>
      </c>
      <c r="K190" s="32" t="s">
        <v>3086</v>
      </c>
      <c r="P190" s="73"/>
    </row>
    <row r="191" spans="1:16" s="57" customFormat="1" ht="59.25" customHeight="1" x14ac:dyDescent="0.2">
      <c r="A191" s="18" t="s">
        <v>2138</v>
      </c>
      <c r="B191" s="18" t="s">
        <v>2575</v>
      </c>
      <c r="C191" s="1337" t="s">
        <v>5963</v>
      </c>
      <c r="D191" s="1337"/>
      <c r="E191" s="18" t="s">
        <v>6223</v>
      </c>
      <c r="F191" s="31" t="s">
        <v>164</v>
      </c>
      <c r="G191" s="289">
        <v>268.10000000000002</v>
      </c>
      <c r="H191" s="346" t="s">
        <v>165</v>
      </c>
      <c r="I191" s="566"/>
      <c r="J191" s="32" t="s">
        <v>3714</v>
      </c>
      <c r="K191" s="32" t="s">
        <v>10844</v>
      </c>
      <c r="L191" s="5"/>
      <c r="M191" s="5"/>
      <c r="N191" s="5"/>
      <c r="O191" s="5"/>
      <c r="P191" s="73"/>
    </row>
    <row r="192" spans="1:16" s="57" customFormat="1" ht="59.25" customHeight="1" x14ac:dyDescent="0.2">
      <c r="A192" s="31" t="s">
        <v>2139</v>
      </c>
      <c r="B192" s="31" t="s">
        <v>2576</v>
      </c>
      <c r="C192" s="1337" t="s">
        <v>5963</v>
      </c>
      <c r="D192" s="1337"/>
      <c r="E192" s="105"/>
      <c r="F192" s="31" t="s">
        <v>164</v>
      </c>
      <c r="G192" s="289">
        <f>815-428.5-268.1</f>
        <v>118.39999999999998</v>
      </c>
      <c r="H192" s="346" t="s">
        <v>165</v>
      </c>
      <c r="I192" s="566"/>
      <c r="J192" s="1393" t="s">
        <v>10510</v>
      </c>
      <c r="K192" s="1394"/>
    </row>
    <row r="193" spans="1:16" s="58" customFormat="1" ht="48" customHeight="1" x14ac:dyDescent="0.2">
      <c r="A193" s="31" t="s">
        <v>2706</v>
      </c>
      <c r="B193" s="31" t="s">
        <v>281</v>
      </c>
      <c r="C193" s="1337" t="s">
        <v>5759</v>
      </c>
      <c r="D193" s="1337"/>
      <c r="E193" s="18" t="s">
        <v>5506</v>
      </c>
      <c r="F193" s="31" t="s">
        <v>2659</v>
      </c>
      <c r="G193" s="290">
        <f>369.18</f>
        <v>369.18</v>
      </c>
      <c r="H193" s="346" t="s">
        <v>502</v>
      </c>
      <c r="I193" s="566"/>
      <c r="J193" s="32" t="s">
        <v>3717</v>
      </c>
      <c r="K193" s="32" t="s">
        <v>10892</v>
      </c>
      <c r="L193" s="4"/>
      <c r="M193" s="4"/>
      <c r="N193" s="4"/>
      <c r="O193" s="4"/>
    </row>
    <row r="194" spans="1:16" s="58" customFormat="1" ht="48" customHeight="1" x14ac:dyDescent="0.2">
      <c r="A194" s="576" t="s">
        <v>8310</v>
      </c>
      <c r="B194" s="577" t="s">
        <v>281</v>
      </c>
      <c r="C194" s="1347" t="s">
        <v>5759</v>
      </c>
      <c r="D194" s="1347"/>
      <c r="E194" s="48" t="s">
        <v>5506</v>
      </c>
      <c r="F194" s="103" t="s">
        <v>2659</v>
      </c>
      <c r="G194" s="290">
        <f>10.85</f>
        <v>10.85</v>
      </c>
      <c r="H194" s="390" t="s">
        <v>502</v>
      </c>
      <c r="I194" s="25"/>
      <c r="J194" s="578" t="s">
        <v>11732</v>
      </c>
      <c r="K194" s="32" t="s">
        <v>10888</v>
      </c>
    </row>
    <row r="195" spans="1:16" s="57" customFormat="1" ht="33.75" x14ac:dyDescent="0.2">
      <c r="A195" s="31" t="s">
        <v>8311</v>
      </c>
      <c r="B195" s="31" t="s">
        <v>281</v>
      </c>
      <c r="C195" s="1337" t="s">
        <v>5759</v>
      </c>
      <c r="D195" s="1337"/>
      <c r="E195" s="18" t="s">
        <v>5506</v>
      </c>
      <c r="F195" s="31" t="s">
        <v>3779</v>
      </c>
      <c r="G195" s="290">
        <v>10.9</v>
      </c>
      <c r="H195" s="346" t="s">
        <v>502</v>
      </c>
      <c r="I195" s="566"/>
      <c r="J195" s="32" t="s">
        <v>4171</v>
      </c>
      <c r="K195" s="32" t="s">
        <v>11912</v>
      </c>
      <c r="P195" s="73"/>
    </row>
    <row r="196" spans="1:16" s="57" customFormat="1" ht="36" customHeight="1" x14ac:dyDescent="0.2">
      <c r="A196" s="31" t="s">
        <v>8312</v>
      </c>
      <c r="B196" s="31" t="s">
        <v>281</v>
      </c>
      <c r="C196" s="1338" t="s">
        <v>5759</v>
      </c>
      <c r="D196" s="1338"/>
      <c r="E196" s="18" t="s">
        <v>5506</v>
      </c>
      <c r="F196" s="31" t="s">
        <v>3779</v>
      </c>
      <c r="G196" s="290">
        <v>31.56</v>
      </c>
      <c r="H196" s="346" t="s">
        <v>502</v>
      </c>
      <c r="I196" s="741"/>
      <c r="J196" s="30" t="s">
        <v>506</v>
      </c>
      <c r="K196" s="30" t="s">
        <v>13119</v>
      </c>
      <c r="L196" s="5"/>
      <c r="M196" s="5"/>
      <c r="N196" s="5"/>
      <c r="O196" s="5"/>
      <c r="P196" s="73"/>
    </row>
    <row r="197" spans="1:16" s="57" customFormat="1" ht="37.5" customHeight="1" x14ac:dyDescent="0.2">
      <c r="A197" s="31" t="s">
        <v>8313</v>
      </c>
      <c r="B197" s="31" t="s">
        <v>281</v>
      </c>
      <c r="C197" s="1337" t="s">
        <v>5759</v>
      </c>
      <c r="D197" s="1337"/>
      <c r="E197" s="18" t="s">
        <v>5506</v>
      </c>
      <c r="F197" s="31" t="s">
        <v>3779</v>
      </c>
      <c r="G197" s="290">
        <v>1</v>
      </c>
      <c r="H197" s="346" t="s">
        <v>502</v>
      </c>
      <c r="I197" s="741"/>
      <c r="J197" s="30" t="s">
        <v>5151</v>
      </c>
      <c r="K197" s="30" t="s">
        <v>13120</v>
      </c>
      <c r="L197" s="5"/>
      <c r="M197" s="5"/>
      <c r="N197" s="5"/>
      <c r="O197" s="5"/>
      <c r="P197" s="73"/>
    </row>
    <row r="198" spans="1:16" s="212" customFormat="1" ht="26.25" customHeight="1" x14ac:dyDescent="0.2">
      <c r="A198" s="31" t="s">
        <v>9956</v>
      </c>
      <c r="B198" s="31" t="s">
        <v>281</v>
      </c>
      <c r="C198" s="1337" t="s">
        <v>5759</v>
      </c>
      <c r="D198" s="1337"/>
      <c r="E198" s="18" t="s">
        <v>5506</v>
      </c>
      <c r="F198" s="31" t="s">
        <v>3779</v>
      </c>
      <c r="G198" s="290">
        <v>1</v>
      </c>
      <c r="H198" s="346" t="s">
        <v>502</v>
      </c>
      <c r="I198" s="566"/>
      <c r="J198" s="32" t="s">
        <v>9957</v>
      </c>
      <c r="K198" s="556" t="s">
        <v>10893</v>
      </c>
      <c r="P198" s="250"/>
    </row>
    <row r="199" spans="1:16" s="212" customFormat="1" ht="38.25" customHeight="1" x14ac:dyDescent="0.2">
      <c r="A199" s="31" t="s">
        <v>11888</v>
      </c>
      <c r="B199" s="31" t="s">
        <v>281</v>
      </c>
      <c r="C199" s="1343" t="s">
        <v>5759</v>
      </c>
      <c r="D199" s="1344"/>
      <c r="E199" s="94" t="s">
        <v>5506</v>
      </c>
      <c r="F199" s="31" t="s">
        <v>2659</v>
      </c>
      <c r="G199" s="290">
        <v>17.399999999999999</v>
      </c>
      <c r="H199" s="18" t="s">
        <v>502</v>
      </c>
      <c r="I199" s="741"/>
      <c r="J199" s="30" t="s">
        <v>11889</v>
      </c>
      <c r="K199" s="30" t="s">
        <v>13121</v>
      </c>
      <c r="P199" s="250"/>
    </row>
    <row r="200" spans="1:16" s="67" customFormat="1" ht="46.5" customHeight="1" x14ac:dyDescent="0.2">
      <c r="A200" s="31" t="s">
        <v>2140</v>
      </c>
      <c r="B200" s="134" t="s">
        <v>281</v>
      </c>
      <c r="C200" s="1338" t="s">
        <v>5759</v>
      </c>
      <c r="D200" s="1338"/>
      <c r="E200" s="18"/>
      <c r="F200" s="134" t="s">
        <v>3779</v>
      </c>
      <c r="G200" s="303">
        <v>14.32</v>
      </c>
      <c r="H200" s="301" t="s">
        <v>502</v>
      </c>
      <c r="I200" s="565"/>
      <c r="J200" s="102" t="s">
        <v>10511</v>
      </c>
      <c r="K200" s="102" t="s">
        <v>10894</v>
      </c>
      <c r="L200" s="66"/>
      <c r="M200" s="66"/>
      <c r="N200" s="66"/>
      <c r="O200" s="66"/>
      <c r="P200" s="112"/>
    </row>
    <row r="201" spans="1:16" s="57" customFormat="1" ht="69" customHeight="1" x14ac:dyDescent="0.2">
      <c r="A201" s="31" t="s">
        <v>2141</v>
      </c>
      <c r="B201" s="31" t="s">
        <v>281</v>
      </c>
      <c r="C201" s="1337" t="s">
        <v>5759</v>
      </c>
      <c r="D201" s="1337"/>
      <c r="E201" s="105" t="s">
        <v>5575</v>
      </c>
      <c r="F201" s="31" t="s">
        <v>3779</v>
      </c>
      <c r="G201" s="290">
        <v>149.5</v>
      </c>
      <c r="H201" s="346" t="s">
        <v>502</v>
      </c>
      <c r="I201" s="566"/>
      <c r="J201" s="32" t="s">
        <v>5414</v>
      </c>
      <c r="K201" s="32" t="s">
        <v>10861</v>
      </c>
      <c r="L201" s="5"/>
      <c r="M201" s="5"/>
      <c r="N201" s="5"/>
      <c r="O201" s="5"/>
      <c r="P201" s="73"/>
    </row>
    <row r="202" spans="1:16" s="57" customFormat="1" ht="36" customHeight="1" x14ac:dyDescent="0.2">
      <c r="A202" s="31" t="s">
        <v>2142</v>
      </c>
      <c r="B202" s="31" t="s">
        <v>281</v>
      </c>
      <c r="C202" s="1338" t="s">
        <v>5759</v>
      </c>
      <c r="D202" s="1338"/>
      <c r="E202" s="18" t="s">
        <v>5507</v>
      </c>
      <c r="F202" s="31" t="s">
        <v>3779</v>
      </c>
      <c r="G202" s="290">
        <v>41.72</v>
      </c>
      <c r="H202" s="346" t="s">
        <v>502</v>
      </c>
      <c r="I202" s="741"/>
      <c r="J202" s="30" t="s">
        <v>13122</v>
      </c>
      <c r="K202" s="30" t="s">
        <v>13123</v>
      </c>
      <c r="L202" s="5"/>
      <c r="M202" s="5"/>
      <c r="N202" s="5"/>
      <c r="O202" s="5"/>
      <c r="P202" s="73"/>
    </row>
    <row r="203" spans="1:16" s="57" customFormat="1" ht="66" customHeight="1" x14ac:dyDescent="0.2">
      <c r="A203" s="31" t="s">
        <v>8314</v>
      </c>
      <c r="B203" s="31" t="s">
        <v>281</v>
      </c>
      <c r="C203" s="1337" t="s">
        <v>5759</v>
      </c>
      <c r="D203" s="1337"/>
      <c r="E203" s="18" t="s">
        <v>5507</v>
      </c>
      <c r="F203" s="31" t="s">
        <v>3779</v>
      </c>
      <c r="G203" s="289">
        <v>16.2</v>
      </c>
      <c r="H203" s="346" t="s">
        <v>502</v>
      </c>
      <c r="I203" s="566"/>
      <c r="J203" s="32" t="s">
        <v>5414</v>
      </c>
      <c r="K203" s="32" t="s">
        <v>10895</v>
      </c>
      <c r="L203" s="5"/>
      <c r="M203" s="5"/>
      <c r="N203" s="5"/>
      <c r="O203" s="5"/>
      <c r="P203" s="73"/>
    </row>
    <row r="204" spans="1:16" s="5" customFormat="1" ht="29.25" customHeight="1" x14ac:dyDescent="0.2">
      <c r="A204" s="31" t="s">
        <v>5155</v>
      </c>
      <c r="B204" s="31" t="s">
        <v>281</v>
      </c>
      <c r="C204" s="1337" t="s">
        <v>5760</v>
      </c>
      <c r="D204" s="1337"/>
      <c r="E204" s="105" t="s">
        <v>8297</v>
      </c>
      <c r="F204" s="31" t="s">
        <v>500</v>
      </c>
      <c r="G204" s="289">
        <v>80</v>
      </c>
      <c r="H204" s="346" t="s">
        <v>473</v>
      </c>
      <c r="I204" s="162">
        <v>998066.65</v>
      </c>
      <c r="J204" s="1330" t="s">
        <v>13124</v>
      </c>
      <c r="K204" s="30" t="s">
        <v>13125</v>
      </c>
      <c r="P204" s="64"/>
    </row>
    <row r="205" spans="1:16" s="5" customFormat="1" ht="30" customHeight="1" x14ac:dyDescent="0.2">
      <c r="A205" s="31" t="s">
        <v>2143</v>
      </c>
      <c r="B205" s="31" t="s">
        <v>501</v>
      </c>
      <c r="C205" s="1337" t="s">
        <v>5761</v>
      </c>
      <c r="D205" s="1337"/>
      <c r="E205" s="105"/>
      <c r="F205" s="31" t="s">
        <v>5987</v>
      </c>
      <c r="G205" s="289">
        <f>171.5-93.5</f>
        <v>78</v>
      </c>
      <c r="H205" s="346" t="s">
        <v>66</v>
      </c>
      <c r="I205" s="162">
        <v>947070.54</v>
      </c>
      <c r="J205" s="1385"/>
      <c r="K205" s="30" t="s">
        <v>13125</v>
      </c>
      <c r="P205" s="64"/>
    </row>
    <row r="206" spans="1:16" s="5" customFormat="1" ht="29.25" customHeight="1" x14ac:dyDescent="0.2">
      <c r="A206" s="63" t="s">
        <v>5479</v>
      </c>
      <c r="B206" s="63" t="s">
        <v>281</v>
      </c>
      <c r="C206" s="1342" t="s">
        <v>5547</v>
      </c>
      <c r="D206" s="1342"/>
      <c r="E206" s="105" t="s">
        <v>6232</v>
      </c>
      <c r="F206" s="63" t="s">
        <v>3620</v>
      </c>
      <c r="G206" s="295">
        <v>81.599999999999994</v>
      </c>
      <c r="H206" s="285" t="s">
        <v>66</v>
      </c>
      <c r="I206" s="55">
        <v>16774.509999999998</v>
      </c>
      <c r="J206" s="1331"/>
      <c r="K206" s="30" t="s">
        <v>13125</v>
      </c>
      <c r="P206" s="64"/>
    </row>
    <row r="207" spans="1:16" s="5" customFormat="1" ht="39.75" customHeight="1" x14ac:dyDescent="0.2">
      <c r="A207" s="31" t="s">
        <v>8315</v>
      </c>
      <c r="B207" s="63" t="s">
        <v>281</v>
      </c>
      <c r="C207" s="1342" t="s">
        <v>6220</v>
      </c>
      <c r="D207" s="1342"/>
      <c r="E207" s="105" t="s">
        <v>6219</v>
      </c>
      <c r="F207" s="63" t="s">
        <v>3620</v>
      </c>
      <c r="G207" s="295">
        <v>12.2</v>
      </c>
      <c r="H207" s="285" t="s">
        <v>66</v>
      </c>
      <c r="I207" s="62">
        <v>2507.9499999999998</v>
      </c>
      <c r="J207" s="750" t="s">
        <v>5510</v>
      </c>
      <c r="K207" s="47" t="s">
        <v>13126</v>
      </c>
      <c r="P207" s="64"/>
    </row>
    <row r="208" spans="1:16" s="5" customFormat="1" ht="36" customHeight="1" x14ac:dyDescent="0.2">
      <c r="A208" s="31" t="s">
        <v>8316</v>
      </c>
      <c r="B208" s="63" t="s">
        <v>281</v>
      </c>
      <c r="C208" s="1342" t="s">
        <v>6222</v>
      </c>
      <c r="D208" s="1342"/>
      <c r="E208" s="105" t="s">
        <v>6221</v>
      </c>
      <c r="F208" s="63" t="s">
        <v>3620</v>
      </c>
      <c r="G208" s="290">
        <v>19.100000000000001</v>
      </c>
      <c r="H208" s="346" t="s">
        <v>66</v>
      </c>
      <c r="I208" s="566">
        <v>3926.39</v>
      </c>
      <c r="J208" s="32" t="s">
        <v>3097</v>
      </c>
      <c r="K208" s="553" t="s">
        <v>10896</v>
      </c>
      <c r="P208" s="64"/>
    </row>
    <row r="209" spans="1:16" s="179" customFormat="1" ht="35.25" customHeight="1" x14ac:dyDescent="0.2">
      <c r="A209" s="63" t="s">
        <v>3706</v>
      </c>
      <c r="B209" s="192" t="s">
        <v>281</v>
      </c>
      <c r="C209" s="1337" t="s">
        <v>5430</v>
      </c>
      <c r="D209" s="1337"/>
      <c r="E209" s="18" t="s">
        <v>11789</v>
      </c>
      <c r="F209" s="31" t="s">
        <v>5431</v>
      </c>
      <c r="G209" s="289">
        <v>9.4</v>
      </c>
      <c r="H209" s="346" t="s">
        <v>3105</v>
      </c>
      <c r="I209" s="741">
        <v>58990.92</v>
      </c>
      <c r="J209" s="47" t="s">
        <v>3692</v>
      </c>
      <c r="K209" s="47" t="s">
        <v>13127</v>
      </c>
      <c r="P209"/>
    </row>
    <row r="210" spans="1:16" s="57" customFormat="1" ht="33.75" customHeight="1" x14ac:dyDescent="0.2">
      <c r="A210" s="63" t="s">
        <v>2144</v>
      </c>
      <c r="B210" s="31" t="s">
        <v>5933</v>
      </c>
      <c r="C210" s="1337" t="s">
        <v>5546</v>
      </c>
      <c r="D210" s="1337"/>
      <c r="E210" s="18" t="s">
        <v>2670</v>
      </c>
      <c r="F210" s="31" t="s">
        <v>166</v>
      </c>
      <c r="G210" s="290">
        <f>100.3-23.29-28.14</f>
        <v>48.86999999999999</v>
      </c>
      <c r="H210" s="346" t="s">
        <v>5423</v>
      </c>
      <c r="I210" s="566"/>
      <c r="J210" s="32" t="s">
        <v>5949</v>
      </c>
      <c r="K210" s="18" t="s">
        <v>10897</v>
      </c>
    </row>
    <row r="211" spans="1:16" s="57" customFormat="1" ht="79.5" customHeight="1" x14ac:dyDescent="0.2">
      <c r="A211" s="31" t="s">
        <v>8317</v>
      </c>
      <c r="B211" s="31" t="s">
        <v>5932</v>
      </c>
      <c r="C211" s="1337" t="s">
        <v>5546</v>
      </c>
      <c r="D211" s="1337"/>
      <c r="E211" s="18" t="s">
        <v>2670</v>
      </c>
      <c r="F211" s="31" t="s">
        <v>2671</v>
      </c>
      <c r="G211" s="290">
        <v>23.29</v>
      </c>
      <c r="H211" s="346" t="s">
        <v>5423</v>
      </c>
      <c r="I211" s="566"/>
      <c r="J211" s="32" t="s">
        <v>4147</v>
      </c>
      <c r="K211" s="18" t="s">
        <v>11906</v>
      </c>
      <c r="L211" s="5"/>
      <c r="M211" s="5"/>
      <c r="N211" s="5"/>
      <c r="O211" s="5"/>
    </row>
    <row r="212" spans="1:16" s="57" customFormat="1" ht="48" customHeight="1" x14ac:dyDescent="0.2">
      <c r="A212" s="31" t="s">
        <v>8318</v>
      </c>
      <c r="B212" s="31" t="s">
        <v>5931</v>
      </c>
      <c r="C212" s="1337" t="s">
        <v>5546</v>
      </c>
      <c r="D212" s="1337"/>
      <c r="E212" s="18" t="s">
        <v>2670</v>
      </c>
      <c r="F212" s="31" t="s">
        <v>5934</v>
      </c>
      <c r="G212" s="290">
        <v>28.14</v>
      </c>
      <c r="H212" s="346" t="s">
        <v>5423</v>
      </c>
      <c r="I212" s="566"/>
      <c r="J212" s="80" t="s">
        <v>8226</v>
      </c>
      <c r="K212" s="32" t="s">
        <v>10898</v>
      </c>
    </row>
    <row r="213" spans="1:16" s="57" customFormat="1" ht="45" customHeight="1" x14ac:dyDescent="0.2">
      <c r="A213" s="63" t="s">
        <v>2145</v>
      </c>
      <c r="B213" s="63" t="s">
        <v>281</v>
      </c>
      <c r="C213" s="1314" t="s">
        <v>5544</v>
      </c>
      <c r="D213" s="1314"/>
      <c r="E213" s="18" t="s">
        <v>450</v>
      </c>
      <c r="F213" s="18"/>
      <c r="G213" s="299">
        <v>38.6</v>
      </c>
      <c r="H213" s="24">
        <v>1982</v>
      </c>
      <c r="I213" s="566"/>
      <c r="J213" s="30" t="s">
        <v>5527</v>
      </c>
      <c r="K213" s="17" t="s">
        <v>10899</v>
      </c>
    </row>
    <row r="214" spans="1:16" s="5" customFormat="1" ht="25.5" customHeight="1" x14ac:dyDescent="0.2">
      <c r="A214" s="31" t="s">
        <v>2146</v>
      </c>
      <c r="B214" s="31" t="s">
        <v>3079</v>
      </c>
      <c r="C214" s="1337" t="s">
        <v>5545</v>
      </c>
      <c r="D214" s="1337"/>
      <c r="E214" s="18"/>
      <c r="F214" s="31" t="s">
        <v>168</v>
      </c>
      <c r="G214" s="289">
        <f>55.4</f>
        <v>55.4</v>
      </c>
      <c r="H214" s="346" t="s">
        <v>502</v>
      </c>
      <c r="I214" s="566"/>
      <c r="J214" s="32" t="s">
        <v>3097</v>
      </c>
      <c r="K214" s="32"/>
    </row>
    <row r="215" spans="1:16" s="212" customFormat="1" ht="57.75" customHeight="1" x14ac:dyDescent="0.2">
      <c r="A215" s="63" t="s">
        <v>2147</v>
      </c>
      <c r="B215" s="63" t="s">
        <v>281</v>
      </c>
      <c r="C215" s="1337" t="s">
        <v>5432</v>
      </c>
      <c r="D215" s="1337"/>
      <c r="E215" s="18"/>
      <c r="F215" s="31" t="s">
        <v>2884</v>
      </c>
      <c r="G215" s="289">
        <v>25.4</v>
      </c>
      <c r="H215" s="346" t="s">
        <v>3477</v>
      </c>
      <c r="I215" s="741"/>
      <c r="J215" s="30" t="s">
        <v>8164</v>
      </c>
      <c r="K215" s="217" t="s">
        <v>13128</v>
      </c>
    </row>
    <row r="216" spans="1:16" s="212" customFormat="1" ht="57" customHeight="1" x14ac:dyDescent="0.2">
      <c r="A216" s="63" t="s">
        <v>2148</v>
      </c>
      <c r="B216" s="63" t="s">
        <v>281</v>
      </c>
      <c r="C216" s="1337" t="s">
        <v>5964</v>
      </c>
      <c r="D216" s="1337"/>
      <c r="E216" s="18"/>
      <c r="F216" s="31" t="s">
        <v>5433</v>
      </c>
      <c r="G216" s="289">
        <v>30.4</v>
      </c>
      <c r="H216" s="346" t="s">
        <v>64</v>
      </c>
      <c r="I216" s="741"/>
      <c r="J216" s="30" t="s">
        <v>8164</v>
      </c>
      <c r="K216" s="217" t="s">
        <v>13129</v>
      </c>
    </row>
    <row r="217" spans="1:16" s="5" customFormat="1" ht="44.25" customHeight="1" x14ac:dyDescent="0.2">
      <c r="A217" s="63" t="s">
        <v>8319</v>
      </c>
      <c r="B217" s="63" t="s">
        <v>9251</v>
      </c>
      <c r="C217" s="1336" t="s">
        <v>9250</v>
      </c>
      <c r="D217" s="1336"/>
      <c r="E217" s="18" t="s">
        <v>9252</v>
      </c>
      <c r="F217" s="31" t="s">
        <v>158</v>
      </c>
      <c r="G217" s="289">
        <v>629.4</v>
      </c>
      <c r="H217" s="346" t="s">
        <v>8262</v>
      </c>
      <c r="I217" s="566">
        <v>1993630.79</v>
      </c>
      <c r="J217" s="564" t="s">
        <v>7918</v>
      </c>
      <c r="K217" s="564" t="s">
        <v>7918</v>
      </c>
    </row>
    <row r="218" spans="1:16" s="5" customFormat="1" ht="57.6" customHeight="1" x14ac:dyDescent="0.2">
      <c r="A218" s="376" t="s">
        <v>9249</v>
      </c>
      <c r="B218" s="12" t="s">
        <v>9805</v>
      </c>
      <c r="C218" s="1382" t="s">
        <v>9798</v>
      </c>
      <c r="D218" s="1382"/>
      <c r="E218" s="12" t="s">
        <v>9799</v>
      </c>
      <c r="F218" s="345" t="s">
        <v>5872</v>
      </c>
      <c r="G218" s="321">
        <f>894.4-146.4</f>
        <v>748</v>
      </c>
      <c r="H218" s="285" t="s">
        <v>5423</v>
      </c>
      <c r="I218" s="566">
        <v>183861.81</v>
      </c>
      <c r="J218" s="17" t="s">
        <v>9958</v>
      </c>
      <c r="K218" s="17" t="s">
        <v>10900</v>
      </c>
    </row>
    <row r="219" spans="1:16" s="5" customFormat="1" ht="45.75" customHeight="1" x14ac:dyDescent="0.2">
      <c r="A219" s="63" t="s">
        <v>9925</v>
      </c>
      <c r="B219" s="63" t="s">
        <v>9926</v>
      </c>
      <c r="C219" s="1336" t="s">
        <v>9798</v>
      </c>
      <c r="D219" s="1336"/>
      <c r="E219" s="12"/>
      <c r="F219" s="345" t="s">
        <v>9927</v>
      </c>
      <c r="G219" s="289">
        <v>146.4</v>
      </c>
      <c r="H219" s="346" t="s">
        <v>5423</v>
      </c>
      <c r="I219" s="566"/>
      <c r="J219" s="32" t="s">
        <v>9928</v>
      </c>
      <c r="K219" s="32" t="s">
        <v>14257</v>
      </c>
    </row>
  </sheetData>
  <mergeCells count="237">
    <mergeCell ref="J204:J206"/>
    <mergeCell ref="C139:D139"/>
    <mergeCell ref="C43:D43"/>
    <mergeCell ref="F10:F11"/>
    <mergeCell ref="C11:D11"/>
    <mergeCell ref="C10:D10"/>
    <mergeCell ref="C9:D9"/>
    <mergeCell ref="C42:D42"/>
    <mergeCell ref="C41:D41"/>
    <mergeCell ref="C205:D205"/>
    <mergeCell ref="C188:D188"/>
    <mergeCell ref="C203:D203"/>
    <mergeCell ref="C185:D185"/>
    <mergeCell ref="C198:D198"/>
    <mergeCell ref="C191:D191"/>
    <mergeCell ref="C22:D24"/>
    <mergeCell ref="C16:D16"/>
    <mergeCell ref="C13:D13"/>
    <mergeCell ref="C19:D19"/>
    <mergeCell ref="C21:D21"/>
    <mergeCell ref="C168:D168"/>
    <mergeCell ref="C176:D176"/>
    <mergeCell ref="J192:K192"/>
    <mergeCell ref="C130:D130"/>
    <mergeCell ref="C207:D207"/>
    <mergeCell ref="C219:D219"/>
    <mergeCell ref="C218:D218"/>
    <mergeCell ref="C216:D216"/>
    <mergeCell ref="L40:O40"/>
    <mergeCell ref="L29:M29"/>
    <mergeCell ref="C25:D25"/>
    <mergeCell ref="C26:D26"/>
    <mergeCell ref="C30:D30"/>
    <mergeCell ref="C39:D39"/>
    <mergeCell ref="C40:D40"/>
    <mergeCell ref="C31:D31"/>
    <mergeCell ref="C36:D36"/>
    <mergeCell ref="C38:D38"/>
    <mergeCell ref="C35:D35"/>
    <mergeCell ref="C37:D37"/>
    <mergeCell ref="C213:D213"/>
    <mergeCell ref="C206:D206"/>
    <mergeCell ref="C210:D210"/>
    <mergeCell ref="C211:D211"/>
    <mergeCell ref="C209:D209"/>
    <mergeCell ref="C200:D200"/>
    <mergeCell ref="C208:D208"/>
    <mergeCell ref="C215:D215"/>
    <mergeCell ref="N8:O8"/>
    <mergeCell ref="L8:M8"/>
    <mergeCell ref="I10:I11"/>
    <mergeCell ref="E10:E11"/>
    <mergeCell ref="C17:D17"/>
    <mergeCell ref="C34:D34"/>
    <mergeCell ref="C27:D27"/>
    <mergeCell ref="C28:D28"/>
    <mergeCell ref="L16:N16"/>
    <mergeCell ref="C15:D15"/>
    <mergeCell ref="C14:D14"/>
    <mergeCell ref="C20:D20"/>
    <mergeCell ref="C18:D18"/>
    <mergeCell ref="I13:I15"/>
    <mergeCell ref="C29:D29"/>
    <mergeCell ref="C32:D32"/>
    <mergeCell ref="C214:D214"/>
    <mergeCell ref="C204:D204"/>
    <mergeCell ref="C187:D187"/>
    <mergeCell ref="I181:I182"/>
    <mergeCell ref="C156:D156"/>
    <mergeCell ref="C150:D150"/>
    <mergeCell ref="C152:D152"/>
    <mergeCell ref="C141:D141"/>
    <mergeCell ref="C163:D163"/>
    <mergeCell ref="C174:D174"/>
    <mergeCell ref="C177:D177"/>
    <mergeCell ref="C145:D145"/>
    <mergeCell ref="C143:D143"/>
    <mergeCell ref="C167:D167"/>
    <mergeCell ref="C161:D161"/>
    <mergeCell ref="C159:D159"/>
    <mergeCell ref="C166:D166"/>
    <mergeCell ref="C171:D171"/>
    <mergeCell ref="C148:D148"/>
    <mergeCell ref="C149:D149"/>
    <mergeCell ref="C154:D154"/>
    <mergeCell ref="C178:D178"/>
    <mergeCell ref="C160:D160"/>
    <mergeCell ref="C181:D181"/>
    <mergeCell ref="I121:I122"/>
    <mergeCell ref="C183:D183"/>
    <mergeCell ref="C134:D134"/>
    <mergeCell ref="C173:D173"/>
    <mergeCell ref="C164:D164"/>
    <mergeCell ref="C169:D169"/>
    <mergeCell ref="C165:D165"/>
    <mergeCell ref="C172:D172"/>
    <mergeCell ref="C162:D162"/>
    <mergeCell ref="C126:D126"/>
    <mergeCell ref="C155:D155"/>
    <mergeCell ref="C157:D157"/>
    <mergeCell ref="C151:D151"/>
    <mergeCell ref="C179:D179"/>
    <mergeCell ref="I156:I159"/>
    <mergeCell ref="E132:E133"/>
    <mergeCell ref="C158:D158"/>
    <mergeCell ref="C131:D131"/>
    <mergeCell ref="C86:D86"/>
    <mergeCell ref="C97:D97"/>
    <mergeCell ref="C89:D89"/>
    <mergeCell ref="C88:D88"/>
    <mergeCell ref="C121:D121"/>
    <mergeCell ref="C106:D106"/>
    <mergeCell ref="C116:D116"/>
    <mergeCell ref="C112:D112"/>
    <mergeCell ref="C186:D186"/>
    <mergeCell ref="C120:D120"/>
    <mergeCell ref="C114:D114"/>
    <mergeCell ref="B2:F2"/>
    <mergeCell ref="C83:D83"/>
    <mergeCell ref="C105:D105"/>
    <mergeCell ref="C92:D92"/>
    <mergeCell ref="C95:D95"/>
    <mergeCell ref="C94:D94"/>
    <mergeCell ref="C96:D96"/>
    <mergeCell ref="C101:D101"/>
    <mergeCell ref="C5:D5"/>
    <mergeCell ref="C4:D4"/>
    <mergeCell ref="C7:D7"/>
    <mergeCell ref="B6:E6"/>
    <mergeCell ref="C8:D8"/>
    <mergeCell ref="C12:D12"/>
    <mergeCell ref="E84:E88"/>
    <mergeCell ref="C33:D33"/>
    <mergeCell ref="C52:D52"/>
    <mergeCell ref="C44:D44"/>
    <mergeCell ref="C81:D81"/>
    <mergeCell ref="C82:D82"/>
    <mergeCell ref="C84:D84"/>
    <mergeCell ref="C79:D79"/>
    <mergeCell ref="C91:D91"/>
    <mergeCell ref="C76:D76"/>
    <mergeCell ref="C48:D48"/>
    <mergeCell ref="C45:D45"/>
    <mergeCell ref="C46:D46"/>
    <mergeCell ref="C72:D72"/>
    <mergeCell ref="C47:D47"/>
    <mergeCell ref="C60:D60"/>
    <mergeCell ref="J87:J88"/>
    <mergeCell ref="C90:D90"/>
    <mergeCell ref="C93:D93"/>
    <mergeCell ref="I92:I93"/>
    <mergeCell ref="C55:D55"/>
    <mergeCell ref="C71:D71"/>
    <mergeCell ref="C67:D67"/>
    <mergeCell ref="C62:D62"/>
    <mergeCell ref="C63:D63"/>
    <mergeCell ref="C78:D78"/>
    <mergeCell ref="C51:D51"/>
    <mergeCell ref="C49:D49"/>
    <mergeCell ref="C56:D56"/>
    <mergeCell ref="C59:D59"/>
    <mergeCell ref="C57:D57"/>
    <mergeCell ref="C66:D66"/>
    <mergeCell ref="C58:D58"/>
    <mergeCell ref="C73:D73"/>
    <mergeCell ref="E59:E60"/>
    <mergeCell ref="C50:D50"/>
    <mergeCell ref="C128:D128"/>
    <mergeCell ref="C122:D122"/>
    <mergeCell ref="C123:D123"/>
    <mergeCell ref="C104:D104"/>
    <mergeCell ref="C127:D127"/>
    <mergeCell ref="C98:D98"/>
    <mergeCell ref="C87:D87"/>
    <mergeCell ref="C99:D99"/>
    <mergeCell ref="C102:D102"/>
    <mergeCell ref="C100:D100"/>
    <mergeCell ref="C103:D103"/>
    <mergeCell ref="C111:D111"/>
    <mergeCell ref="C109:D109"/>
    <mergeCell ref="C118:D118"/>
    <mergeCell ref="C113:D113"/>
    <mergeCell ref="C108:D108"/>
    <mergeCell ref="C124:D124"/>
    <mergeCell ref="C119:D119"/>
    <mergeCell ref="C125:D125"/>
    <mergeCell ref="C117:D117"/>
    <mergeCell ref="C110:D110"/>
    <mergeCell ref="C115:D115"/>
    <mergeCell ref="C54:D54"/>
    <mergeCell ref="C74:D74"/>
    <mergeCell ref="C197:D197"/>
    <mergeCell ref="C182:D182"/>
    <mergeCell ref="C201:D201"/>
    <mergeCell ref="C190:D190"/>
    <mergeCell ref="C199:D199"/>
    <mergeCell ref="C65:D65"/>
    <mergeCell ref="C53:D53"/>
    <mergeCell ref="C69:D69"/>
    <mergeCell ref="C64:D64"/>
    <mergeCell ref="C61:D61"/>
    <mergeCell ref="C75:D75"/>
    <mergeCell ref="C180:D180"/>
    <mergeCell ref="C133:D133"/>
    <mergeCell ref="C132:D132"/>
    <mergeCell ref="C194:D194"/>
    <mergeCell ref="C129:D129"/>
    <mergeCell ref="C196:D196"/>
    <mergeCell ref="C193:D193"/>
    <mergeCell ref="C189:D189"/>
    <mergeCell ref="C184:D184"/>
    <mergeCell ref="C144:D144"/>
    <mergeCell ref="C170:D170"/>
    <mergeCell ref="C217:D217"/>
    <mergeCell ref="C212:D212"/>
    <mergeCell ref="C202:D202"/>
    <mergeCell ref="C195:D195"/>
    <mergeCell ref="C192:D192"/>
    <mergeCell ref="C68:D68"/>
    <mergeCell ref="C70:D70"/>
    <mergeCell ref="I84:I88"/>
    <mergeCell ref="C107:D107"/>
    <mergeCell ref="C85:D85"/>
    <mergeCell ref="E130:E131"/>
    <mergeCell ref="I73:I75"/>
    <mergeCell ref="C138:D138"/>
    <mergeCell ref="C136:D136"/>
    <mergeCell ref="C135:D135"/>
    <mergeCell ref="C140:D140"/>
    <mergeCell ref="C137:D137"/>
    <mergeCell ref="C175:D175"/>
    <mergeCell ref="C147:D147"/>
    <mergeCell ref="C146:D146"/>
    <mergeCell ref="C142:D142"/>
    <mergeCell ref="C153:D153"/>
    <mergeCell ref="C77:D77"/>
    <mergeCell ref="C80:D8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18"/>
  <sheetViews>
    <sheetView zoomScale="90" zoomScaleNormal="90" zoomScaleSheetLayoutView="96" workbookViewId="0">
      <pane xSplit="1" ySplit="5" topLeftCell="B706" activePane="bottomRight" state="frozen"/>
      <selection pane="topRight" activeCell="B1" sqref="B1"/>
      <selection pane="bottomLeft" activeCell="A6" sqref="A6"/>
      <selection pane="bottomRight" activeCell="F713" sqref="F713"/>
    </sheetView>
  </sheetViews>
  <sheetFormatPr defaultColWidth="9.140625" defaultRowHeight="11.25" x14ac:dyDescent="0.2"/>
  <cols>
    <col min="1" max="1" width="12.28515625" style="4" customWidth="1"/>
    <col min="2" max="2" width="42.85546875" style="4" customWidth="1"/>
    <col min="3" max="3" width="19.85546875" style="4" customWidth="1"/>
    <col min="4" max="4" width="19.42578125" style="4" customWidth="1"/>
    <col min="5" max="5" width="9.7109375" style="5" customWidth="1"/>
    <col min="6" max="6" width="27.5703125" style="4" customWidth="1"/>
    <col min="7" max="7" width="15" style="4" customWidth="1"/>
    <col min="8" max="8" width="14.7109375" style="262" customWidth="1"/>
    <col min="9" max="9" width="11.42578125" style="262" customWidth="1"/>
    <col min="10" max="10" width="14.140625" style="4" customWidth="1"/>
    <col min="11" max="11" width="21.85546875" style="5" customWidth="1"/>
    <col min="12" max="12" width="28.42578125" style="4" customWidth="1"/>
    <col min="13" max="16384" width="9.140625" style="4"/>
  </cols>
  <sheetData>
    <row r="1" spans="1:12" x14ac:dyDescent="0.2">
      <c r="H1" s="263"/>
      <c r="K1" s="206"/>
    </row>
    <row r="2" spans="1:12" ht="18.75" customHeight="1" x14ac:dyDescent="0.2">
      <c r="A2" s="6"/>
      <c r="B2" s="1315" t="s">
        <v>10095</v>
      </c>
      <c r="C2" s="1315"/>
      <c r="D2" s="1315"/>
      <c r="E2" s="1315"/>
      <c r="I2" s="263"/>
      <c r="K2" s="206"/>
      <c r="L2" s="206"/>
    </row>
    <row r="3" spans="1:12" x14ac:dyDescent="0.2">
      <c r="K3" s="5" t="s">
        <v>361</v>
      </c>
    </row>
    <row r="4" spans="1:12" ht="74.25" customHeight="1" x14ac:dyDescent="0.2">
      <c r="A4" s="343" t="s">
        <v>10097</v>
      </c>
      <c r="B4" s="343" t="s">
        <v>10109</v>
      </c>
      <c r="C4" s="1478" t="s">
        <v>14134</v>
      </c>
      <c r="D4" s="1478"/>
      <c r="E4" s="1478"/>
      <c r="F4" s="343" t="s">
        <v>10110</v>
      </c>
      <c r="G4" s="343" t="s">
        <v>12559</v>
      </c>
      <c r="H4" s="343" t="s">
        <v>13880</v>
      </c>
      <c r="I4" s="343" t="s">
        <v>10103</v>
      </c>
      <c r="J4" s="343" t="s">
        <v>10104</v>
      </c>
      <c r="K4" s="343" t="s">
        <v>10107</v>
      </c>
      <c r="L4" s="343" t="s">
        <v>10106</v>
      </c>
    </row>
    <row r="5" spans="1:12" s="305" customFormat="1" ht="12.75" customHeight="1" x14ac:dyDescent="0.2">
      <c r="A5" s="9" t="s">
        <v>513</v>
      </c>
      <c r="B5" s="9">
        <v>2</v>
      </c>
      <c r="C5" s="1471">
        <v>3</v>
      </c>
      <c r="D5" s="1471"/>
      <c r="E5" s="1471"/>
      <c r="F5" s="9">
        <v>4</v>
      </c>
      <c r="G5" s="9">
        <v>5</v>
      </c>
      <c r="H5" s="9" t="s">
        <v>448</v>
      </c>
      <c r="I5" s="9" t="s">
        <v>5177</v>
      </c>
      <c r="J5" s="9" t="s">
        <v>5178</v>
      </c>
      <c r="K5" s="9" t="s">
        <v>10093</v>
      </c>
      <c r="L5" s="9" t="s">
        <v>10094</v>
      </c>
    </row>
    <row r="6" spans="1:12" s="13" customFormat="1" ht="12.75" customHeight="1" x14ac:dyDescent="0.2">
      <c r="A6" s="15" t="s">
        <v>1783</v>
      </c>
      <c r="B6" s="1364" t="s">
        <v>1967</v>
      </c>
      <c r="C6" s="1364"/>
      <c r="D6" s="1364"/>
      <c r="E6" s="1364"/>
      <c r="F6" s="8"/>
      <c r="G6" s="8"/>
      <c r="H6" s="9"/>
      <c r="I6" s="9"/>
      <c r="J6" s="8"/>
      <c r="K6" s="12"/>
      <c r="L6" s="8"/>
    </row>
    <row r="7" spans="1:12" s="98" customFormat="1" ht="49.5" customHeight="1" x14ac:dyDescent="0.2">
      <c r="A7" s="10" t="s">
        <v>1784</v>
      </c>
      <c r="B7" s="10" t="s">
        <v>6655</v>
      </c>
      <c r="C7" s="1411" t="s">
        <v>6588</v>
      </c>
      <c r="D7" s="1411"/>
      <c r="E7" s="151"/>
      <c r="F7" s="8" t="s">
        <v>7836</v>
      </c>
      <c r="G7" s="642"/>
      <c r="H7" s="24" t="s">
        <v>7837</v>
      </c>
      <c r="I7" s="24" t="s">
        <v>504</v>
      </c>
      <c r="J7" s="152"/>
      <c r="K7" s="17"/>
      <c r="L7" s="17" t="s">
        <v>5233</v>
      </c>
    </row>
    <row r="8" spans="1:12" s="57" customFormat="1" ht="24" customHeight="1" x14ac:dyDescent="0.2">
      <c r="A8" s="10" t="s">
        <v>1785</v>
      </c>
      <c r="B8" s="10" t="s">
        <v>2281</v>
      </c>
      <c r="C8" s="1407" t="s">
        <v>9710</v>
      </c>
      <c r="D8" s="1408"/>
      <c r="E8" s="12"/>
      <c r="F8" s="12"/>
      <c r="G8" s="12" t="s">
        <v>2282</v>
      </c>
      <c r="H8" s="306">
        <v>15.4</v>
      </c>
      <c r="I8" s="306">
        <v>1990</v>
      </c>
      <c r="J8" s="62"/>
      <c r="K8" s="10" t="s">
        <v>9451</v>
      </c>
      <c r="L8" s="10" t="s">
        <v>9451</v>
      </c>
    </row>
    <row r="9" spans="1:12" s="57" customFormat="1" ht="24" customHeight="1" x14ac:dyDescent="0.2">
      <c r="A9" s="10" t="s">
        <v>1786</v>
      </c>
      <c r="B9" s="10" t="s">
        <v>2281</v>
      </c>
      <c r="C9" s="1407" t="s">
        <v>9710</v>
      </c>
      <c r="D9" s="1408"/>
      <c r="E9" s="12"/>
      <c r="F9" s="12"/>
      <c r="G9" s="12" t="s">
        <v>2282</v>
      </c>
      <c r="H9" s="306">
        <v>15.4</v>
      </c>
      <c r="I9" s="306">
        <v>1990</v>
      </c>
      <c r="J9" s="62"/>
      <c r="K9" s="10" t="s">
        <v>9451</v>
      </c>
      <c r="L9" s="10" t="s">
        <v>9451</v>
      </c>
    </row>
    <row r="10" spans="1:12" s="57" customFormat="1" ht="24" customHeight="1" x14ac:dyDescent="0.2">
      <c r="A10" s="10" t="s">
        <v>1787</v>
      </c>
      <c r="B10" s="10" t="s">
        <v>2283</v>
      </c>
      <c r="C10" s="1407" t="s">
        <v>9710</v>
      </c>
      <c r="D10" s="1408"/>
      <c r="E10" s="12"/>
      <c r="F10" s="12"/>
      <c r="G10" s="12" t="s">
        <v>2282</v>
      </c>
      <c r="H10" s="306">
        <v>15.4</v>
      </c>
      <c r="I10" s="306">
        <v>1992</v>
      </c>
      <c r="J10" s="62"/>
      <c r="K10" s="10" t="s">
        <v>9451</v>
      </c>
      <c r="L10" s="10" t="s">
        <v>9451</v>
      </c>
    </row>
    <row r="11" spans="1:12" s="57" customFormat="1" ht="24" customHeight="1" x14ac:dyDescent="0.2">
      <c r="A11" s="10" t="s">
        <v>1788</v>
      </c>
      <c r="B11" s="10" t="s">
        <v>2283</v>
      </c>
      <c r="C11" s="1407" t="s">
        <v>9710</v>
      </c>
      <c r="D11" s="1408"/>
      <c r="E11" s="12"/>
      <c r="F11" s="12"/>
      <c r="G11" s="12" t="s">
        <v>2282</v>
      </c>
      <c r="H11" s="306">
        <v>15.4</v>
      </c>
      <c r="I11" s="306">
        <v>1992</v>
      </c>
      <c r="J11" s="62"/>
      <c r="K11" s="10" t="s">
        <v>9451</v>
      </c>
      <c r="L11" s="10" t="s">
        <v>9451</v>
      </c>
    </row>
    <row r="12" spans="1:12" s="57" customFormat="1" ht="60.75" customHeight="1" x14ac:dyDescent="0.2">
      <c r="A12" s="10" t="s">
        <v>1789</v>
      </c>
      <c r="B12" s="10" t="s">
        <v>3640</v>
      </c>
      <c r="C12" s="1407" t="s">
        <v>9711</v>
      </c>
      <c r="D12" s="1408"/>
      <c r="E12" s="12"/>
      <c r="F12" s="12"/>
      <c r="G12" s="12" t="s">
        <v>2249</v>
      </c>
      <c r="H12" s="306">
        <v>15.2</v>
      </c>
      <c r="I12" s="306">
        <v>1988</v>
      </c>
      <c r="J12" s="62"/>
      <c r="K12" s="188" t="s">
        <v>479</v>
      </c>
      <c r="L12" s="188" t="s">
        <v>479</v>
      </c>
    </row>
    <row r="13" spans="1:12" s="57" customFormat="1" ht="60.75" customHeight="1" x14ac:dyDescent="0.2">
      <c r="A13" s="10" t="s">
        <v>1790</v>
      </c>
      <c r="B13" s="10" t="s">
        <v>3640</v>
      </c>
      <c r="C13" s="1407" t="s">
        <v>9712</v>
      </c>
      <c r="D13" s="1408"/>
      <c r="E13" s="12"/>
      <c r="F13" s="12"/>
      <c r="G13" s="12" t="s">
        <v>2249</v>
      </c>
      <c r="H13" s="306">
        <v>14.5</v>
      </c>
      <c r="I13" s="306">
        <v>1988</v>
      </c>
      <c r="J13" s="62"/>
      <c r="K13" s="188" t="s">
        <v>479</v>
      </c>
      <c r="L13" s="188" t="s">
        <v>479</v>
      </c>
    </row>
    <row r="14" spans="1:12" s="57" customFormat="1" ht="59.25" customHeight="1" x14ac:dyDescent="0.2">
      <c r="A14" s="10" t="s">
        <v>1791</v>
      </c>
      <c r="B14" s="10" t="s">
        <v>3640</v>
      </c>
      <c r="C14" s="1407" t="s">
        <v>9712</v>
      </c>
      <c r="D14" s="1408"/>
      <c r="E14" s="12"/>
      <c r="F14" s="12"/>
      <c r="G14" s="12" t="s">
        <v>2249</v>
      </c>
      <c r="H14" s="306">
        <v>15.2</v>
      </c>
      <c r="I14" s="306">
        <v>1988</v>
      </c>
      <c r="J14" s="62"/>
      <c r="K14" s="10" t="s">
        <v>8248</v>
      </c>
      <c r="L14" s="10" t="s">
        <v>8248</v>
      </c>
    </row>
    <row r="15" spans="1:12" s="57" customFormat="1" ht="57.75" customHeight="1" x14ac:dyDescent="0.2">
      <c r="A15" s="10" t="s">
        <v>1792</v>
      </c>
      <c r="B15" s="10" t="s">
        <v>3640</v>
      </c>
      <c r="C15" s="1407" t="s">
        <v>9712</v>
      </c>
      <c r="D15" s="1408"/>
      <c r="E15" s="12"/>
      <c r="F15" s="12"/>
      <c r="G15" s="12" t="s">
        <v>2249</v>
      </c>
      <c r="H15" s="306">
        <v>14</v>
      </c>
      <c r="I15" s="306">
        <v>1988</v>
      </c>
      <c r="J15" s="62"/>
      <c r="K15" s="10" t="s">
        <v>8248</v>
      </c>
      <c r="L15" s="10" t="s">
        <v>8248</v>
      </c>
    </row>
    <row r="16" spans="1:12" s="57" customFormat="1" ht="84" customHeight="1" x14ac:dyDescent="0.2">
      <c r="A16" s="10" t="s">
        <v>2195</v>
      </c>
      <c r="B16" s="10" t="s">
        <v>2442</v>
      </c>
      <c r="C16" s="1407" t="s">
        <v>9668</v>
      </c>
      <c r="D16" s="1408"/>
      <c r="E16" s="12"/>
      <c r="F16" s="12"/>
      <c r="G16" s="12" t="s">
        <v>2249</v>
      </c>
      <c r="H16" s="306">
        <v>17.100000000000001</v>
      </c>
      <c r="I16" s="306">
        <v>1981</v>
      </c>
      <c r="J16" s="62"/>
      <c r="K16" s="10" t="s">
        <v>7483</v>
      </c>
      <c r="L16" s="10" t="s">
        <v>7483</v>
      </c>
    </row>
    <row r="17" spans="1:12" s="57" customFormat="1" ht="84" customHeight="1" x14ac:dyDescent="0.2">
      <c r="A17" s="10" t="s">
        <v>2157</v>
      </c>
      <c r="B17" s="10" t="s">
        <v>2442</v>
      </c>
      <c r="C17" s="1407" t="s">
        <v>9668</v>
      </c>
      <c r="D17" s="1408"/>
      <c r="E17" s="12"/>
      <c r="F17" s="12"/>
      <c r="G17" s="12" t="s">
        <v>2249</v>
      </c>
      <c r="H17" s="306">
        <v>24</v>
      </c>
      <c r="I17" s="306">
        <v>1991</v>
      </c>
      <c r="J17" s="62"/>
      <c r="K17" s="10" t="s">
        <v>7483</v>
      </c>
      <c r="L17" s="10" t="s">
        <v>7483</v>
      </c>
    </row>
    <row r="18" spans="1:12" s="5" customFormat="1" ht="33.75" customHeight="1" x14ac:dyDescent="0.2">
      <c r="A18" s="10" t="s">
        <v>2158</v>
      </c>
      <c r="B18" s="10" t="s">
        <v>3231</v>
      </c>
      <c r="C18" s="1407" t="s">
        <v>9666</v>
      </c>
      <c r="D18" s="1408"/>
      <c r="E18" s="12"/>
      <c r="F18" s="12"/>
      <c r="G18" s="12"/>
      <c r="H18" s="306"/>
      <c r="I18" s="306">
        <v>1996</v>
      </c>
      <c r="J18" s="62"/>
      <c r="K18" s="251" t="s">
        <v>9605</v>
      </c>
      <c r="L18" s="642" t="s">
        <v>12012</v>
      </c>
    </row>
    <row r="19" spans="1:12" s="5" customFormat="1" ht="34.5" customHeight="1" x14ac:dyDescent="0.2">
      <c r="A19" s="10" t="s">
        <v>1793</v>
      </c>
      <c r="B19" s="10" t="s">
        <v>3231</v>
      </c>
      <c r="C19" s="1407" t="s">
        <v>9666</v>
      </c>
      <c r="D19" s="1408"/>
      <c r="E19" s="12"/>
      <c r="F19" s="12"/>
      <c r="G19" s="12"/>
      <c r="H19" s="306"/>
      <c r="I19" s="306">
        <v>1996</v>
      </c>
      <c r="J19" s="62"/>
      <c r="K19" s="251" t="s">
        <v>9605</v>
      </c>
      <c r="L19" s="642" t="s">
        <v>12012</v>
      </c>
    </row>
    <row r="20" spans="1:12" s="5" customFormat="1" ht="35.25" customHeight="1" x14ac:dyDescent="0.2">
      <c r="A20" s="10" t="s">
        <v>1794</v>
      </c>
      <c r="B20" s="10" t="s">
        <v>3116</v>
      </c>
      <c r="C20" s="1407" t="s">
        <v>9666</v>
      </c>
      <c r="D20" s="1408"/>
      <c r="E20" s="12"/>
      <c r="F20" s="12"/>
      <c r="G20" s="12"/>
      <c r="H20" s="306"/>
      <c r="I20" s="306">
        <v>1996</v>
      </c>
      <c r="J20" s="62"/>
      <c r="K20" s="251" t="s">
        <v>9605</v>
      </c>
      <c r="L20" s="642" t="s">
        <v>12012</v>
      </c>
    </row>
    <row r="21" spans="1:12" s="5" customFormat="1" ht="34.5" customHeight="1" x14ac:dyDescent="0.2">
      <c r="A21" s="10" t="s">
        <v>1795</v>
      </c>
      <c r="B21" s="10" t="s">
        <v>3117</v>
      </c>
      <c r="C21" s="1407" t="s">
        <v>9666</v>
      </c>
      <c r="D21" s="1408"/>
      <c r="E21" s="12"/>
      <c r="F21" s="12"/>
      <c r="G21" s="12"/>
      <c r="H21" s="306"/>
      <c r="I21" s="306">
        <v>1996</v>
      </c>
      <c r="J21" s="62"/>
      <c r="K21" s="251" t="s">
        <v>9605</v>
      </c>
      <c r="L21" s="642" t="s">
        <v>12012</v>
      </c>
    </row>
    <row r="22" spans="1:12" s="5" customFormat="1" ht="18.75" customHeight="1" x14ac:dyDescent="0.2">
      <c r="A22" s="211" t="s">
        <v>1796</v>
      </c>
      <c r="B22" s="1443" t="s">
        <v>3232</v>
      </c>
      <c r="C22" s="1467" t="s">
        <v>8246</v>
      </c>
      <c r="D22" s="1468"/>
      <c r="E22" s="1460" t="s">
        <v>6250</v>
      </c>
      <c r="F22" s="1477"/>
      <c r="G22" s="1477"/>
      <c r="H22" s="1461"/>
      <c r="I22" s="24" t="s">
        <v>5471</v>
      </c>
      <c r="J22" s="97"/>
      <c r="K22" s="642"/>
      <c r="L22" s="642"/>
    </row>
    <row r="23" spans="1:12" s="5" customFormat="1" ht="17.25" customHeight="1" x14ac:dyDescent="0.2">
      <c r="A23" s="779"/>
      <c r="B23" s="1413"/>
      <c r="C23" s="1451"/>
      <c r="D23" s="1452"/>
      <c r="E23" s="1403" t="s">
        <v>6251</v>
      </c>
      <c r="F23" s="1484"/>
      <c r="G23" s="1484"/>
      <c r="H23" s="1404"/>
      <c r="I23" s="24" t="s">
        <v>5471</v>
      </c>
      <c r="J23" s="97"/>
      <c r="K23" s="642"/>
      <c r="L23" s="642"/>
    </row>
    <row r="24" spans="1:12" s="5" customFormat="1" ht="46.5" customHeight="1" x14ac:dyDescent="0.2">
      <c r="A24" s="10" t="s">
        <v>1797</v>
      </c>
      <c r="B24" s="10" t="s">
        <v>3413</v>
      </c>
      <c r="C24" s="1407" t="s">
        <v>14165</v>
      </c>
      <c r="D24" s="1408"/>
      <c r="E24" s="12"/>
      <c r="F24" s="12" t="s">
        <v>14166</v>
      </c>
      <c r="G24" s="12"/>
      <c r="H24" s="804" t="s">
        <v>14167</v>
      </c>
      <c r="I24" s="306">
        <v>1948</v>
      </c>
      <c r="J24" s="62"/>
      <c r="K24" s="642" t="s">
        <v>13820</v>
      </c>
      <c r="L24" s="810" t="s">
        <v>13860</v>
      </c>
    </row>
    <row r="25" spans="1:12" s="5" customFormat="1" ht="36" customHeight="1" x14ac:dyDescent="0.2">
      <c r="A25" s="10" t="s">
        <v>1798</v>
      </c>
      <c r="B25" s="10" t="s">
        <v>3233</v>
      </c>
      <c r="C25" s="1407" t="s">
        <v>8246</v>
      </c>
      <c r="D25" s="1408"/>
      <c r="E25" s="12"/>
      <c r="F25" s="12"/>
      <c r="G25" s="12"/>
      <c r="H25" s="306"/>
      <c r="I25" s="306">
        <v>1962</v>
      </c>
      <c r="J25" s="62"/>
      <c r="K25" s="822" t="s">
        <v>13820</v>
      </c>
      <c r="L25" s="810" t="s">
        <v>13860</v>
      </c>
    </row>
    <row r="26" spans="1:12" ht="22.5" x14ac:dyDescent="0.2">
      <c r="A26" s="10" t="s">
        <v>1799</v>
      </c>
      <c r="B26" s="11" t="s">
        <v>3234</v>
      </c>
      <c r="C26" s="1407" t="s">
        <v>8246</v>
      </c>
      <c r="D26" s="1408"/>
      <c r="E26" s="12"/>
      <c r="F26" s="8"/>
      <c r="G26" s="8"/>
      <c r="H26" s="288"/>
      <c r="I26" s="288">
        <v>1987</v>
      </c>
      <c r="J26" s="20"/>
      <c r="K26" s="10" t="s">
        <v>374</v>
      </c>
      <c r="L26" s="11" t="s">
        <v>374</v>
      </c>
    </row>
    <row r="27" spans="1:12" ht="34.5" customHeight="1" x14ac:dyDescent="0.2">
      <c r="A27" s="10" t="s">
        <v>3610</v>
      </c>
      <c r="B27" s="11" t="s">
        <v>3681</v>
      </c>
      <c r="C27" s="1399" t="s">
        <v>9667</v>
      </c>
      <c r="D27" s="1400"/>
      <c r="E27" s="12"/>
      <c r="F27" s="8" t="s">
        <v>4052</v>
      </c>
      <c r="G27" s="8" t="s">
        <v>3614</v>
      </c>
      <c r="H27" s="288" t="s">
        <v>2150</v>
      </c>
      <c r="I27" s="288">
        <v>1980</v>
      </c>
      <c r="J27" s="20"/>
      <c r="K27" s="8" t="s">
        <v>9605</v>
      </c>
      <c r="L27" s="642" t="s">
        <v>12012</v>
      </c>
    </row>
    <row r="28" spans="1:12" ht="39" customHeight="1" x14ac:dyDescent="0.2">
      <c r="A28" s="10" t="s">
        <v>3410</v>
      </c>
      <c r="B28" s="11" t="s">
        <v>3471</v>
      </c>
      <c r="C28" s="1405" t="s">
        <v>9713</v>
      </c>
      <c r="D28" s="1406"/>
      <c r="E28" s="12"/>
      <c r="F28" s="46"/>
      <c r="G28" s="46" t="s">
        <v>3370</v>
      </c>
      <c r="H28" s="26" t="s">
        <v>3295</v>
      </c>
      <c r="I28" s="26" t="s">
        <v>461</v>
      </c>
      <c r="J28" s="20"/>
      <c r="K28" s="8" t="s">
        <v>9605</v>
      </c>
      <c r="L28" s="642" t="s">
        <v>12012</v>
      </c>
    </row>
    <row r="29" spans="1:12" ht="35.25" customHeight="1" x14ac:dyDescent="0.2">
      <c r="A29" s="10" t="s">
        <v>1800</v>
      </c>
      <c r="B29" s="11" t="s">
        <v>3383</v>
      </c>
      <c r="C29" s="1399" t="s">
        <v>9670</v>
      </c>
      <c r="D29" s="1400"/>
      <c r="E29" s="12"/>
      <c r="F29" s="8"/>
      <c r="G29" s="8" t="s">
        <v>2249</v>
      </c>
      <c r="H29" s="288"/>
      <c r="I29" s="288">
        <v>1996</v>
      </c>
      <c r="J29" s="20"/>
      <c r="K29" s="8"/>
      <c r="L29" s="8" t="s">
        <v>13997</v>
      </c>
    </row>
    <row r="30" spans="1:12" s="5" customFormat="1" ht="36.75" customHeight="1" x14ac:dyDescent="0.2">
      <c r="A30" s="10" t="s">
        <v>1801</v>
      </c>
      <c r="B30" s="10" t="s">
        <v>3384</v>
      </c>
      <c r="C30" s="1407" t="s">
        <v>7878</v>
      </c>
      <c r="D30" s="1408"/>
      <c r="E30" s="12"/>
      <c r="F30" s="12"/>
      <c r="G30" s="12"/>
      <c r="H30" s="306"/>
      <c r="I30" s="306">
        <v>1980</v>
      </c>
      <c r="J30" s="62"/>
      <c r="K30" s="8"/>
      <c r="L30" s="802" t="s">
        <v>13997</v>
      </c>
    </row>
    <row r="31" spans="1:12" ht="36.75" customHeight="1" x14ac:dyDescent="0.2">
      <c r="A31" s="10" t="s">
        <v>1802</v>
      </c>
      <c r="B31" s="10" t="s">
        <v>3406</v>
      </c>
      <c r="C31" s="1399" t="s">
        <v>9669</v>
      </c>
      <c r="D31" s="1400"/>
      <c r="E31" s="11"/>
      <c r="F31" s="11" t="s">
        <v>3559</v>
      </c>
      <c r="G31" s="8" t="s">
        <v>1982</v>
      </c>
      <c r="H31" s="288" t="s">
        <v>3407</v>
      </c>
      <c r="I31" s="288" t="s">
        <v>3408</v>
      </c>
      <c r="J31" s="20"/>
      <c r="K31" s="8" t="s">
        <v>13820</v>
      </c>
      <c r="L31" s="8" t="s">
        <v>13861</v>
      </c>
    </row>
    <row r="32" spans="1:12" ht="36.75" customHeight="1" x14ac:dyDescent="0.2">
      <c r="A32" s="10" t="s">
        <v>1803</v>
      </c>
      <c r="B32" s="10" t="s">
        <v>3134</v>
      </c>
      <c r="C32" s="1399" t="s">
        <v>9669</v>
      </c>
      <c r="D32" s="1400"/>
      <c r="E32" s="12"/>
      <c r="F32" s="8" t="s">
        <v>9617</v>
      </c>
      <c r="G32" s="8" t="s">
        <v>181</v>
      </c>
      <c r="H32" s="288" t="s">
        <v>6385</v>
      </c>
      <c r="I32" s="288" t="s">
        <v>3408</v>
      </c>
      <c r="J32" s="20"/>
      <c r="K32" s="802" t="s">
        <v>13820</v>
      </c>
      <c r="L32" s="802" t="s">
        <v>13861</v>
      </c>
    </row>
    <row r="33" spans="1:12" ht="36" customHeight="1" x14ac:dyDescent="0.2">
      <c r="A33" s="10" t="s">
        <v>3301</v>
      </c>
      <c r="B33" s="10" t="s">
        <v>3135</v>
      </c>
      <c r="C33" s="1399" t="s">
        <v>9669</v>
      </c>
      <c r="D33" s="1400"/>
      <c r="E33" s="1428" t="s">
        <v>3136</v>
      </c>
      <c r="F33" s="1429"/>
      <c r="G33" s="12"/>
      <c r="H33" s="306" t="s">
        <v>3549</v>
      </c>
      <c r="I33" s="306">
        <v>2011</v>
      </c>
      <c r="J33" s="20"/>
      <c r="K33" s="802" t="s">
        <v>13820</v>
      </c>
      <c r="L33" s="802" t="s">
        <v>13861</v>
      </c>
    </row>
    <row r="34" spans="1:12" s="5" customFormat="1" ht="37.5" customHeight="1" x14ac:dyDescent="0.2">
      <c r="A34" s="10" t="s">
        <v>3317</v>
      </c>
      <c r="B34" s="654" t="s">
        <v>180</v>
      </c>
      <c r="C34" s="1403" t="s">
        <v>9671</v>
      </c>
      <c r="D34" s="1404"/>
      <c r="E34" s="12"/>
      <c r="F34" s="12"/>
      <c r="G34" s="18" t="s">
        <v>3370</v>
      </c>
      <c r="H34" s="346" t="s">
        <v>3550</v>
      </c>
      <c r="I34" s="346" t="s">
        <v>461</v>
      </c>
      <c r="J34" s="48"/>
      <c r="K34" s="802" t="s">
        <v>13820</v>
      </c>
      <c r="L34" s="802" t="s">
        <v>13861</v>
      </c>
    </row>
    <row r="35" spans="1:12" s="57" customFormat="1" x14ac:dyDescent="0.2">
      <c r="A35" s="10" t="s">
        <v>1804</v>
      </c>
      <c r="B35" s="10" t="s">
        <v>6108</v>
      </c>
      <c r="C35" s="1407" t="s">
        <v>9714</v>
      </c>
      <c r="D35" s="1408"/>
      <c r="E35" s="12"/>
      <c r="F35" s="12"/>
      <c r="G35" s="12"/>
      <c r="H35" s="306" t="s">
        <v>6183</v>
      </c>
      <c r="I35" s="306">
        <v>1974</v>
      </c>
      <c r="J35" s="62"/>
      <c r="K35" s="10"/>
      <c r="L35" s="10"/>
    </row>
    <row r="36" spans="1:12" s="57" customFormat="1" ht="59.25" customHeight="1" x14ac:dyDescent="0.2">
      <c r="A36" s="10" t="s">
        <v>1805</v>
      </c>
      <c r="B36" s="10" t="s">
        <v>3254</v>
      </c>
      <c r="C36" s="1407" t="s">
        <v>5677</v>
      </c>
      <c r="D36" s="1408"/>
      <c r="E36" s="12"/>
      <c r="F36" s="12"/>
      <c r="G36" s="12"/>
      <c r="H36" s="306" t="s">
        <v>6606</v>
      </c>
      <c r="I36" s="306">
        <v>1994</v>
      </c>
      <c r="J36" s="62"/>
      <c r="K36" s="188" t="s">
        <v>8191</v>
      </c>
      <c r="L36" s="188" t="s">
        <v>8191</v>
      </c>
    </row>
    <row r="37" spans="1:12" s="57" customFormat="1" ht="33.75" x14ac:dyDescent="0.2">
      <c r="A37" s="10" t="s">
        <v>1806</v>
      </c>
      <c r="B37" s="10" t="s">
        <v>3255</v>
      </c>
      <c r="C37" s="1407" t="s">
        <v>9715</v>
      </c>
      <c r="D37" s="1408"/>
      <c r="E37" s="12"/>
      <c r="F37" s="12"/>
      <c r="G37" s="12" t="s">
        <v>2152</v>
      </c>
      <c r="H37" s="306">
        <v>2403</v>
      </c>
      <c r="I37" s="306">
        <v>2002</v>
      </c>
      <c r="J37" s="62"/>
      <c r="K37" s="10" t="s">
        <v>486</v>
      </c>
      <c r="L37" s="10" t="s">
        <v>486</v>
      </c>
    </row>
    <row r="38" spans="1:12" ht="36.75" customHeight="1" x14ac:dyDescent="0.2">
      <c r="A38" s="10" t="s">
        <v>1807</v>
      </c>
      <c r="B38" s="11" t="s">
        <v>4160</v>
      </c>
      <c r="C38" s="1399" t="s">
        <v>9716</v>
      </c>
      <c r="D38" s="1400"/>
      <c r="E38" s="12"/>
      <c r="F38" s="345" t="s">
        <v>4044</v>
      </c>
      <c r="G38" s="8" t="s">
        <v>6185</v>
      </c>
      <c r="H38" s="288" t="s">
        <v>6184</v>
      </c>
      <c r="I38" s="288">
        <v>1975</v>
      </c>
      <c r="J38" s="20"/>
      <c r="K38" s="251" t="s">
        <v>8074</v>
      </c>
      <c r="L38" s="642" t="s">
        <v>10789</v>
      </c>
    </row>
    <row r="39" spans="1:12" ht="35.25" customHeight="1" x14ac:dyDescent="0.2">
      <c r="A39" s="10" t="s">
        <v>1808</v>
      </c>
      <c r="B39" s="11" t="s">
        <v>4163</v>
      </c>
      <c r="C39" s="1399" t="s">
        <v>9716</v>
      </c>
      <c r="D39" s="1400"/>
      <c r="E39" s="12"/>
      <c r="F39" s="345" t="s">
        <v>4028</v>
      </c>
      <c r="G39" s="8" t="s">
        <v>181</v>
      </c>
      <c r="H39" s="288"/>
      <c r="I39" s="288">
        <v>1977</v>
      </c>
      <c r="J39" s="20"/>
      <c r="K39" s="251" t="s">
        <v>8074</v>
      </c>
      <c r="L39" s="642" t="s">
        <v>10789</v>
      </c>
    </row>
    <row r="40" spans="1:12" ht="37.5" customHeight="1" x14ac:dyDescent="0.2">
      <c r="A40" s="10" t="s">
        <v>1809</v>
      </c>
      <c r="B40" s="11" t="s">
        <v>4162</v>
      </c>
      <c r="C40" s="1399" t="s">
        <v>9716</v>
      </c>
      <c r="D40" s="1400"/>
      <c r="E40" s="12"/>
      <c r="F40" s="345" t="s">
        <v>4095</v>
      </c>
      <c r="G40" s="8" t="s">
        <v>181</v>
      </c>
      <c r="H40" s="288"/>
      <c r="I40" s="288">
        <v>1977</v>
      </c>
      <c r="J40" s="20"/>
      <c r="K40" s="251" t="s">
        <v>8074</v>
      </c>
      <c r="L40" s="642" t="s">
        <v>10789</v>
      </c>
    </row>
    <row r="41" spans="1:12" ht="37.5" customHeight="1" x14ac:dyDescent="0.2">
      <c r="A41" s="10" t="s">
        <v>1810</v>
      </c>
      <c r="B41" s="11" t="s">
        <v>3154</v>
      </c>
      <c r="C41" s="1399" t="s">
        <v>9716</v>
      </c>
      <c r="D41" s="1400"/>
      <c r="E41" s="12"/>
      <c r="F41" s="345" t="s">
        <v>4040</v>
      </c>
      <c r="G41" s="8" t="s">
        <v>181</v>
      </c>
      <c r="H41" s="288" t="s">
        <v>3192</v>
      </c>
      <c r="I41" s="288">
        <v>1977</v>
      </c>
      <c r="J41" s="20"/>
      <c r="K41" s="251" t="s">
        <v>8074</v>
      </c>
      <c r="L41" s="642" t="s">
        <v>10789</v>
      </c>
    </row>
    <row r="42" spans="1:12" ht="22.5" x14ac:dyDescent="0.2">
      <c r="A42" s="10" t="s">
        <v>1811</v>
      </c>
      <c r="B42" s="11" t="s">
        <v>3153</v>
      </c>
      <c r="C42" s="1399" t="s">
        <v>9716</v>
      </c>
      <c r="D42" s="1400"/>
      <c r="E42" s="12"/>
      <c r="F42" s="345" t="s">
        <v>4041</v>
      </c>
      <c r="G42" s="8" t="s">
        <v>3156</v>
      </c>
      <c r="H42" s="288" t="s">
        <v>6186</v>
      </c>
      <c r="I42" s="288">
        <v>1989</v>
      </c>
      <c r="J42" s="20"/>
      <c r="K42" s="251" t="s">
        <v>8074</v>
      </c>
      <c r="L42" s="642" t="s">
        <v>10789</v>
      </c>
    </row>
    <row r="43" spans="1:12" ht="22.5" x14ac:dyDescent="0.2">
      <c r="A43" s="10" t="s">
        <v>1812</v>
      </c>
      <c r="B43" s="11" t="s">
        <v>2453</v>
      </c>
      <c r="C43" s="1399" t="s">
        <v>9716</v>
      </c>
      <c r="D43" s="1400"/>
      <c r="E43" s="12"/>
      <c r="F43" s="345" t="s">
        <v>4043</v>
      </c>
      <c r="G43" s="8" t="s">
        <v>6188</v>
      </c>
      <c r="H43" s="288" t="s">
        <v>6187</v>
      </c>
      <c r="I43" s="288">
        <v>1989</v>
      </c>
      <c r="J43" s="20"/>
      <c r="K43" s="251" t="s">
        <v>8074</v>
      </c>
      <c r="L43" s="642" t="s">
        <v>10789</v>
      </c>
    </row>
    <row r="44" spans="1:12" ht="33" customHeight="1" x14ac:dyDescent="0.2">
      <c r="A44" s="10" t="s">
        <v>1813</v>
      </c>
      <c r="B44" s="11" t="s">
        <v>2454</v>
      </c>
      <c r="C44" s="1399" t="s">
        <v>9716</v>
      </c>
      <c r="D44" s="1400"/>
      <c r="E44" s="12"/>
      <c r="F44" s="345" t="s">
        <v>4033</v>
      </c>
      <c r="G44" s="8" t="s">
        <v>6188</v>
      </c>
      <c r="H44" s="288" t="s">
        <v>6189</v>
      </c>
      <c r="I44" s="288">
        <v>1989</v>
      </c>
      <c r="J44" s="20"/>
      <c r="K44" s="251" t="s">
        <v>8074</v>
      </c>
      <c r="L44" s="642" t="s">
        <v>10789</v>
      </c>
    </row>
    <row r="45" spans="1:12" ht="34.5" customHeight="1" x14ac:dyDescent="0.2">
      <c r="A45" s="10" t="s">
        <v>1814</v>
      </c>
      <c r="B45" s="11" t="s">
        <v>4159</v>
      </c>
      <c r="C45" s="1399" t="s">
        <v>9716</v>
      </c>
      <c r="D45" s="1400"/>
      <c r="E45" s="12"/>
      <c r="F45" s="345" t="s">
        <v>4042</v>
      </c>
      <c r="G45" s="8" t="s">
        <v>6191</v>
      </c>
      <c r="H45" s="288" t="s">
        <v>6190</v>
      </c>
      <c r="I45" s="288">
        <v>1989</v>
      </c>
      <c r="J45" s="20"/>
      <c r="K45" s="251" t="s">
        <v>8074</v>
      </c>
      <c r="L45" s="642" t="s">
        <v>10789</v>
      </c>
    </row>
    <row r="46" spans="1:12" ht="33" customHeight="1" x14ac:dyDescent="0.2">
      <c r="A46" s="10" t="s">
        <v>1815</v>
      </c>
      <c r="B46" s="11" t="s">
        <v>2455</v>
      </c>
      <c r="C46" s="1399" t="s">
        <v>9716</v>
      </c>
      <c r="D46" s="1400"/>
      <c r="E46" s="12"/>
      <c r="F46" s="345" t="s">
        <v>4030</v>
      </c>
      <c r="G46" s="8" t="s">
        <v>6193</v>
      </c>
      <c r="H46" s="288" t="s">
        <v>6192</v>
      </c>
      <c r="I46" s="288">
        <v>1989</v>
      </c>
      <c r="J46" s="20"/>
      <c r="K46" s="251" t="s">
        <v>8074</v>
      </c>
      <c r="L46" s="642" t="s">
        <v>10789</v>
      </c>
    </row>
    <row r="47" spans="1:12" ht="33" customHeight="1" x14ac:dyDescent="0.2">
      <c r="A47" s="10" t="s">
        <v>1816</v>
      </c>
      <c r="B47" s="11" t="s">
        <v>2456</v>
      </c>
      <c r="C47" s="1399" t="s">
        <v>9716</v>
      </c>
      <c r="D47" s="1400"/>
      <c r="E47" s="12"/>
      <c r="F47" s="345" t="s">
        <v>4034</v>
      </c>
      <c r="G47" s="8" t="s">
        <v>6195</v>
      </c>
      <c r="H47" s="288" t="s">
        <v>6194</v>
      </c>
      <c r="I47" s="288">
        <v>1989</v>
      </c>
      <c r="J47" s="20"/>
      <c r="K47" s="251" t="s">
        <v>8074</v>
      </c>
      <c r="L47" s="642" t="s">
        <v>10789</v>
      </c>
    </row>
    <row r="48" spans="1:12" ht="34.5" customHeight="1" x14ac:dyDescent="0.2">
      <c r="A48" s="10" t="s">
        <v>1817</v>
      </c>
      <c r="B48" s="11" t="s">
        <v>2457</v>
      </c>
      <c r="C48" s="1399" t="s">
        <v>9716</v>
      </c>
      <c r="D48" s="1400"/>
      <c r="E48" s="12"/>
      <c r="F48" s="345" t="s">
        <v>4029</v>
      </c>
      <c r="G48" s="651" t="s">
        <v>6197</v>
      </c>
      <c r="H48" s="288" t="s">
        <v>6196</v>
      </c>
      <c r="I48" s="288">
        <v>1989</v>
      </c>
      <c r="J48" s="20"/>
      <c r="K48" s="251" t="s">
        <v>8074</v>
      </c>
      <c r="L48" s="642" t="s">
        <v>10789</v>
      </c>
    </row>
    <row r="49" spans="1:12" ht="33" customHeight="1" x14ac:dyDescent="0.2">
      <c r="A49" s="10" t="s">
        <v>1818</v>
      </c>
      <c r="B49" s="11" t="s">
        <v>2458</v>
      </c>
      <c r="C49" s="1399" t="s">
        <v>9716</v>
      </c>
      <c r="D49" s="1400"/>
      <c r="E49" s="12"/>
      <c r="F49" s="345" t="s">
        <v>4036</v>
      </c>
      <c r="G49" s="8" t="s">
        <v>6201</v>
      </c>
      <c r="H49" s="288" t="s">
        <v>6200</v>
      </c>
      <c r="I49" s="288">
        <v>1989</v>
      </c>
      <c r="J49" s="20"/>
      <c r="K49" s="251" t="s">
        <v>8074</v>
      </c>
      <c r="L49" s="642" t="s">
        <v>10789</v>
      </c>
    </row>
    <row r="50" spans="1:12" ht="32.25" customHeight="1" x14ac:dyDescent="0.2">
      <c r="A50" s="10" t="s">
        <v>1819</v>
      </c>
      <c r="B50" s="11" t="s">
        <v>2459</v>
      </c>
      <c r="C50" s="1399" t="s">
        <v>9716</v>
      </c>
      <c r="D50" s="1400"/>
      <c r="E50" s="12"/>
      <c r="F50" s="345" t="s">
        <v>4035</v>
      </c>
      <c r="G50" s="8" t="s">
        <v>2155</v>
      </c>
      <c r="H50" s="288" t="s">
        <v>3193</v>
      </c>
      <c r="I50" s="288">
        <v>1989</v>
      </c>
      <c r="J50" s="20"/>
      <c r="K50" s="251" t="s">
        <v>8074</v>
      </c>
      <c r="L50" s="642" t="s">
        <v>10789</v>
      </c>
    </row>
    <row r="51" spans="1:12" ht="22.5" x14ac:dyDescent="0.2">
      <c r="A51" s="10" t="s">
        <v>1820</v>
      </c>
      <c r="B51" s="11" t="s">
        <v>2460</v>
      </c>
      <c r="C51" s="1399" t="s">
        <v>9716</v>
      </c>
      <c r="D51" s="1400"/>
      <c r="E51" s="12"/>
      <c r="F51" s="345" t="s">
        <v>4045</v>
      </c>
      <c r="G51" s="8" t="s">
        <v>6199</v>
      </c>
      <c r="H51" s="288" t="s">
        <v>6198</v>
      </c>
      <c r="I51" s="288">
        <v>1989</v>
      </c>
      <c r="J51" s="20"/>
      <c r="K51" s="251" t="s">
        <v>8074</v>
      </c>
      <c r="L51" s="642" t="s">
        <v>10789</v>
      </c>
    </row>
    <row r="52" spans="1:12" ht="35.25" customHeight="1" x14ac:dyDescent="0.2">
      <c r="A52" s="10" t="s">
        <v>1821</v>
      </c>
      <c r="B52" s="11" t="s">
        <v>4161</v>
      </c>
      <c r="C52" s="1399" t="s">
        <v>9716</v>
      </c>
      <c r="D52" s="1400"/>
      <c r="E52" s="12"/>
      <c r="F52" s="345" t="s">
        <v>4037</v>
      </c>
      <c r="G52" s="8" t="s">
        <v>2461</v>
      </c>
      <c r="H52" s="288" t="s">
        <v>3194</v>
      </c>
      <c r="I52" s="288">
        <v>1989</v>
      </c>
      <c r="J52" s="20"/>
      <c r="K52" s="251" t="s">
        <v>8074</v>
      </c>
      <c r="L52" s="642" t="s">
        <v>10789</v>
      </c>
    </row>
    <row r="53" spans="1:12" ht="33" customHeight="1" x14ac:dyDescent="0.2">
      <c r="A53" s="10" t="s">
        <v>1822</v>
      </c>
      <c r="B53" s="11" t="s">
        <v>3155</v>
      </c>
      <c r="C53" s="1399" t="s">
        <v>9716</v>
      </c>
      <c r="D53" s="1400"/>
      <c r="E53" s="12"/>
      <c r="F53" s="345" t="s">
        <v>4046</v>
      </c>
      <c r="G53" s="8" t="s">
        <v>181</v>
      </c>
      <c r="H53" s="288" t="s">
        <v>4801</v>
      </c>
      <c r="I53" s="288">
        <v>1989</v>
      </c>
      <c r="J53" s="20"/>
      <c r="K53" s="251" t="s">
        <v>8074</v>
      </c>
      <c r="L53" s="642" t="s">
        <v>10789</v>
      </c>
    </row>
    <row r="54" spans="1:12" ht="36" customHeight="1" x14ac:dyDescent="0.2">
      <c r="A54" s="10" t="s">
        <v>1823</v>
      </c>
      <c r="B54" s="11" t="s">
        <v>2710</v>
      </c>
      <c r="C54" s="1399" t="s">
        <v>9716</v>
      </c>
      <c r="D54" s="1400"/>
      <c r="E54" s="12"/>
      <c r="F54" s="345" t="s">
        <v>4017</v>
      </c>
      <c r="G54" s="8" t="s">
        <v>2879</v>
      </c>
      <c r="H54" s="312">
        <v>346.4</v>
      </c>
      <c r="I54" s="288" t="s">
        <v>2711</v>
      </c>
      <c r="J54" s="20"/>
      <c r="K54" s="251" t="s">
        <v>8074</v>
      </c>
      <c r="L54" s="642" t="s">
        <v>10789</v>
      </c>
    </row>
    <row r="55" spans="1:12" ht="36.75" customHeight="1" x14ac:dyDescent="0.2">
      <c r="A55" s="10" t="s">
        <v>1824</v>
      </c>
      <c r="B55" s="11" t="s">
        <v>2710</v>
      </c>
      <c r="C55" s="1399" t="s">
        <v>9716</v>
      </c>
      <c r="D55" s="1400"/>
      <c r="E55" s="12"/>
      <c r="F55" s="345" t="s">
        <v>4016</v>
      </c>
      <c r="G55" s="8" t="s">
        <v>2879</v>
      </c>
      <c r="H55" s="312">
        <v>366</v>
      </c>
      <c r="I55" s="288" t="s">
        <v>2711</v>
      </c>
      <c r="J55" s="20"/>
      <c r="K55" s="251" t="s">
        <v>8074</v>
      </c>
      <c r="L55" s="642" t="s">
        <v>10789</v>
      </c>
    </row>
    <row r="56" spans="1:12" ht="38.25" customHeight="1" x14ac:dyDescent="0.2">
      <c r="A56" s="10" t="s">
        <v>1825</v>
      </c>
      <c r="B56" s="11" t="s">
        <v>2710</v>
      </c>
      <c r="C56" s="1399" t="s">
        <v>9716</v>
      </c>
      <c r="D56" s="1400"/>
      <c r="E56" s="12"/>
      <c r="F56" s="345" t="s">
        <v>4015</v>
      </c>
      <c r="G56" s="8" t="s">
        <v>2880</v>
      </c>
      <c r="H56" s="312">
        <v>133.5</v>
      </c>
      <c r="I56" s="288" t="s">
        <v>2711</v>
      </c>
      <c r="J56" s="20"/>
      <c r="K56" s="251" t="s">
        <v>8074</v>
      </c>
      <c r="L56" s="642" t="s">
        <v>10789</v>
      </c>
    </row>
    <row r="57" spans="1:12" s="5" customFormat="1" ht="22.5" x14ac:dyDescent="0.2">
      <c r="A57" s="10" t="s">
        <v>1826</v>
      </c>
      <c r="B57" s="10" t="s">
        <v>3695</v>
      </c>
      <c r="C57" s="1407" t="s">
        <v>5549</v>
      </c>
      <c r="D57" s="1408"/>
      <c r="E57" s="12"/>
      <c r="F57" s="12"/>
      <c r="G57" s="12" t="s">
        <v>2156</v>
      </c>
      <c r="H57" s="306"/>
      <c r="I57" s="306">
        <v>1985</v>
      </c>
      <c r="J57" s="62"/>
      <c r="K57" s="10" t="s">
        <v>10790</v>
      </c>
      <c r="L57" s="10" t="s">
        <v>10790</v>
      </c>
    </row>
    <row r="58" spans="1:12" s="5" customFormat="1" ht="22.5" x14ac:dyDescent="0.2">
      <c r="A58" s="10" t="s">
        <v>1827</v>
      </c>
      <c r="B58" s="10" t="s">
        <v>3235</v>
      </c>
      <c r="C58" s="1407" t="s">
        <v>5549</v>
      </c>
      <c r="D58" s="1408"/>
      <c r="E58" s="12"/>
      <c r="F58" s="12"/>
      <c r="G58" s="12"/>
      <c r="H58" s="306"/>
      <c r="I58" s="306">
        <v>1992</v>
      </c>
      <c r="J58" s="62"/>
      <c r="K58" s="10" t="s">
        <v>10790</v>
      </c>
      <c r="L58" s="10" t="s">
        <v>10790</v>
      </c>
    </row>
    <row r="59" spans="1:12" ht="70.5" customHeight="1" x14ac:dyDescent="0.2">
      <c r="A59" s="10" t="s">
        <v>1828</v>
      </c>
      <c r="B59" s="10" t="s">
        <v>317</v>
      </c>
      <c r="C59" s="1407" t="s">
        <v>5435</v>
      </c>
      <c r="D59" s="1408"/>
      <c r="E59" s="12"/>
      <c r="F59" s="12"/>
      <c r="G59" s="12" t="s">
        <v>2462</v>
      </c>
      <c r="H59" s="306">
        <v>5400</v>
      </c>
      <c r="I59" s="306">
        <v>1967</v>
      </c>
      <c r="J59" s="62"/>
      <c r="K59" s="642" t="s">
        <v>3693</v>
      </c>
      <c r="L59" s="642" t="s">
        <v>3693</v>
      </c>
    </row>
    <row r="60" spans="1:12" s="177" customFormat="1" ht="72.75" customHeight="1" x14ac:dyDescent="0.2">
      <c r="A60" s="10" t="s">
        <v>1829</v>
      </c>
      <c r="B60" s="10" t="s">
        <v>3601</v>
      </c>
      <c r="C60" s="1407" t="s">
        <v>9706</v>
      </c>
      <c r="D60" s="1408"/>
      <c r="E60" s="12"/>
      <c r="F60" s="12"/>
      <c r="G60" s="12" t="s">
        <v>2462</v>
      </c>
      <c r="H60" s="306">
        <v>1830</v>
      </c>
      <c r="I60" s="306">
        <v>1969</v>
      </c>
      <c r="J60" s="62"/>
      <c r="K60" s="642" t="s">
        <v>3693</v>
      </c>
      <c r="L60" s="642" t="s">
        <v>3693</v>
      </c>
    </row>
    <row r="61" spans="1:12" ht="33" customHeight="1" x14ac:dyDescent="0.2">
      <c r="A61" s="10" t="s">
        <v>1830</v>
      </c>
      <c r="B61" s="10" t="s">
        <v>3246</v>
      </c>
      <c r="C61" s="1407" t="s">
        <v>5438</v>
      </c>
      <c r="D61" s="1408"/>
      <c r="E61" s="12"/>
      <c r="F61" s="345" t="s">
        <v>4022</v>
      </c>
      <c r="G61" s="12" t="s">
        <v>1987</v>
      </c>
      <c r="H61" s="306" t="s">
        <v>3195</v>
      </c>
      <c r="I61" s="306">
        <v>1972</v>
      </c>
      <c r="J61" s="62"/>
      <c r="K61" s="8" t="s">
        <v>8074</v>
      </c>
      <c r="L61" s="8" t="s">
        <v>12013</v>
      </c>
    </row>
    <row r="62" spans="1:12" ht="24.75" customHeight="1" x14ac:dyDescent="0.2">
      <c r="A62" s="10" t="s">
        <v>1831</v>
      </c>
      <c r="B62" s="10" t="s">
        <v>3858</v>
      </c>
      <c r="C62" s="1407" t="s">
        <v>5438</v>
      </c>
      <c r="D62" s="1408"/>
      <c r="E62" s="12"/>
      <c r="F62" s="345" t="s">
        <v>3935</v>
      </c>
      <c r="G62" s="12" t="s">
        <v>57</v>
      </c>
      <c r="H62" s="306">
        <v>42.7</v>
      </c>
      <c r="I62" s="306">
        <v>1970</v>
      </c>
      <c r="J62" s="62"/>
      <c r="K62" s="8" t="s">
        <v>8074</v>
      </c>
      <c r="L62" s="8" t="s">
        <v>12013</v>
      </c>
    </row>
    <row r="63" spans="1:12" ht="36" customHeight="1" x14ac:dyDescent="0.2">
      <c r="A63" s="10" t="s">
        <v>1832</v>
      </c>
      <c r="B63" s="10" t="s">
        <v>3247</v>
      </c>
      <c r="C63" s="1407" t="s">
        <v>5438</v>
      </c>
      <c r="D63" s="1408"/>
      <c r="E63" s="12"/>
      <c r="F63" s="345" t="s">
        <v>3936</v>
      </c>
      <c r="G63" s="8" t="s">
        <v>2156</v>
      </c>
      <c r="H63" s="288" t="s">
        <v>3196</v>
      </c>
      <c r="I63" s="306">
        <v>1965</v>
      </c>
      <c r="J63" s="20"/>
      <c r="K63" s="8" t="s">
        <v>9605</v>
      </c>
      <c r="L63" s="642" t="s">
        <v>12012</v>
      </c>
    </row>
    <row r="64" spans="1:12" ht="36.75" customHeight="1" x14ac:dyDescent="0.2">
      <c r="A64" s="10" t="s">
        <v>1833</v>
      </c>
      <c r="B64" s="10" t="s">
        <v>9326</v>
      </c>
      <c r="C64" s="1407" t="s">
        <v>5438</v>
      </c>
      <c r="D64" s="1408"/>
      <c r="E64" s="12"/>
      <c r="F64" s="345" t="s">
        <v>3925</v>
      </c>
      <c r="G64" s="8" t="s">
        <v>2156</v>
      </c>
      <c r="H64" s="288" t="s">
        <v>3200</v>
      </c>
      <c r="I64" s="288">
        <v>1970</v>
      </c>
      <c r="J64" s="20"/>
      <c r="K64" s="8" t="s">
        <v>13820</v>
      </c>
      <c r="L64" s="8" t="s">
        <v>13861</v>
      </c>
    </row>
    <row r="65" spans="1:12" ht="37.5" customHeight="1" x14ac:dyDescent="0.2">
      <c r="A65" s="10" t="s">
        <v>1834</v>
      </c>
      <c r="B65" s="10" t="s">
        <v>4205</v>
      </c>
      <c r="C65" s="1407" t="s">
        <v>5438</v>
      </c>
      <c r="D65" s="1408"/>
      <c r="E65" s="12"/>
      <c r="F65" s="345" t="s">
        <v>3934</v>
      </c>
      <c r="G65" s="8" t="s">
        <v>1987</v>
      </c>
      <c r="H65" s="288" t="s">
        <v>3197</v>
      </c>
      <c r="I65" s="288">
        <v>1972</v>
      </c>
      <c r="J65" s="20"/>
      <c r="K65" s="802" t="s">
        <v>13820</v>
      </c>
      <c r="L65" s="802" t="s">
        <v>13861</v>
      </c>
    </row>
    <row r="66" spans="1:12" ht="37.5" customHeight="1" x14ac:dyDescent="0.2">
      <c r="A66" s="10" t="s">
        <v>1835</v>
      </c>
      <c r="B66" s="10" t="s">
        <v>9327</v>
      </c>
      <c r="C66" s="1407" t="s">
        <v>5438</v>
      </c>
      <c r="D66" s="1408"/>
      <c r="E66" s="12"/>
      <c r="F66" s="345" t="s">
        <v>3910</v>
      </c>
      <c r="G66" s="8" t="s">
        <v>1987</v>
      </c>
      <c r="H66" s="288" t="s">
        <v>3859</v>
      </c>
      <c r="I66" s="288">
        <v>1978</v>
      </c>
      <c r="J66" s="20"/>
      <c r="K66" s="8" t="s">
        <v>13820</v>
      </c>
      <c r="L66" s="802" t="s">
        <v>13861</v>
      </c>
    </row>
    <row r="67" spans="1:12" ht="38.25" customHeight="1" x14ac:dyDescent="0.2">
      <c r="A67" s="10" t="s">
        <v>1836</v>
      </c>
      <c r="B67" s="10" t="s">
        <v>4067</v>
      </c>
      <c r="C67" s="1407" t="s">
        <v>5438</v>
      </c>
      <c r="D67" s="1408"/>
      <c r="E67" s="12"/>
      <c r="F67" s="345" t="s">
        <v>3918</v>
      </c>
      <c r="G67" s="8" t="s">
        <v>2156</v>
      </c>
      <c r="H67" s="288" t="s">
        <v>3198</v>
      </c>
      <c r="I67" s="288">
        <v>1968</v>
      </c>
      <c r="J67" s="20"/>
      <c r="K67" s="8" t="s">
        <v>9605</v>
      </c>
      <c r="L67" s="642" t="s">
        <v>12012</v>
      </c>
    </row>
    <row r="68" spans="1:12" ht="38.25" customHeight="1" x14ac:dyDescent="0.2">
      <c r="A68" s="10" t="s">
        <v>1837</v>
      </c>
      <c r="B68" s="10" t="s">
        <v>3845</v>
      </c>
      <c r="C68" s="1407" t="s">
        <v>5438</v>
      </c>
      <c r="D68" s="1408"/>
      <c r="E68" s="12"/>
      <c r="F68" s="345" t="s">
        <v>3912</v>
      </c>
      <c r="G68" s="8" t="s">
        <v>2156</v>
      </c>
      <c r="H68" s="288" t="s">
        <v>3199</v>
      </c>
      <c r="I68" s="288">
        <v>1972</v>
      </c>
      <c r="J68" s="20"/>
      <c r="K68" s="8" t="s">
        <v>13820</v>
      </c>
      <c r="L68" s="8" t="s">
        <v>10788</v>
      </c>
    </row>
    <row r="69" spans="1:12" s="801" customFormat="1" ht="38.25" customHeight="1" x14ac:dyDescent="0.2">
      <c r="A69" s="807" t="s">
        <v>13862</v>
      </c>
      <c r="B69" s="807" t="s">
        <v>13863</v>
      </c>
      <c r="C69" s="1407" t="s">
        <v>13864</v>
      </c>
      <c r="D69" s="1408"/>
      <c r="E69" s="804"/>
      <c r="F69" s="345"/>
      <c r="G69" s="802"/>
      <c r="H69" s="817" t="s">
        <v>13865</v>
      </c>
      <c r="I69" s="817" t="s">
        <v>3757</v>
      </c>
      <c r="J69" s="805"/>
      <c r="K69" s="802" t="s">
        <v>13820</v>
      </c>
      <c r="L69" s="802" t="s">
        <v>13861</v>
      </c>
    </row>
    <row r="70" spans="1:12" s="801" customFormat="1" ht="38.25" customHeight="1" x14ac:dyDescent="0.2">
      <c r="A70" s="807" t="s">
        <v>13866</v>
      </c>
      <c r="B70" s="807" t="s">
        <v>13867</v>
      </c>
      <c r="C70" s="1407" t="s">
        <v>14119</v>
      </c>
      <c r="D70" s="1408"/>
      <c r="E70" s="804"/>
      <c r="F70" s="345" t="s">
        <v>14118</v>
      </c>
      <c r="G70" s="802"/>
      <c r="H70" s="817" t="s">
        <v>13868</v>
      </c>
      <c r="I70" s="817" t="s">
        <v>3757</v>
      </c>
      <c r="J70" s="805"/>
      <c r="K70" s="802" t="s">
        <v>13820</v>
      </c>
      <c r="L70" s="802" t="s">
        <v>13861</v>
      </c>
    </row>
    <row r="71" spans="1:12" ht="41.25" customHeight="1" x14ac:dyDescent="0.2">
      <c r="A71" s="1412" t="s">
        <v>1838</v>
      </c>
      <c r="B71" s="1412" t="s">
        <v>4066</v>
      </c>
      <c r="C71" s="1409" t="s">
        <v>5438</v>
      </c>
      <c r="D71" s="1410"/>
      <c r="E71" s="12"/>
      <c r="F71" s="345" t="s">
        <v>3919</v>
      </c>
      <c r="G71" s="8" t="s">
        <v>2156</v>
      </c>
      <c r="H71" s="288" t="s">
        <v>3201</v>
      </c>
      <c r="I71" s="288">
        <v>1966</v>
      </c>
      <c r="J71" s="20"/>
      <c r="K71" s="8" t="s">
        <v>9605</v>
      </c>
      <c r="L71" s="642" t="s">
        <v>12012</v>
      </c>
    </row>
    <row r="72" spans="1:12" s="5" customFormat="1" ht="37.5" customHeight="1" x14ac:dyDescent="0.2">
      <c r="A72" s="1413"/>
      <c r="B72" s="1413"/>
      <c r="C72" s="1451"/>
      <c r="D72" s="1452"/>
      <c r="E72" s="1465" t="s">
        <v>3262</v>
      </c>
      <c r="F72" s="1466"/>
      <c r="G72" s="12"/>
      <c r="H72" s="306"/>
      <c r="I72" s="306"/>
      <c r="J72" s="62"/>
      <c r="K72" s="12" t="s">
        <v>9605</v>
      </c>
      <c r="L72" s="642" t="s">
        <v>12012</v>
      </c>
    </row>
    <row r="73" spans="1:12" ht="38.25" customHeight="1" x14ac:dyDescent="0.2">
      <c r="A73" s="10" t="s">
        <v>1839</v>
      </c>
      <c r="B73" s="10" t="s">
        <v>3248</v>
      </c>
      <c r="C73" s="1407" t="s">
        <v>5438</v>
      </c>
      <c r="D73" s="1408"/>
      <c r="E73" s="12"/>
      <c r="F73" s="345" t="s">
        <v>3933</v>
      </c>
      <c r="G73" s="8" t="s">
        <v>2156</v>
      </c>
      <c r="H73" s="288" t="s">
        <v>3202</v>
      </c>
      <c r="I73" s="288">
        <v>1984</v>
      </c>
      <c r="J73" s="20"/>
      <c r="K73" s="8" t="s">
        <v>13820</v>
      </c>
      <c r="L73" s="8" t="s">
        <v>13861</v>
      </c>
    </row>
    <row r="74" spans="1:12" s="5" customFormat="1" ht="36.75" customHeight="1" x14ac:dyDescent="0.2">
      <c r="A74" s="10" t="s">
        <v>1840</v>
      </c>
      <c r="B74" s="10" t="s">
        <v>3846</v>
      </c>
      <c r="C74" s="1407" t="s">
        <v>5438</v>
      </c>
      <c r="D74" s="1408"/>
      <c r="E74" s="12"/>
      <c r="F74" s="345" t="s">
        <v>3940</v>
      </c>
      <c r="G74" s="12" t="s">
        <v>181</v>
      </c>
      <c r="H74" s="306" t="s">
        <v>3203</v>
      </c>
      <c r="I74" s="306">
        <v>1978</v>
      </c>
      <c r="J74" s="62"/>
      <c r="K74" s="8" t="s">
        <v>9605</v>
      </c>
      <c r="L74" s="642" t="s">
        <v>12012</v>
      </c>
    </row>
    <row r="75" spans="1:12" ht="38.25" customHeight="1" x14ac:dyDescent="0.2">
      <c r="A75" s="10" t="s">
        <v>1841</v>
      </c>
      <c r="B75" s="10" t="s">
        <v>3847</v>
      </c>
      <c r="C75" s="1407" t="s">
        <v>5438</v>
      </c>
      <c r="D75" s="1408"/>
      <c r="E75" s="12"/>
      <c r="F75" s="345" t="s">
        <v>3920</v>
      </c>
      <c r="G75" s="8" t="s">
        <v>2156</v>
      </c>
      <c r="H75" s="288" t="s">
        <v>3205</v>
      </c>
      <c r="I75" s="288">
        <v>1978</v>
      </c>
      <c r="J75" s="62"/>
      <c r="K75" s="8" t="s">
        <v>9605</v>
      </c>
      <c r="L75" s="642" t="s">
        <v>12012</v>
      </c>
    </row>
    <row r="76" spans="1:12" ht="37.5" customHeight="1" x14ac:dyDescent="0.2">
      <c r="A76" s="10" t="s">
        <v>1842</v>
      </c>
      <c r="B76" s="10" t="s">
        <v>3848</v>
      </c>
      <c r="C76" s="1407" t="s">
        <v>5438</v>
      </c>
      <c r="D76" s="1408"/>
      <c r="E76" s="12"/>
      <c r="F76" s="345" t="s">
        <v>4070</v>
      </c>
      <c r="G76" s="8" t="s">
        <v>2156</v>
      </c>
      <c r="H76" s="288" t="s">
        <v>3204</v>
      </c>
      <c r="I76" s="288">
        <v>1989</v>
      </c>
      <c r="J76" s="62"/>
      <c r="K76" s="8" t="s">
        <v>9605</v>
      </c>
      <c r="L76" s="642" t="s">
        <v>12012</v>
      </c>
    </row>
    <row r="77" spans="1:12" ht="36.75" customHeight="1" x14ac:dyDescent="0.2">
      <c r="A77" s="10" t="s">
        <v>1843</v>
      </c>
      <c r="B77" s="10" t="s">
        <v>3849</v>
      </c>
      <c r="C77" s="1407" t="s">
        <v>5438</v>
      </c>
      <c r="D77" s="1408"/>
      <c r="E77" s="12"/>
      <c r="F77" s="345" t="s">
        <v>4069</v>
      </c>
      <c r="G77" s="8" t="s">
        <v>2156</v>
      </c>
      <c r="H77" s="288" t="s">
        <v>3206</v>
      </c>
      <c r="I77" s="288">
        <v>1993</v>
      </c>
      <c r="J77" s="62"/>
      <c r="K77" s="8" t="s">
        <v>9605</v>
      </c>
      <c r="L77" s="642" t="s">
        <v>12012</v>
      </c>
    </row>
    <row r="78" spans="1:12" s="5" customFormat="1" ht="28.5" customHeight="1" x14ac:dyDescent="0.2">
      <c r="A78" s="10" t="s">
        <v>1844</v>
      </c>
      <c r="B78" s="10" t="s">
        <v>3850</v>
      </c>
      <c r="C78" s="1407" t="s">
        <v>5438</v>
      </c>
      <c r="D78" s="1408"/>
      <c r="E78" s="12"/>
      <c r="F78" s="345" t="s">
        <v>3911</v>
      </c>
      <c r="G78" s="12" t="s">
        <v>181</v>
      </c>
      <c r="H78" s="306" t="s">
        <v>4217</v>
      </c>
      <c r="I78" s="306">
        <v>1993</v>
      </c>
      <c r="J78" s="62"/>
      <c r="K78" s="8" t="s">
        <v>8074</v>
      </c>
      <c r="L78" s="8" t="s">
        <v>12013</v>
      </c>
    </row>
    <row r="79" spans="1:12" ht="37.5" customHeight="1" x14ac:dyDescent="0.2">
      <c r="A79" s="10" t="s">
        <v>1845</v>
      </c>
      <c r="B79" s="10" t="s">
        <v>13869</v>
      </c>
      <c r="C79" s="1407" t="s">
        <v>5438</v>
      </c>
      <c r="D79" s="1408"/>
      <c r="E79" s="12"/>
      <c r="F79" s="8" t="s">
        <v>4024</v>
      </c>
      <c r="G79" s="8" t="s">
        <v>2156</v>
      </c>
      <c r="H79" s="288" t="s">
        <v>3207</v>
      </c>
      <c r="I79" s="288">
        <v>1993</v>
      </c>
      <c r="J79" s="20"/>
      <c r="K79" s="8" t="s">
        <v>13820</v>
      </c>
      <c r="L79" s="8" t="s">
        <v>13861</v>
      </c>
    </row>
    <row r="80" spans="1:12" ht="56.25" x14ac:dyDescent="0.2">
      <c r="A80" s="10" t="s">
        <v>1846</v>
      </c>
      <c r="B80" s="10" t="s">
        <v>3238</v>
      </c>
      <c r="C80" s="1407" t="s">
        <v>5435</v>
      </c>
      <c r="D80" s="1408"/>
      <c r="E80" s="12"/>
      <c r="F80" s="345" t="s">
        <v>3921</v>
      </c>
      <c r="G80" s="8" t="s">
        <v>2156</v>
      </c>
      <c r="H80" s="288" t="s">
        <v>3208</v>
      </c>
      <c r="I80" s="288">
        <v>1976</v>
      </c>
      <c r="J80" s="20"/>
      <c r="K80" s="8" t="s">
        <v>9605</v>
      </c>
      <c r="L80" s="642" t="s">
        <v>12012</v>
      </c>
    </row>
    <row r="81" spans="1:12" ht="56.25" x14ac:dyDescent="0.2">
      <c r="A81" s="10" t="s">
        <v>1847</v>
      </c>
      <c r="B81" s="10" t="s">
        <v>4026</v>
      </c>
      <c r="C81" s="1407" t="s">
        <v>5435</v>
      </c>
      <c r="D81" s="1408"/>
      <c r="E81" s="12"/>
      <c r="F81" s="345" t="s">
        <v>4025</v>
      </c>
      <c r="G81" s="8" t="s">
        <v>2156</v>
      </c>
      <c r="H81" s="288" t="s">
        <v>3209</v>
      </c>
      <c r="I81" s="288">
        <v>1976</v>
      </c>
      <c r="J81" s="20"/>
      <c r="K81" s="8" t="s">
        <v>9605</v>
      </c>
      <c r="L81" s="642" t="s">
        <v>12012</v>
      </c>
    </row>
    <row r="82" spans="1:12" ht="56.25" x14ac:dyDescent="0.2">
      <c r="A82" s="10" t="s">
        <v>1848</v>
      </c>
      <c r="B82" s="10" t="s">
        <v>3239</v>
      </c>
      <c r="C82" s="1407" t="s">
        <v>5435</v>
      </c>
      <c r="D82" s="1408"/>
      <c r="E82" s="12"/>
      <c r="F82" s="345" t="s">
        <v>4013</v>
      </c>
      <c r="G82" s="8" t="s">
        <v>2156</v>
      </c>
      <c r="H82" s="288" t="s">
        <v>3210</v>
      </c>
      <c r="I82" s="288">
        <v>1978</v>
      </c>
      <c r="J82" s="20"/>
      <c r="K82" s="8" t="s">
        <v>9605</v>
      </c>
      <c r="L82" s="642" t="s">
        <v>12012</v>
      </c>
    </row>
    <row r="83" spans="1:12" ht="38.25" customHeight="1" x14ac:dyDescent="0.2">
      <c r="A83" s="10" t="s">
        <v>2193</v>
      </c>
      <c r="B83" s="10" t="s">
        <v>3239</v>
      </c>
      <c r="C83" s="1407" t="s">
        <v>5435</v>
      </c>
      <c r="D83" s="1408"/>
      <c r="E83" s="12"/>
      <c r="F83" s="345" t="s">
        <v>3941</v>
      </c>
      <c r="G83" s="8" t="s">
        <v>2156</v>
      </c>
      <c r="H83" s="288" t="s">
        <v>3211</v>
      </c>
      <c r="I83" s="288">
        <v>1975</v>
      </c>
      <c r="J83" s="20"/>
      <c r="K83" s="8" t="s">
        <v>9605</v>
      </c>
      <c r="L83" s="642" t="s">
        <v>12012</v>
      </c>
    </row>
    <row r="84" spans="1:12" ht="36.75" customHeight="1" x14ac:dyDescent="0.2">
      <c r="A84" s="10" t="s">
        <v>2463</v>
      </c>
      <c r="B84" s="10" t="s">
        <v>3851</v>
      </c>
      <c r="C84" s="1407" t="s">
        <v>5435</v>
      </c>
      <c r="D84" s="1408"/>
      <c r="E84" s="12"/>
      <c r="F84" s="345" t="s">
        <v>4050</v>
      </c>
      <c r="G84" s="8" t="s">
        <v>1987</v>
      </c>
      <c r="H84" s="288" t="s">
        <v>3212</v>
      </c>
      <c r="I84" s="288">
        <v>1961</v>
      </c>
      <c r="J84" s="20"/>
      <c r="K84" s="8" t="s">
        <v>13820</v>
      </c>
      <c r="L84" s="8" t="s">
        <v>13861</v>
      </c>
    </row>
    <row r="85" spans="1:12" ht="36" customHeight="1" x14ac:dyDescent="0.2">
      <c r="A85" s="10" t="s">
        <v>2159</v>
      </c>
      <c r="B85" s="10" t="s">
        <v>3240</v>
      </c>
      <c r="C85" s="1407" t="s">
        <v>5435</v>
      </c>
      <c r="D85" s="1408"/>
      <c r="E85" s="12"/>
      <c r="F85" s="345" t="s">
        <v>4023</v>
      </c>
      <c r="G85" s="8" t="s">
        <v>181</v>
      </c>
      <c r="H85" s="288" t="s">
        <v>3213</v>
      </c>
      <c r="I85" s="288">
        <v>1983</v>
      </c>
      <c r="J85" s="20"/>
      <c r="K85" s="8" t="s">
        <v>13820</v>
      </c>
      <c r="L85" s="8" t="s">
        <v>13861</v>
      </c>
    </row>
    <row r="86" spans="1:12" ht="36" customHeight="1" x14ac:dyDescent="0.2">
      <c r="A86" s="11" t="s">
        <v>13239</v>
      </c>
      <c r="B86" s="746" t="s">
        <v>13240</v>
      </c>
      <c r="C86" s="1399" t="s">
        <v>5435</v>
      </c>
      <c r="D86" s="1400"/>
      <c r="E86" s="740"/>
      <c r="F86" s="740" t="s">
        <v>13241</v>
      </c>
      <c r="G86" s="740" t="s">
        <v>181</v>
      </c>
      <c r="H86" s="11" t="s">
        <v>13242</v>
      </c>
      <c r="I86" s="288" t="s">
        <v>484</v>
      </c>
      <c r="J86" s="20"/>
      <c r="K86" s="8" t="s">
        <v>13820</v>
      </c>
      <c r="L86" s="8" t="s">
        <v>13861</v>
      </c>
    </row>
    <row r="87" spans="1:12" s="5" customFormat="1" ht="35.25" customHeight="1" x14ac:dyDescent="0.2">
      <c r="A87" s="10" t="s">
        <v>2160</v>
      </c>
      <c r="B87" s="10" t="s">
        <v>3241</v>
      </c>
      <c r="C87" s="1407" t="s">
        <v>9705</v>
      </c>
      <c r="D87" s="1408"/>
      <c r="E87" s="12"/>
      <c r="F87" s="12"/>
      <c r="G87" s="12"/>
      <c r="H87" s="306"/>
      <c r="I87" s="306">
        <v>1972</v>
      </c>
      <c r="J87" s="62"/>
      <c r="K87" s="251" t="s">
        <v>8074</v>
      </c>
      <c r="L87" s="642" t="s">
        <v>10789</v>
      </c>
    </row>
    <row r="88" spans="1:12" ht="38.25" customHeight="1" x14ac:dyDescent="0.2">
      <c r="A88" s="803" t="s">
        <v>1849</v>
      </c>
      <c r="B88" s="803" t="s">
        <v>9328</v>
      </c>
      <c r="C88" s="1407" t="s">
        <v>5435</v>
      </c>
      <c r="D88" s="1408"/>
      <c r="E88" s="804"/>
      <c r="F88" s="804"/>
      <c r="G88" s="804"/>
      <c r="H88" s="306"/>
      <c r="I88" s="306">
        <v>1992</v>
      </c>
      <c r="J88" s="62"/>
      <c r="K88" s="802" t="s">
        <v>13820</v>
      </c>
      <c r="L88" s="802" t="s">
        <v>13861</v>
      </c>
    </row>
    <row r="89" spans="1:12" ht="35.25" customHeight="1" x14ac:dyDescent="0.2">
      <c r="A89" s="10" t="s">
        <v>1850</v>
      </c>
      <c r="B89" s="10" t="s">
        <v>4027</v>
      </c>
      <c r="C89" s="1407" t="s">
        <v>5435</v>
      </c>
      <c r="D89" s="1408"/>
      <c r="E89" s="12"/>
      <c r="F89" s="345" t="s">
        <v>4102</v>
      </c>
      <c r="G89" s="8" t="s">
        <v>2156</v>
      </c>
      <c r="H89" s="288" t="s">
        <v>3214</v>
      </c>
      <c r="I89" s="288">
        <v>1975</v>
      </c>
      <c r="J89" s="20"/>
      <c r="K89" s="8" t="s">
        <v>9605</v>
      </c>
      <c r="L89" s="642" t="s">
        <v>12012</v>
      </c>
    </row>
    <row r="90" spans="1:12" ht="34.5" customHeight="1" x14ac:dyDescent="0.2">
      <c r="A90" s="10" t="s">
        <v>1851</v>
      </c>
      <c r="B90" s="10" t="s">
        <v>4210</v>
      </c>
      <c r="C90" s="1407" t="s">
        <v>5435</v>
      </c>
      <c r="D90" s="1408"/>
      <c r="E90" s="12"/>
      <c r="F90" s="345" t="s">
        <v>3828</v>
      </c>
      <c r="G90" s="8"/>
      <c r="H90" s="288" t="s">
        <v>3215</v>
      </c>
      <c r="I90" s="288">
        <v>1983</v>
      </c>
      <c r="J90" s="20"/>
      <c r="K90" s="8" t="s">
        <v>9605</v>
      </c>
      <c r="L90" s="642" t="s">
        <v>12012</v>
      </c>
    </row>
    <row r="91" spans="1:12" s="5" customFormat="1" ht="33.75" x14ac:dyDescent="0.2">
      <c r="A91" s="10" t="s">
        <v>1852</v>
      </c>
      <c r="B91" s="10" t="s">
        <v>3245</v>
      </c>
      <c r="C91" s="1407" t="s">
        <v>5435</v>
      </c>
      <c r="D91" s="1408"/>
      <c r="E91" s="12"/>
      <c r="F91" s="12"/>
      <c r="G91" s="12"/>
      <c r="H91" s="306"/>
      <c r="I91" s="306">
        <v>1975</v>
      </c>
      <c r="J91" s="62"/>
      <c r="K91" s="10" t="s">
        <v>10793</v>
      </c>
      <c r="L91" s="10" t="s">
        <v>376</v>
      </c>
    </row>
    <row r="92" spans="1:12" ht="33.75" customHeight="1" x14ac:dyDescent="0.2">
      <c r="A92" s="10" t="s">
        <v>1853</v>
      </c>
      <c r="B92" s="10" t="s">
        <v>4219</v>
      </c>
      <c r="C92" s="1407" t="s">
        <v>5435</v>
      </c>
      <c r="D92" s="1408"/>
      <c r="E92" s="12"/>
      <c r="F92" s="8"/>
      <c r="G92" s="8"/>
      <c r="H92" s="288"/>
      <c r="I92" s="288">
        <v>1978</v>
      </c>
      <c r="J92" s="20"/>
      <c r="K92" s="8" t="s">
        <v>9605</v>
      </c>
      <c r="L92" s="642" t="s">
        <v>12012</v>
      </c>
    </row>
    <row r="93" spans="1:12" ht="96" customHeight="1" x14ac:dyDescent="0.2">
      <c r="A93" s="10" t="s">
        <v>2161</v>
      </c>
      <c r="B93" s="10" t="s">
        <v>3244</v>
      </c>
      <c r="C93" s="1407" t="s">
        <v>5435</v>
      </c>
      <c r="D93" s="1408"/>
      <c r="E93" s="12"/>
      <c r="F93" s="242" t="s">
        <v>4129</v>
      </c>
      <c r="G93" s="8"/>
      <c r="H93" s="288">
        <v>1080</v>
      </c>
      <c r="I93" s="288">
        <v>1981</v>
      </c>
      <c r="J93" s="20"/>
      <c r="K93" s="8" t="s">
        <v>9605</v>
      </c>
      <c r="L93" s="642" t="s">
        <v>12012</v>
      </c>
    </row>
    <row r="94" spans="1:12" ht="61.5" customHeight="1" x14ac:dyDescent="0.2">
      <c r="A94" s="10" t="s">
        <v>2162</v>
      </c>
      <c r="B94" s="10" t="s">
        <v>3243</v>
      </c>
      <c r="C94" s="1407" t="s">
        <v>5435</v>
      </c>
      <c r="D94" s="1408"/>
      <c r="E94" s="12"/>
      <c r="F94" s="8"/>
      <c r="G94" s="8"/>
      <c r="H94" s="288"/>
      <c r="I94" s="288">
        <v>1965</v>
      </c>
      <c r="J94" s="20"/>
      <c r="K94" s="8" t="s">
        <v>9605</v>
      </c>
      <c r="L94" s="642" t="s">
        <v>12012</v>
      </c>
    </row>
    <row r="95" spans="1:12" ht="47.25" customHeight="1" x14ac:dyDescent="0.2">
      <c r="A95" s="10" t="s">
        <v>2163</v>
      </c>
      <c r="B95" s="10" t="s">
        <v>3242</v>
      </c>
      <c r="C95" s="1407" t="s">
        <v>5435</v>
      </c>
      <c r="D95" s="1408"/>
      <c r="E95" s="12"/>
      <c r="F95" s="345" t="s">
        <v>4117</v>
      </c>
      <c r="G95" s="8" t="s">
        <v>181</v>
      </c>
      <c r="H95" s="288" t="s">
        <v>3439</v>
      </c>
      <c r="I95" s="288" t="s">
        <v>3643</v>
      </c>
      <c r="J95" s="20"/>
      <c r="K95" s="8" t="s">
        <v>13820</v>
      </c>
      <c r="L95" s="8" t="s">
        <v>13861</v>
      </c>
    </row>
    <row r="96" spans="1:12" s="58" customFormat="1" ht="58.5" customHeight="1" x14ac:dyDescent="0.2">
      <c r="A96" s="10" t="s">
        <v>1854</v>
      </c>
      <c r="B96" s="10" t="s">
        <v>3385</v>
      </c>
      <c r="C96" s="1407" t="s">
        <v>9717</v>
      </c>
      <c r="D96" s="1408"/>
      <c r="E96" s="12"/>
      <c r="F96" s="8"/>
      <c r="G96" s="8"/>
      <c r="H96" s="288"/>
      <c r="I96" s="288"/>
      <c r="J96" s="20"/>
      <c r="K96" s="8" t="s">
        <v>8074</v>
      </c>
      <c r="L96" s="8" t="s">
        <v>8075</v>
      </c>
    </row>
    <row r="97" spans="1:12" ht="39.75" customHeight="1" x14ac:dyDescent="0.2">
      <c r="A97" s="10" t="s">
        <v>2194</v>
      </c>
      <c r="B97" s="11" t="s">
        <v>7721</v>
      </c>
      <c r="C97" s="1407" t="s">
        <v>7878</v>
      </c>
      <c r="D97" s="1408"/>
      <c r="E97" s="12"/>
      <c r="F97" s="345" t="s">
        <v>3835</v>
      </c>
      <c r="G97" s="8" t="s">
        <v>181</v>
      </c>
      <c r="H97" s="288" t="s">
        <v>3216</v>
      </c>
      <c r="I97" s="288">
        <v>1971</v>
      </c>
      <c r="J97" s="20"/>
      <c r="K97" s="8"/>
      <c r="L97" s="8" t="s">
        <v>13997</v>
      </c>
    </row>
    <row r="98" spans="1:12" s="5" customFormat="1" ht="22.5" x14ac:dyDescent="0.2">
      <c r="A98" s="10" t="s">
        <v>2229</v>
      </c>
      <c r="B98" s="10" t="s">
        <v>3387</v>
      </c>
      <c r="C98" s="1407" t="s">
        <v>9718</v>
      </c>
      <c r="D98" s="1408"/>
      <c r="E98" s="12"/>
      <c r="F98" s="12"/>
      <c r="G98" s="12"/>
      <c r="H98" s="306"/>
      <c r="I98" s="306">
        <v>1982</v>
      </c>
      <c r="J98" s="62"/>
      <c r="K98" s="10" t="s">
        <v>4404</v>
      </c>
      <c r="L98" s="10" t="s">
        <v>4404</v>
      </c>
    </row>
    <row r="99" spans="1:12" s="5" customFormat="1" ht="22.5" x14ac:dyDescent="0.2">
      <c r="A99" s="10" t="s">
        <v>1855</v>
      </c>
      <c r="B99" s="10" t="s">
        <v>3130</v>
      </c>
      <c r="C99" s="1407" t="s">
        <v>9704</v>
      </c>
      <c r="D99" s="1408"/>
      <c r="E99" s="12"/>
      <c r="F99" s="12"/>
      <c r="G99" s="12"/>
      <c r="H99" s="306" t="s">
        <v>4221</v>
      </c>
      <c r="I99" s="306">
        <v>1973</v>
      </c>
      <c r="J99" s="62"/>
      <c r="K99" s="642" t="s">
        <v>3112</v>
      </c>
      <c r="L99" s="642" t="s">
        <v>3112</v>
      </c>
    </row>
    <row r="100" spans="1:12" s="5" customFormat="1" ht="40.5" customHeight="1" x14ac:dyDescent="0.2">
      <c r="A100" s="1412" t="s">
        <v>3547</v>
      </c>
      <c r="B100" s="1412" t="s">
        <v>3131</v>
      </c>
      <c r="C100" s="1409" t="s">
        <v>9704</v>
      </c>
      <c r="D100" s="1410"/>
      <c r="E100" s="12"/>
      <c r="F100" s="12"/>
      <c r="G100" s="12"/>
      <c r="H100" s="306" t="s">
        <v>3129</v>
      </c>
      <c r="I100" s="306" t="s">
        <v>502</v>
      </c>
      <c r="J100" s="62"/>
      <c r="K100" s="17" t="s">
        <v>3112</v>
      </c>
      <c r="L100" s="17" t="s">
        <v>3112</v>
      </c>
    </row>
    <row r="101" spans="1:12" s="5" customFormat="1" ht="28.5" customHeight="1" x14ac:dyDescent="0.2">
      <c r="A101" s="1413"/>
      <c r="B101" s="1413"/>
      <c r="C101" s="1451"/>
      <c r="D101" s="1452"/>
      <c r="E101" s="1428" t="s">
        <v>3143</v>
      </c>
      <c r="F101" s="1429"/>
      <c r="G101" s="12" t="s">
        <v>3133</v>
      </c>
      <c r="H101" s="306" t="s">
        <v>3132</v>
      </c>
      <c r="I101" s="306">
        <v>2010</v>
      </c>
      <c r="J101" s="62"/>
      <c r="K101" s="17" t="s">
        <v>3164</v>
      </c>
      <c r="L101" s="17"/>
    </row>
    <row r="102" spans="1:12" ht="36.75" customHeight="1" x14ac:dyDescent="0.2">
      <c r="A102" s="10" t="s">
        <v>1856</v>
      </c>
      <c r="B102" s="10" t="s">
        <v>3672</v>
      </c>
      <c r="C102" s="1407" t="s">
        <v>9704</v>
      </c>
      <c r="D102" s="1408"/>
      <c r="E102" s="12"/>
      <c r="F102" s="12"/>
      <c r="G102" s="12"/>
      <c r="H102" s="306" t="s">
        <v>3217</v>
      </c>
      <c r="I102" s="306">
        <v>1976</v>
      </c>
      <c r="J102" s="62"/>
      <c r="K102" s="8" t="s">
        <v>13820</v>
      </c>
      <c r="L102" s="8" t="s">
        <v>13861</v>
      </c>
    </row>
    <row r="103" spans="1:12" s="5" customFormat="1" ht="22.5" x14ac:dyDescent="0.2">
      <c r="A103" s="10" t="s">
        <v>1857</v>
      </c>
      <c r="B103" s="10" t="s">
        <v>3673</v>
      </c>
      <c r="C103" s="1407" t="s">
        <v>9704</v>
      </c>
      <c r="D103" s="1408"/>
      <c r="E103" s="12"/>
      <c r="F103" s="12"/>
      <c r="G103" s="12"/>
      <c r="H103" s="306" t="s">
        <v>3218</v>
      </c>
      <c r="I103" s="306">
        <v>1973</v>
      </c>
      <c r="J103" s="62"/>
      <c r="K103" s="643" t="s">
        <v>4170</v>
      </c>
      <c r="L103" s="10" t="s">
        <v>378</v>
      </c>
    </row>
    <row r="104" spans="1:12" s="5" customFormat="1" ht="22.5" x14ac:dyDescent="0.2">
      <c r="A104" s="10" t="s">
        <v>2164</v>
      </c>
      <c r="B104" s="10" t="s">
        <v>3674</v>
      </c>
      <c r="C104" s="1407" t="s">
        <v>9704</v>
      </c>
      <c r="D104" s="1408"/>
      <c r="E104" s="12"/>
      <c r="F104" s="12"/>
      <c r="G104" s="12"/>
      <c r="H104" s="306"/>
      <c r="I104" s="306">
        <v>1976</v>
      </c>
      <c r="J104" s="62"/>
      <c r="K104" s="643" t="s">
        <v>4169</v>
      </c>
      <c r="L104" s="17" t="s">
        <v>3667</v>
      </c>
    </row>
    <row r="105" spans="1:12" s="176" customFormat="1" ht="45.75" customHeight="1" x14ac:dyDescent="0.2">
      <c r="A105" s="10" t="s">
        <v>2165</v>
      </c>
      <c r="B105" s="10" t="s">
        <v>3633</v>
      </c>
      <c r="C105" s="1407" t="s">
        <v>5251</v>
      </c>
      <c r="D105" s="1408"/>
      <c r="E105" s="12"/>
      <c r="F105" s="648" t="s">
        <v>4014</v>
      </c>
      <c r="G105" s="12"/>
      <c r="H105" s="306" t="s">
        <v>3634</v>
      </c>
      <c r="I105" s="306" t="s">
        <v>475</v>
      </c>
      <c r="J105" s="62"/>
      <c r="K105" s="211" t="s">
        <v>8074</v>
      </c>
      <c r="L105" s="211" t="s">
        <v>9794</v>
      </c>
    </row>
    <row r="106" spans="1:12" ht="33.75" x14ac:dyDescent="0.2">
      <c r="A106" s="10" t="s">
        <v>2166</v>
      </c>
      <c r="B106" s="10" t="s">
        <v>3042</v>
      </c>
      <c r="C106" s="1407" t="s">
        <v>5711</v>
      </c>
      <c r="D106" s="1408"/>
      <c r="E106" s="12"/>
      <c r="F106" s="12"/>
      <c r="G106" s="12"/>
      <c r="H106" s="306"/>
      <c r="I106" s="306">
        <v>1999</v>
      </c>
      <c r="J106" s="62"/>
      <c r="K106" s="10" t="s">
        <v>304</v>
      </c>
      <c r="L106" s="10" t="s">
        <v>304</v>
      </c>
    </row>
    <row r="107" spans="1:12" ht="36.75" customHeight="1" x14ac:dyDescent="0.2">
      <c r="A107" s="10" t="s">
        <v>2196</v>
      </c>
      <c r="B107" s="11" t="s">
        <v>3638</v>
      </c>
      <c r="C107" s="1399" t="s">
        <v>9719</v>
      </c>
      <c r="D107" s="1400"/>
      <c r="E107" s="12"/>
      <c r="F107" s="8"/>
      <c r="G107" s="8" t="s">
        <v>2881</v>
      </c>
      <c r="H107" s="288" t="s">
        <v>3635</v>
      </c>
      <c r="I107" s="288">
        <v>2005</v>
      </c>
      <c r="J107" s="20"/>
      <c r="K107" s="8"/>
      <c r="L107" s="8" t="s">
        <v>13997</v>
      </c>
    </row>
    <row r="108" spans="1:12" ht="36.75" customHeight="1" x14ac:dyDescent="0.2">
      <c r="A108" s="10" t="s">
        <v>2230</v>
      </c>
      <c r="B108" s="657" t="s">
        <v>3437</v>
      </c>
      <c r="C108" s="1405" t="s">
        <v>9720</v>
      </c>
      <c r="D108" s="1406"/>
      <c r="E108" s="12"/>
      <c r="F108" s="46"/>
      <c r="G108" s="46" t="s">
        <v>3370</v>
      </c>
      <c r="H108" s="26" t="s">
        <v>3286</v>
      </c>
      <c r="I108" s="26" t="s">
        <v>461</v>
      </c>
      <c r="J108" s="40"/>
      <c r="K108" s="8"/>
      <c r="L108" s="8" t="s">
        <v>13997</v>
      </c>
    </row>
    <row r="109" spans="1:12" ht="35.25" customHeight="1" x14ac:dyDescent="0.2">
      <c r="A109" s="10" t="s">
        <v>1858</v>
      </c>
      <c r="B109" s="657" t="s">
        <v>3436</v>
      </c>
      <c r="C109" s="1414" t="s">
        <v>9721</v>
      </c>
      <c r="D109" s="1415"/>
      <c r="E109" s="199"/>
      <c r="F109" s="131"/>
      <c r="G109" s="131" t="s">
        <v>3370</v>
      </c>
      <c r="H109" s="258" t="s">
        <v>3291</v>
      </c>
      <c r="I109" s="258" t="s">
        <v>461</v>
      </c>
      <c r="J109" s="138"/>
      <c r="K109" s="8"/>
      <c r="L109" s="8" t="s">
        <v>13997</v>
      </c>
    </row>
    <row r="110" spans="1:12" ht="33" customHeight="1" x14ac:dyDescent="0.2">
      <c r="A110" s="10" t="s">
        <v>2168</v>
      </c>
      <c r="B110" s="154" t="s">
        <v>6050</v>
      </c>
      <c r="C110" s="1407" t="s">
        <v>9665</v>
      </c>
      <c r="D110" s="1408"/>
      <c r="E110" s="12"/>
      <c r="F110" s="345" t="s">
        <v>4116</v>
      </c>
      <c r="G110" s="8" t="s">
        <v>56</v>
      </c>
      <c r="H110" s="288" t="s">
        <v>3219</v>
      </c>
      <c r="I110" s="288"/>
      <c r="J110" s="20"/>
      <c r="K110" s="251" t="s">
        <v>8074</v>
      </c>
      <c r="L110" s="642" t="s">
        <v>10789</v>
      </c>
    </row>
    <row r="111" spans="1:12" ht="34.5" customHeight="1" x14ac:dyDescent="0.2">
      <c r="A111" s="10" t="s">
        <v>1859</v>
      </c>
      <c r="B111" s="11" t="s">
        <v>3240</v>
      </c>
      <c r="C111" s="1411" t="s">
        <v>7888</v>
      </c>
      <c r="D111" s="1411"/>
      <c r="E111" s="12"/>
      <c r="F111" s="46" t="s">
        <v>7890</v>
      </c>
      <c r="G111" s="8"/>
      <c r="H111" s="313" t="s">
        <v>3612</v>
      </c>
      <c r="I111" s="288" t="s">
        <v>35</v>
      </c>
      <c r="J111" s="20"/>
      <c r="K111" s="8" t="s">
        <v>13820</v>
      </c>
      <c r="L111" s="8" t="s">
        <v>13861</v>
      </c>
    </row>
    <row r="112" spans="1:12" ht="22.5" x14ac:dyDescent="0.2">
      <c r="A112" s="1410" t="s">
        <v>3371</v>
      </c>
      <c r="B112" s="11" t="s">
        <v>180</v>
      </c>
      <c r="C112" s="1409" t="s">
        <v>9703</v>
      </c>
      <c r="D112" s="1410"/>
      <c r="E112" s="12"/>
      <c r="F112" s="8"/>
      <c r="G112" s="8" t="s">
        <v>2156</v>
      </c>
      <c r="H112" s="288" t="s">
        <v>3191</v>
      </c>
      <c r="I112" s="288">
        <v>2010</v>
      </c>
      <c r="J112" s="20"/>
      <c r="K112" s="802" t="s">
        <v>13820</v>
      </c>
      <c r="L112" s="1293" t="s">
        <v>13861</v>
      </c>
    </row>
    <row r="113" spans="1:12" ht="24" customHeight="1" x14ac:dyDescent="0.2">
      <c r="A113" s="1452"/>
      <c r="B113" s="11" t="s">
        <v>3299</v>
      </c>
      <c r="C113" s="1409" t="s">
        <v>9703</v>
      </c>
      <c r="D113" s="1410"/>
      <c r="E113" s="1428" t="s">
        <v>3143</v>
      </c>
      <c r="F113" s="1429"/>
      <c r="G113" s="12"/>
      <c r="H113" s="306" t="s">
        <v>2464</v>
      </c>
      <c r="I113" s="306">
        <v>2011</v>
      </c>
      <c r="J113" s="20"/>
      <c r="K113" s="802" t="s">
        <v>13820</v>
      </c>
      <c r="L113" s="1294"/>
    </row>
    <row r="114" spans="1:12" ht="34.5" customHeight="1" x14ac:dyDescent="0.2">
      <c r="A114" s="10" t="s">
        <v>3372</v>
      </c>
      <c r="B114" s="657" t="s">
        <v>180</v>
      </c>
      <c r="C114" s="1405" t="s">
        <v>9702</v>
      </c>
      <c r="D114" s="1406"/>
      <c r="E114" s="243"/>
      <c r="F114" s="46"/>
      <c r="G114" s="46" t="s">
        <v>3839</v>
      </c>
      <c r="H114" s="26" t="s">
        <v>3841</v>
      </c>
      <c r="I114" s="26" t="s">
        <v>461</v>
      </c>
      <c r="J114" s="40"/>
      <c r="K114" s="802" t="s">
        <v>13820</v>
      </c>
      <c r="L114" s="1294"/>
    </row>
    <row r="115" spans="1:12" ht="37.5" customHeight="1" x14ac:dyDescent="0.2">
      <c r="A115" s="10" t="s">
        <v>3373</v>
      </c>
      <c r="B115" s="657" t="s">
        <v>180</v>
      </c>
      <c r="C115" s="1405" t="s">
        <v>9701</v>
      </c>
      <c r="D115" s="1406"/>
      <c r="E115" s="243"/>
      <c r="F115" s="46"/>
      <c r="G115" s="46" t="s">
        <v>3839</v>
      </c>
      <c r="H115" s="26" t="s">
        <v>3842</v>
      </c>
      <c r="I115" s="26" t="s">
        <v>461</v>
      </c>
      <c r="J115" s="40"/>
      <c r="K115" s="802" t="s">
        <v>13820</v>
      </c>
      <c r="L115" s="1294"/>
    </row>
    <row r="116" spans="1:12" ht="33.75" customHeight="1" x14ac:dyDescent="0.2">
      <c r="A116" s="10" t="s">
        <v>3374</v>
      </c>
      <c r="B116" s="657" t="s">
        <v>180</v>
      </c>
      <c r="C116" s="1405" t="s">
        <v>3300</v>
      </c>
      <c r="D116" s="1406"/>
      <c r="E116" s="62"/>
      <c r="F116" s="46"/>
      <c r="G116" s="46" t="s">
        <v>3839</v>
      </c>
      <c r="H116" s="26" t="s">
        <v>3843</v>
      </c>
      <c r="I116" s="26" t="s">
        <v>461</v>
      </c>
      <c r="J116" s="40"/>
      <c r="K116" s="802" t="s">
        <v>13820</v>
      </c>
      <c r="L116" s="1294"/>
    </row>
    <row r="117" spans="1:12" ht="36" customHeight="1" x14ac:dyDescent="0.2">
      <c r="A117" s="10" t="s">
        <v>3375</v>
      </c>
      <c r="B117" s="657" t="s">
        <v>180</v>
      </c>
      <c r="C117" s="1405" t="s">
        <v>9700</v>
      </c>
      <c r="D117" s="1406"/>
      <c r="E117" s="62"/>
      <c r="F117" s="46"/>
      <c r="G117" s="46" t="s">
        <v>3839</v>
      </c>
      <c r="H117" s="26" t="s">
        <v>3844</v>
      </c>
      <c r="I117" s="26" t="s">
        <v>461</v>
      </c>
      <c r="J117" s="40"/>
      <c r="K117" s="802" t="s">
        <v>13820</v>
      </c>
      <c r="L117" s="1294"/>
    </row>
    <row r="118" spans="1:12" ht="60.75" customHeight="1" x14ac:dyDescent="0.2">
      <c r="A118" s="10" t="s">
        <v>3101</v>
      </c>
      <c r="B118" s="11" t="s">
        <v>3628</v>
      </c>
      <c r="C118" s="1407" t="s">
        <v>7888</v>
      </c>
      <c r="D118" s="1408"/>
      <c r="E118" s="62"/>
      <c r="F118" s="345" t="s">
        <v>4068</v>
      </c>
      <c r="G118" s="8"/>
      <c r="H118" s="312">
        <v>20000</v>
      </c>
      <c r="I118" s="288" t="s">
        <v>2658</v>
      </c>
      <c r="J118" s="20"/>
      <c r="K118" s="802" t="s">
        <v>13820</v>
      </c>
      <c r="L118" s="8" t="s">
        <v>13861</v>
      </c>
    </row>
    <row r="119" spans="1:12" ht="36" customHeight="1" x14ac:dyDescent="0.2">
      <c r="A119" s="1412" t="s">
        <v>1860</v>
      </c>
      <c r="B119" s="1412" t="s">
        <v>3256</v>
      </c>
      <c r="C119" s="1409" t="s">
        <v>5734</v>
      </c>
      <c r="D119" s="1410"/>
      <c r="E119" s="12"/>
      <c r="F119" s="345" t="s">
        <v>3907</v>
      </c>
      <c r="G119" s="12" t="s">
        <v>181</v>
      </c>
      <c r="H119" s="306" t="s">
        <v>6656</v>
      </c>
      <c r="I119" s="306" t="s">
        <v>2862</v>
      </c>
      <c r="J119" s="62"/>
      <c r="K119" s="1298" t="s">
        <v>8074</v>
      </c>
      <c r="L119" s="1412" t="s">
        <v>12013</v>
      </c>
    </row>
    <row r="120" spans="1:12" s="5" customFormat="1" ht="27" customHeight="1" x14ac:dyDescent="0.2">
      <c r="A120" s="1413"/>
      <c r="B120" s="1413"/>
      <c r="C120" s="1451"/>
      <c r="D120" s="1452"/>
      <c r="E120" s="1428" t="s">
        <v>3369</v>
      </c>
      <c r="F120" s="1429"/>
      <c r="G120" s="12"/>
      <c r="H120" s="306"/>
      <c r="I120" s="306" t="s">
        <v>3366</v>
      </c>
      <c r="J120" s="62"/>
      <c r="K120" s="1299"/>
      <c r="L120" s="1413"/>
    </row>
    <row r="121" spans="1:12" ht="174" customHeight="1" x14ac:dyDescent="0.2">
      <c r="A121" s="10" t="s">
        <v>2169</v>
      </c>
      <c r="B121" s="11" t="s">
        <v>3250</v>
      </c>
      <c r="C121" s="1399" t="s">
        <v>9634</v>
      </c>
      <c r="D121" s="1400"/>
      <c r="E121" s="12"/>
      <c r="F121" s="244" t="s">
        <v>4760</v>
      </c>
      <c r="G121" s="8"/>
      <c r="H121" s="312">
        <v>810</v>
      </c>
      <c r="I121" s="288">
        <v>1995</v>
      </c>
      <c r="J121" s="20"/>
      <c r="K121" s="32" t="s">
        <v>9605</v>
      </c>
      <c r="L121" s="642" t="s">
        <v>12012</v>
      </c>
    </row>
    <row r="122" spans="1:12" s="5" customFormat="1" ht="56.25" x14ac:dyDescent="0.2">
      <c r="A122" s="10" t="s">
        <v>2170</v>
      </c>
      <c r="B122" s="10" t="s">
        <v>3251</v>
      </c>
      <c r="C122" s="1407" t="s">
        <v>5438</v>
      </c>
      <c r="D122" s="1408"/>
      <c r="E122" s="12"/>
      <c r="F122" s="345" t="s">
        <v>4107</v>
      </c>
      <c r="G122" s="12" t="s">
        <v>181</v>
      </c>
      <c r="H122" s="306" t="s">
        <v>4104</v>
      </c>
      <c r="I122" s="306" t="s">
        <v>328</v>
      </c>
      <c r="J122" s="62"/>
      <c r="K122" s="8" t="s">
        <v>8074</v>
      </c>
      <c r="L122" s="8" t="s">
        <v>12013</v>
      </c>
    </row>
    <row r="123" spans="1:12" s="5" customFormat="1" ht="56.25" x14ac:dyDescent="0.2">
      <c r="A123" s="10" t="s">
        <v>1861</v>
      </c>
      <c r="B123" s="10" t="s">
        <v>3856</v>
      </c>
      <c r="C123" s="1407" t="s">
        <v>5438</v>
      </c>
      <c r="D123" s="1408"/>
      <c r="E123" s="12"/>
      <c r="F123" s="12" t="s">
        <v>3923</v>
      </c>
      <c r="G123" s="12" t="s">
        <v>181</v>
      </c>
      <c r="H123" s="306" t="s">
        <v>4105</v>
      </c>
      <c r="I123" s="306">
        <v>1991</v>
      </c>
      <c r="J123" s="62"/>
      <c r="K123" s="8" t="s">
        <v>8074</v>
      </c>
      <c r="L123" s="8" t="s">
        <v>12013</v>
      </c>
    </row>
    <row r="124" spans="1:12" s="5" customFormat="1" ht="56.25" x14ac:dyDescent="0.2">
      <c r="A124" s="10" t="s">
        <v>1862</v>
      </c>
      <c r="B124" s="10" t="s">
        <v>3854</v>
      </c>
      <c r="C124" s="1407" t="s">
        <v>5438</v>
      </c>
      <c r="D124" s="1408"/>
      <c r="E124" s="12"/>
      <c r="F124" s="345" t="s">
        <v>3937</v>
      </c>
      <c r="G124" s="12" t="s">
        <v>1987</v>
      </c>
      <c r="H124" s="306" t="s">
        <v>4103</v>
      </c>
      <c r="I124" s="306">
        <v>1991</v>
      </c>
      <c r="J124" s="62"/>
      <c r="K124" s="8" t="s">
        <v>8074</v>
      </c>
      <c r="L124" s="8" t="s">
        <v>12013</v>
      </c>
    </row>
    <row r="125" spans="1:12" s="5" customFormat="1" ht="56.25" x14ac:dyDescent="0.2">
      <c r="A125" s="10" t="s">
        <v>1863</v>
      </c>
      <c r="B125" s="10" t="s">
        <v>3855</v>
      </c>
      <c r="C125" s="1407" t="s">
        <v>5438</v>
      </c>
      <c r="D125" s="1408"/>
      <c r="E125" s="12"/>
      <c r="F125" s="345" t="s">
        <v>4051</v>
      </c>
      <c r="G125" s="12" t="s">
        <v>1987</v>
      </c>
      <c r="H125" s="306" t="s">
        <v>6768</v>
      </c>
      <c r="I125" s="306">
        <v>1978</v>
      </c>
      <c r="J125" s="62"/>
      <c r="K125" s="8" t="s">
        <v>8074</v>
      </c>
      <c r="L125" s="8" t="s">
        <v>12013</v>
      </c>
    </row>
    <row r="126" spans="1:12" s="5" customFormat="1" ht="56.25" x14ac:dyDescent="0.2">
      <c r="A126" s="10" t="s">
        <v>1864</v>
      </c>
      <c r="B126" s="10" t="s">
        <v>3857</v>
      </c>
      <c r="C126" s="1407" t="s">
        <v>5438</v>
      </c>
      <c r="D126" s="1408"/>
      <c r="E126" s="12"/>
      <c r="F126" s="12" t="s">
        <v>3913</v>
      </c>
      <c r="G126" s="12" t="s">
        <v>181</v>
      </c>
      <c r="H126" s="306" t="s">
        <v>3190</v>
      </c>
      <c r="I126" s="306">
        <v>1991</v>
      </c>
      <c r="J126" s="62"/>
      <c r="K126" s="8" t="s">
        <v>8074</v>
      </c>
      <c r="L126" s="8" t="s">
        <v>12013</v>
      </c>
    </row>
    <row r="127" spans="1:12" ht="58.5" customHeight="1" x14ac:dyDescent="0.2">
      <c r="A127" s="10" t="s">
        <v>2171</v>
      </c>
      <c r="B127" s="11" t="s">
        <v>3252</v>
      </c>
      <c r="C127" s="1407" t="s">
        <v>5438</v>
      </c>
      <c r="D127" s="1408"/>
      <c r="E127" s="12"/>
      <c r="F127" s="12" t="s">
        <v>3909</v>
      </c>
      <c r="G127" s="8" t="s">
        <v>2156</v>
      </c>
      <c r="H127" s="288" t="s">
        <v>4106</v>
      </c>
      <c r="I127" s="288">
        <v>1965</v>
      </c>
      <c r="J127" s="20"/>
      <c r="K127" s="8" t="s">
        <v>13820</v>
      </c>
      <c r="L127" s="8" t="s">
        <v>13861</v>
      </c>
    </row>
    <row r="128" spans="1:12" ht="58.5" customHeight="1" x14ac:dyDescent="0.2">
      <c r="A128" s="11" t="s">
        <v>13245</v>
      </c>
      <c r="B128" s="746" t="s">
        <v>13246</v>
      </c>
      <c r="C128" s="1399" t="s">
        <v>5438</v>
      </c>
      <c r="D128" s="1400"/>
      <c r="E128" s="707"/>
      <c r="F128" s="740" t="s">
        <v>13247</v>
      </c>
      <c r="G128" s="740"/>
      <c r="H128" s="11" t="s">
        <v>13248</v>
      </c>
      <c r="I128" s="288" t="s">
        <v>76</v>
      </c>
      <c r="J128" s="153"/>
      <c r="K128" s="8" t="s">
        <v>13820</v>
      </c>
      <c r="L128" s="8" t="s">
        <v>13861</v>
      </c>
    </row>
    <row r="129" spans="1:12" s="57" customFormat="1" ht="39" customHeight="1" x14ac:dyDescent="0.2">
      <c r="A129" s="10" t="s">
        <v>2172</v>
      </c>
      <c r="B129" s="10" t="s">
        <v>3679</v>
      </c>
      <c r="C129" s="1407" t="s">
        <v>5438</v>
      </c>
      <c r="D129" s="1408"/>
      <c r="E129" s="12"/>
      <c r="F129" s="12" t="s">
        <v>5240</v>
      </c>
      <c r="G129" s="12" t="s">
        <v>181</v>
      </c>
      <c r="H129" s="24" t="s">
        <v>6217</v>
      </c>
      <c r="I129" s="306">
        <v>1975</v>
      </c>
      <c r="J129" s="62"/>
      <c r="K129" s="8" t="s">
        <v>8074</v>
      </c>
      <c r="L129" s="8" t="s">
        <v>12013</v>
      </c>
    </row>
    <row r="130" spans="1:12" ht="39.75" customHeight="1" x14ac:dyDescent="0.2">
      <c r="A130" s="10" t="s">
        <v>1865</v>
      </c>
      <c r="B130" s="11" t="s">
        <v>3115</v>
      </c>
      <c r="C130" s="1407" t="s">
        <v>9663</v>
      </c>
      <c r="D130" s="1408"/>
      <c r="E130" s="12"/>
      <c r="F130" s="12" t="s">
        <v>4111</v>
      </c>
      <c r="G130" s="8" t="s">
        <v>1985</v>
      </c>
      <c r="H130" s="288">
        <v>90.3</v>
      </c>
      <c r="I130" s="288" t="s">
        <v>18</v>
      </c>
      <c r="J130" s="20"/>
      <c r="K130" s="802" t="s">
        <v>13820</v>
      </c>
      <c r="L130" s="8" t="s">
        <v>13861</v>
      </c>
    </row>
    <row r="131" spans="1:12" s="801" customFormat="1" ht="39.75" customHeight="1" x14ac:dyDescent="0.2">
      <c r="A131" s="803" t="s">
        <v>13870</v>
      </c>
      <c r="B131" s="11" t="s">
        <v>13874</v>
      </c>
      <c r="C131" s="1420" t="s">
        <v>13877</v>
      </c>
      <c r="D131" s="1421"/>
      <c r="E131" s="804"/>
      <c r="F131" s="804" t="s">
        <v>13879</v>
      </c>
      <c r="G131" s="802"/>
      <c r="H131" s="817" t="s">
        <v>13881</v>
      </c>
      <c r="I131" s="817" t="s">
        <v>159</v>
      </c>
      <c r="J131" s="805"/>
      <c r="K131" s="802" t="s">
        <v>13820</v>
      </c>
      <c r="L131" s="802" t="s">
        <v>13861</v>
      </c>
    </row>
    <row r="132" spans="1:12" s="801" customFormat="1" ht="39.75" customHeight="1" x14ac:dyDescent="0.2">
      <c r="A132" s="803" t="s">
        <v>13871</v>
      </c>
      <c r="B132" s="11" t="s">
        <v>13875</v>
      </c>
      <c r="C132" s="1420" t="s">
        <v>13877</v>
      </c>
      <c r="D132" s="1421"/>
      <c r="E132" s="804"/>
      <c r="F132" s="804" t="s">
        <v>13882</v>
      </c>
      <c r="G132" s="802"/>
      <c r="H132" s="817" t="s">
        <v>13883</v>
      </c>
      <c r="I132" s="817" t="s">
        <v>159</v>
      </c>
      <c r="J132" s="805"/>
      <c r="K132" s="802" t="s">
        <v>13820</v>
      </c>
      <c r="L132" s="802" t="s">
        <v>13861</v>
      </c>
    </row>
    <row r="133" spans="1:12" s="801" customFormat="1" ht="39.75" customHeight="1" x14ac:dyDescent="0.2">
      <c r="A133" s="803" t="s">
        <v>13872</v>
      </c>
      <c r="B133" s="11" t="s">
        <v>13875</v>
      </c>
      <c r="C133" s="1420" t="s">
        <v>13877</v>
      </c>
      <c r="D133" s="1421"/>
      <c r="E133" s="804"/>
      <c r="F133" s="804" t="s">
        <v>13884</v>
      </c>
      <c r="G133" s="802"/>
      <c r="H133" s="817" t="s">
        <v>13885</v>
      </c>
      <c r="I133" s="817" t="s">
        <v>159</v>
      </c>
      <c r="J133" s="805"/>
      <c r="K133" s="802" t="s">
        <v>13820</v>
      </c>
      <c r="L133" s="802" t="s">
        <v>13861</v>
      </c>
    </row>
    <row r="134" spans="1:12" s="801" customFormat="1" ht="39.75" customHeight="1" x14ac:dyDescent="0.2">
      <c r="A134" s="803" t="s">
        <v>13873</v>
      </c>
      <c r="B134" s="11" t="s">
        <v>13876</v>
      </c>
      <c r="C134" s="1407" t="s">
        <v>13878</v>
      </c>
      <c r="D134" s="1408"/>
      <c r="E134" s="804"/>
      <c r="F134" s="804" t="s">
        <v>13886</v>
      </c>
      <c r="G134" s="802"/>
      <c r="H134" s="817" t="s">
        <v>13887</v>
      </c>
      <c r="I134" s="817" t="s">
        <v>159</v>
      </c>
      <c r="J134" s="805"/>
      <c r="K134" s="802" t="s">
        <v>13820</v>
      </c>
      <c r="L134" s="802" t="s">
        <v>13861</v>
      </c>
    </row>
    <row r="135" spans="1:12" ht="36" customHeight="1" x14ac:dyDescent="0.2">
      <c r="A135" s="10" t="s">
        <v>1866</v>
      </c>
      <c r="B135" s="11" t="s">
        <v>3551</v>
      </c>
      <c r="C135" s="1407" t="s">
        <v>9664</v>
      </c>
      <c r="D135" s="1408"/>
      <c r="E135" s="12"/>
      <c r="F135" s="8" t="s">
        <v>4115</v>
      </c>
      <c r="G135" s="8" t="s">
        <v>1985</v>
      </c>
      <c r="H135" s="312">
        <v>216</v>
      </c>
      <c r="I135" s="288" t="s">
        <v>3718</v>
      </c>
      <c r="J135" s="20"/>
      <c r="K135" s="802" t="s">
        <v>13820</v>
      </c>
      <c r="L135" s="8" t="s">
        <v>13861</v>
      </c>
    </row>
    <row r="136" spans="1:12" ht="36" customHeight="1" x14ac:dyDescent="0.2">
      <c r="A136" s="10" t="s">
        <v>1867</v>
      </c>
      <c r="B136" s="10" t="s">
        <v>505</v>
      </c>
      <c r="C136" s="1411" t="s">
        <v>5695</v>
      </c>
      <c r="D136" s="1411"/>
      <c r="E136" s="12"/>
      <c r="F136" s="12"/>
      <c r="G136" s="12" t="s">
        <v>1986</v>
      </c>
      <c r="H136" s="306" t="s">
        <v>3189</v>
      </c>
      <c r="I136" s="306" t="s">
        <v>504</v>
      </c>
      <c r="J136" s="62"/>
      <c r="K136" s="251" t="s">
        <v>8074</v>
      </c>
      <c r="L136" s="642" t="s">
        <v>10794</v>
      </c>
    </row>
    <row r="137" spans="1:12" ht="24.75" customHeight="1" x14ac:dyDescent="0.2">
      <c r="A137" s="1412" t="s">
        <v>5578</v>
      </c>
      <c r="B137" s="1412" t="s">
        <v>5579</v>
      </c>
      <c r="C137" s="1409" t="s">
        <v>7878</v>
      </c>
      <c r="D137" s="1410"/>
      <c r="E137" s="12" t="s">
        <v>6154</v>
      </c>
      <c r="F137" s="8" t="s">
        <v>6504</v>
      </c>
      <c r="G137" s="12" t="s">
        <v>181</v>
      </c>
      <c r="H137" s="314" t="s">
        <v>6380</v>
      </c>
      <c r="I137" s="306" t="s">
        <v>4182</v>
      </c>
      <c r="J137" s="62"/>
      <c r="K137" s="1434" t="s">
        <v>8074</v>
      </c>
      <c r="L137" s="1303" t="s">
        <v>8075</v>
      </c>
    </row>
    <row r="138" spans="1:12" s="5" customFormat="1" ht="21.75" customHeight="1" x14ac:dyDescent="0.2">
      <c r="A138" s="1413"/>
      <c r="B138" s="1413"/>
      <c r="C138" s="1451"/>
      <c r="D138" s="1452"/>
      <c r="E138" s="1460" t="s">
        <v>6252</v>
      </c>
      <c r="F138" s="1477"/>
      <c r="G138" s="1477"/>
      <c r="H138" s="1461"/>
      <c r="I138" s="306" t="s">
        <v>5471</v>
      </c>
      <c r="J138" s="62"/>
      <c r="K138" s="1435"/>
      <c r="L138" s="1305"/>
    </row>
    <row r="139" spans="1:12" s="57" customFormat="1" ht="36" customHeight="1" x14ac:dyDescent="0.2">
      <c r="A139" s="10" t="s">
        <v>1868</v>
      </c>
      <c r="B139" s="10" t="s">
        <v>3388</v>
      </c>
      <c r="C139" s="1407" t="s">
        <v>9722</v>
      </c>
      <c r="D139" s="1408"/>
      <c r="E139" s="12"/>
      <c r="F139" s="12" t="s">
        <v>3558</v>
      </c>
      <c r="G139" s="12" t="s">
        <v>1988</v>
      </c>
      <c r="H139" s="285" t="s">
        <v>3187</v>
      </c>
      <c r="I139" s="306">
        <v>1997</v>
      </c>
      <c r="J139" s="62"/>
      <c r="K139" s="251" t="s">
        <v>8074</v>
      </c>
      <c r="L139" s="642" t="s">
        <v>10789</v>
      </c>
    </row>
    <row r="140" spans="1:12" ht="35.25" customHeight="1" x14ac:dyDescent="0.2">
      <c r="A140" s="1412" t="s">
        <v>1869</v>
      </c>
      <c r="B140" s="1412" t="s">
        <v>3386</v>
      </c>
      <c r="C140" s="1409" t="s">
        <v>9723</v>
      </c>
      <c r="D140" s="1410"/>
      <c r="E140" s="12"/>
      <c r="F140" s="8" t="s">
        <v>9616</v>
      </c>
      <c r="G140" s="8" t="s">
        <v>1987</v>
      </c>
      <c r="H140" s="288" t="s">
        <v>3188</v>
      </c>
      <c r="I140" s="288" t="s">
        <v>62</v>
      </c>
      <c r="J140" s="20"/>
      <c r="K140" s="1303" t="s">
        <v>13820</v>
      </c>
      <c r="L140" s="1293" t="s">
        <v>13861</v>
      </c>
    </row>
    <row r="141" spans="1:12" s="5" customFormat="1" ht="20.25" customHeight="1" x14ac:dyDescent="0.2">
      <c r="A141" s="1443"/>
      <c r="B141" s="1443"/>
      <c r="C141" s="1467"/>
      <c r="D141" s="1468"/>
      <c r="E141" s="1428" t="s">
        <v>3137</v>
      </c>
      <c r="F141" s="1462"/>
      <c r="G141" s="1429"/>
      <c r="H141" s="306"/>
      <c r="I141" s="306">
        <v>2010</v>
      </c>
      <c r="J141" s="62"/>
      <c r="K141" s="1305"/>
      <c r="L141" s="1294"/>
    </row>
    <row r="142" spans="1:12" s="5" customFormat="1" ht="36" customHeight="1" x14ac:dyDescent="0.2">
      <c r="A142" s="1413"/>
      <c r="B142" s="1413"/>
      <c r="C142" s="1451"/>
      <c r="D142" s="1452"/>
      <c r="E142" s="1428" t="s">
        <v>9558</v>
      </c>
      <c r="F142" s="1462"/>
      <c r="G142" s="1429"/>
      <c r="H142" s="306"/>
      <c r="I142" s="306" t="s">
        <v>8262</v>
      </c>
      <c r="J142" s="62"/>
      <c r="K142" s="12"/>
      <c r="L142" s="1294"/>
    </row>
    <row r="143" spans="1:12" ht="36" customHeight="1" x14ac:dyDescent="0.2">
      <c r="A143" s="661" t="s">
        <v>3414</v>
      </c>
      <c r="B143" s="657" t="s">
        <v>3299</v>
      </c>
      <c r="C143" s="1405" t="s">
        <v>9724</v>
      </c>
      <c r="D143" s="1406"/>
      <c r="E143" s="12"/>
      <c r="F143" s="40"/>
      <c r="G143" s="46" t="s">
        <v>3370</v>
      </c>
      <c r="H143" s="26" t="s">
        <v>6371</v>
      </c>
      <c r="I143" s="26" t="s">
        <v>461</v>
      </c>
      <c r="J143" s="40"/>
      <c r="K143" s="8" t="s">
        <v>13820</v>
      </c>
      <c r="L143" s="1294"/>
    </row>
    <row r="144" spans="1:12" ht="36" customHeight="1" x14ac:dyDescent="0.2">
      <c r="A144" s="661" t="s">
        <v>3415</v>
      </c>
      <c r="B144" s="657" t="s">
        <v>3299</v>
      </c>
      <c r="C144" s="1405" t="s">
        <v>9725</v>
      </c>
      <c r="D144" s="1406"/>
      <c r="E144" s="12"/>
      <c r="F144" s="40"/>
      <c r="G144" s="46" t="s">
        <v>3370</v>
      </c>
      <c r="H144" s="26" t="s">
        <v>6372</v>
      </c>
      <c r="I144" s="26" t="s">
        <v>461</v>
      </c>
      <c r="J144" s="40"/>
      <c r="K144" s="802" t="s">
        <v>13820</v>
      </c>
      <c r="L144" s="1294"/>
    </row>
    <row r="145" spans="1:12" ht="36" customHeight="1" x14ac:dyDescent="0.2">
      <c r="A145" s="661" t="s">
        <v>3416</v>
      </c>
      <c r="B145" s="657" t="s">
        <v>180</v>
      </c>
      <c r="C145" s="1405" t="s">
        <v>9726</v>
      </c>
      <c r="D145" s="1406"/>
      <c r="E145" s="12"/>
      <c r="F145" s="40"/>
      <c r="G145" s="46" t="s">
        <v>3370</v>
      </c>
      <c r="H145" s="26" t="s">
        <v>6373</v>
      </c>
      <c r="I145" s="26" t="s">
        <v>461</v>
      </c>
      <c r="J145" s="40"/>
      <c r="K145" s="802" t="s">
        <v>13820</v>
      </c>
      <c r="L145" s="1294"/>
    </row>
    <row r="146" spans="1:12" ht="36" customHeight="1" x14ac:dyDescent="0.2">
      <c r="A146" s="661" t="s">
        <v>3425</v>
      </c>
      <c r="B146" s="657" t="s">
        <v>180</v>
      </c>
      <c r="C146" s="1405" t="s">
        <v>9727</v>
      </c>
      <c r="D146" s="1406"/>
      <c r="E146" s="12"/>
      <c r="F146" s="40"/>
      <c r="G146" s="46" t="s">
        <v>3370</v>
      </c>
      <c r="H146" s="26" t="s">
        <v>6374</v>
      </c>
      <c r="I146" s="26" t="s">
        <v>461</v>
      </c>
      <c r="J146" s="40"/>
      <c r="K146" s="802" t="s">
        <v>13820</v>
      </c>
      <c r="L146" s="1294"/>
    </row>
    <row r="147" spans="1:12" ht="36" customHeight="1" x14ac:dyDescent="0.2">
      <c r="A147" s="661" t="s">
        <v>3426</v>
      </c>
      <c r="B147" s="657" t="s">
        <v>3299</v>
      </c>
      <c r="C147" s="1405" t="s">
        <v>9728</v>
      </c>
      <c r="D147" s="1406"/>
      <c r="E147" s="12"/>
      <c r="F147" s="40"/>
      <c r="G147" s="46" t="s">
        <v>3370</v>
      </c>
      <c r="H147" s="26" t="s">
        <v>6375</v>
      </c>
      <c r="I147" s="26" t="s">
        <v>461</v>
      </c>
      <c r="J147" s="40"/>
      <c r="K147" s="802" t="s">
        <v>13820</v>
      </c>
      <c r="L147" s="1294"/>
    </row>
    <row r="148" spans="1:12" ht="36" customHeight="1" x14ac:dyDescent="0.2">
      <c r="A148" s="661" t="s">
        <v>3427</v>
      </c>
      <c r="B148" s="657" t="s">
        <v>180</v>
      </c>
      <c r="C148" s="1405" t="s">
        <v>9729</v>
      </c>
      <c r="D148" s="1406"/>
      <c r="E148" s="12"/>
      <c r="F148" s="40"/>
      <c r="G148" s="46" t="s">
        <v>3370</v>
      </c>
      <c r="H148" s="26" t="s">
        <v>6376</v>
      </c>
      <c r="I148" s="26" t="s">
        <v>461</v>
      </c>
      <c r="J148" s="40"/>
      <c r="K148" s="802" t="s">
        <v>13820</v>
      </c>
      <c r="L148" s="1294"/>
    </row>
    <row r="149" spans="1:12" ht="36" customHeight="1" x14ac:dyDescent="0.2">
      <c r="A149" s="661" t="s">
        <v>3428</v>
      </c>
      <c r="B149" s="657" t="s">
        <v>180</v>
      </c>
      <c r="C149" s="1405" t="s">
        <v>9730</v>
      </c>
      <c r="D149" s="1406"/>
      <c r="E149" s="12"/>
      <c r="F149" s="40"/>
      <c r="G149" s="46" t="s">
        <v>3370</v>
      </c>
      <c r="H149" s="26" t="s">
        <v>6377</v>
      </c>
      <c r="I149" s="26" t="s">
        <v>461</v>
      </c>
      <c r="J149" s="40"/>
      <c r="K149" s="802" t="s">
        <v>13820</v>
      </c>
      <c r="L149" s="1294"/>
    </row>
    <row r="150" spans="1:12" ht="36" customHeight="1" x14ac:dyDescent="0.2">
      <c r="A150" s="661" t="s">
        <v>3429</v>
      </c>
      <c r="B150" s="657" t="s">
        <v>180</v>
      </c>
      <c r="C150" s="1405" t="s">
        <v>9731</v>
      </c>
      <c r="D150" s="1406"/>
      <c r="E150" s="62"/>
      <c r="F150" s="40"/>
      <c r="G150" s="46" t="s">
        <v>3370</v>
      </c>
      <c r="H150" s="26" t="s">
        <v>6378</v>
      </c>
      <c r="I150" s="26" t="s">
        <v>461</v>
      </c>
      <c r="J150" s="40"/>
      <c r="K150" s="802" t="s">
        <v>13820</v>
      </c>
      <c r="L150" s="1294"/>
    </row>
    <row r="151" spans="1:12" ht="36.75" customHeight="1" x14ac:dyDescent="0.2">
      <c r="A151" s="661" t="s">
        <v>3611</v>
      </c>
      <c r="B151" s="657" t="s">
        <v>7652</v>
      </c>
      <c r="C151" s="1405" t="s">
        <v>13888</v>
      </c>
      <c r="D151" s="1406"/>
      <c r="E151" s="1428" t="s">
        <v>3615</v>
      </c>
      <c r="F151" s="1429"/>
      <c r="G151" s="18"/>
      <c r="H151" s="346"/>
      <c r="I151" s="346" t="s">
        <v>3366</v>
      </c>
      <c r="J151" s="40"/>
      <c r="K151" s="802" t="s">
        <v>13820</v>
      </c>
      <c r="L151" s="1294"/>
    </row>
    <row r="152" spans="1:12" ht="36.75" customHeight="1" x14ac:dyDescent="0.2">
      <c r="A152" s="1412" t="s">
        <v>5489</v>
      </c>
      <c r="B152" s="1293" t="s">
        <v>5490</v>
      </c>
      <c r="C152" s="1414" t="s">
        <v>13889</v>
      </c>
      <c r="D152" s="1415"/>
      <c r="E152" s="1428" t="s">
        <v>5491</v>
      </c>
      <c r="F152" s="1429"/>
      <c r="G152" s="46" t="s">
        <v>5492</v>
      </c>
      <c r="H152" s="346" t="s">
        <v>6379</v>
      </c>
      <c r="I152" s="26" t="s">
        <v>4182</v>
      </c>
      <c r="J152" s="40"/>
      <c r="K152" s="802" t="s">
        <v>13820</v>
      </c>
      <c r="L152" s="1294"/>
    </row>
    <row r="153" spans="1:12" s="5" customFormat="1" ht="33" customHeight="1" x14ac:dyDescent="0.2">
      <c r="A153" s="1413"/>
      <c r="B153" s="1295"/>
      <c r="C153" s="1489"/>
      <c r="D153" s="1490"/>
      <c r="E153" s="1428" t="s">
        <v>6253</v>
      </c>
      <c r="F153" s="1462"/>
      <c r="G153" s="1429"/>
      <c r="H153" s="156"/>
      <c r="I153" s="346" t="s">
        <v>5471</v>
      </c>
      <c r="J153" s="48"/>
      <c r="K153" s="802" t="s">
        <v>13820</v>
      </c>
      <c r="L153" s="789"/>
    </row>
    <row r="154" spans="1:12" s="5" customFormat="1" ht="34.5" customHeight="1" x14ac:dyDescent="0.2">
      <c r="A154" s="1412" t="s">
        <v>13890</v>
      </c>
      <c r="B154" s="1293" t="s">
        <v>3299</v>
      </c>
      <c r="C154" s="1513" t="s">
        <v>13891</v>
      </c>
      <c r="D154" s="1514"/>
      <c r="E154" s="1517"/>
      <c r="F154" s="1518"/>
      <c r="G154" s="1519"/>
      <c r="H154" s="156" t="s">
        <v>13893</v>
      </c>
      <c r="I154" s="346"/>
      <c r="J154" s="48"/>
      <c r="K154" s="802" t="s">
        <v>13820</v>
      </c>
      <c r="L154" s="789"/>
    </row>
    <row r="155" spans="1:12" s="5" customFormat="1" ht="33.75" customHeight="1" x14ac:dyDescent="0.2">
      <c r="A155" s="1413"/>
      <c r="B155" s="1295"/>
      <c r="C155" s="1515"/>
      <c r="D155" s="1516"/>
      <c r="E155" s="1428" t="s">
        <v>13892</v>
      </c>
      <c r="F155" s="1462"/>
      <c r="G155" s="1429"/>
      <c r="H155" s="156" t="s">
        <v>13894</v>
      </c>
      <c r="I155" s="346" t="s">
        <v>10543</v>
      </c>
      <c r="J155" s="48"/>
      <c r="K155" s="802" t="s">
        <v>13820</v>
      </c>
      <c r="L155" s="789"/>
    </row>
    <row r="156" spans="1:12" s="5" customFormat="1" ht="34.5" customHeight="1" x14ac:dyDescent="0.2">
      <c r="A156" s="807" t="s">
        <v>13895</v>
      </c>
      <c r="B156" s="814" t="s">
        <v>13896</v>
      </c>
      <c r="C156" s="1405" t="s">
        <v>9669</v>
      </c>
      <c r="D156" s="1406"/>
      <c r="E156" s="1428" t="s">
        <v>3143</v>
      </c>
      <c r="F156" s="1462"/>
      <c r="G156" s="1429"/>
      <c r="H156" s="156" t="s">
        <v>3549</v>
      </c>
      <c r="I156" s="346" t="s">
        <v>3055</v>
      </c>
      <c r="J156" s="48"/>
      <c r="K156" s="802" t="s">
        <v>13820</v>
      </c>
      <c r="L156" s="789"/>
    </row>
    <row r="157" spans="1:12" s="5" customFormat="1" ht="35.25" customHeight="1" x14ac:dyDescent="0.2">
      <c r="A157" s="807" t="s">
        <v>13897</v>
      </c>
      <c r="B157" s="791" t="s">
        <v>13898</v>
      </c>
      <c r="C157" s="1469" t="s">
        <v>9671</v>
      </c>
      <c r="D157" s="1470"/>
      <c r="E157" s="825"/>
      <c r="F157" s="285"/>
      <c r="G157" s="327" t="s">
        <v>3370</v>
      </c>
      <c r="H157" s="156" t="s">
        <v>3550</v>
      </c>
      <c r="I157" s="346" t="s">
        <v>461</v>
      </c>
      <c r="J157" s="48"/>
      <c r="K157" s="802" t="s">
        <v>13820</v>
      </c>
      <c r="L157" s="789"/>
    </row>
    <row r="158" spans="1:12" ht="42" x14ac:dyDescent="0.2">
      <c r="A158" s="1412" t="s">
        <v>1870</v>
      </c>
      <c r="B158" s="1412" t="s">
        <v>3647</v>
      </c>
      <c r="C158" s="1409" t="s">
        <v>9733</v>
      </c>
      <c r="D158" s="1410"/>
      <c r="E158" s="12"/>
      <c r="F158" s="345" t="s">
        <v>4053</v>
      </c>
      <c r="G158" s="8" t="s">
        <v>1988</v>
      </c>
      <c r="H158" s="313" t="s">
        <v>3186</v>
      </c>
      <c r="I158" s="288" t="s">
        <v>475</v>
      </c>
      <c r="J158" s="20"/>
      <c r="K158" s="251" t="s">
        <v>8074</v>
      </c>
      <c r="L158" s="642" t="s">
        <v>10789</v>
      </c>
    </row>
    <row r="159" spans="1:12" ht="24" customHeight="1" x14ac:dyDescent="0.2">
      <c r="A159" s="1443"/>
      <c r="B159" s="1443"/>
      <c r="C159" s="1467"/>
      <c r="D159" s="1468"/>
      <c r="E159" s="1465" t="s">
        <v>3260</v>
      </c>
      <c r="F159" s="1466"/>
      <c r="G159" s="12"/>
      <c r="H159" s="306" t="s">
        <v>3185</v>
      </c>
      <c r="I159" s="306">
        <v>2010</v>
      </c>
      <c r="J159" s="20"/>
      <c r="K159" s="10" t="s">
        <v>3259</v>
      </c>
      <c r="L159" s="160"/>
    </row>
    <row r="160" spans="1:12" ht="22.5" x14ac:dyDescent="0.2">
      <c r="A160" s="1443"/>
      <c r="B160" s="1443"/>
      <c r="C160" s="1467"/>
      <c r="D160" s="1468"/>
      <c r="E160" s="1465" t="s">
        <v>3261</v>
      </c>
      <c r="F160" s="1466"/>
      <c r="G160" s="12"/>
      <c r="H160" s="306" t="s">
        <v>1989</v>
      </c>
      <c r="I160" s="306">
        <v>2010</v>
      </c>
      <c r="J160" s="20"/>
      <c r="K160" s="10" t="s">
        <v>3259</v>
      </c>
      <c r="L160" s="160"/>
    </row>
    <row r="161" spans="1:12" ht="37.5" customHeight="1" x14ac:dyDescent="0.2">
      <c r="A161" s="1413"/>
      <c r="B161" s="1413"/>
      <c r="C161" s="1451"/>
      <c r="D161" s="1452"/>
      <c r="E161" s="1465" t="s">
        <v>3865</v>
      </c>
      <c r="F161" s="1466"/>
      <c r="G161" s="12"/>
      <c r="H161" s="306" t="s">
        <v>3861</v>
      </c>
      <c r="I161" s="306" t="s">
        <v>3366</v>
      </c>
      <c r="J161" s="20"/>
      <c r="K161" s="10" t="s">
        <v>3773</v>
      </c>
      <c r="L161" s="218"/>
    </row>
    <row r="162" spans="1:12" s="57" customFormat="1" ht="46.5" customHeight="1" x14ac:dyDescent="0.2">
      <c r="A162" s="12" t="s">
        <v>1871</v>
      </c>
      <c r="B162" s="12" t="s">
        <v>3256</v>
      </c>
      <c r="C162" s="1348" t="s">
        <v>5733</v>
      </c>
      <c r="D162" s="1348"/>
      <c r="E162" s="12"/>
      <c r="F162" s="12" t="s">
        <v>3924</v>
      </c>
      <c r="G162" s="12" t="s">
        <v>1987</v>
      </c>
      <c r="H162" s="285" t="s">
        <v>3183</v>
      </c>
      <c r="I162" s="306" t="s">
        <v>3408</v>
      </c>
      <c r="J162" s="55"/>
      <c r="K162" s="8" t="s">
        <v>8074</v>
      </c>
      <c r="L162" s="8" t="s">
        <v>12013</v>
      </c>
    </row>
    <row r="163" spans="1:12" ht="41.25" customHeight="1" x14ac:dyDescent="0.2">
      <c r="A163" s="10" t="s">
        <v>2173</v>
      </c>
      <c r="B163" s="11" t="s">
        <v>4187</v>
      </c>
      <c r="C163" s="1407" t="s">
        <v>9734</v>
      </c>
      <c r="D163" s="1408"/>
      <c r="E163" s="12"/>
      <c r="F163" s="345" t="s">
        <v>3938</v>
      </c>
      <c r="G163" s="8" t="s">
        <v>3230</v>
      </c>
      <c r="H163" s="288" t="s">
        <v>3184</v>
      </c>
      <c r="I163" s="288"/>
      <c r="J163" s="20"/>
      <c r="K163" s="8" t="s">
        <v>9605</v>
      </c>
      <c r="L163" s="642" t="s">
        <v>12012</v>
      </c>
    </row>
    <row r="164" spans="1:12" ht="46.5" customHeight="1" x14ac:dyDescent="0.2">
      <c r="A164" s="10" t="s">
        <v>3399</v>
      </c>
      <c r="B164" s="657" t="s">
        <v>3437</v>
      </c>
      <c r="C164" s="1405" t="s">
        <v>9735</v>
      </c>
      <c r="D164" s="1406"/>
      <c r="E164" s="12"/>
      <c r="F164" s="46"/>
      <c r="G164" s="46" t="s">
        <v>3370</v>
      </c>
      <c r="H164" s="26" t="s">
        <v>3294</v>
      </c>
      <c r="I164" s="26" t="s">
        <v>461</v>
      </c>
      <c r="J164" s="20"/>
      <c r="K164" s="8" t="s">
        <v>9605</v>
      </c>
      <c r="L164" s="642" t="s">
        <v>12012</v>
      </c>
    </row>
    <row r="165" spans="1:12" s="5" customFormat="1" ht="33" customHeight="1" x14ac:dyDescent="0.2">
      <c r="A165" s="10" t="s">
        <v>1872</v>
      </c>
      <c r="B165" s="10" t="s">
        <v>3114</v>
      </c>
      <c r="C165" s="1407" t="s">
        <v>9672</v>
      </c>
      <c r="D165" s="1408"/>
      <c r="E165" s="12"/>
      <c r="F165" s="12"/>
      <c r="G165" s="12" t="s">
        <v>181</v>
      </c>
      <c r="H165" s="306" t="s">
        <v>3113</v>
      </c>
      <c r="I165" s="306">
        <v>1993</v>
      </c>
      <c r="J165" s="62"/>
      <c r="K165" s="251" t="s">
        <v>8074</v>
      </c>
      <c r="L165" s="642" t="s">
        <v>10789</v>
      </c>
    </row>
    <row r="166" spans="1:12" ht="35.25" customHeight="1" x14ac:dyDescent="0.2">
      <c r="A166" s="10" t="s">
        <v>1873</v>
      </c>
      <c r="B166" s="11" t="s">
        <v>13899</v>
      </c>
      <c r="C166" s="1407" t="s">
        <v>9673</v>
      </c>
      <c r="D166" s="1408"/>
      <c r="E166" s="12"/>
      <c r="F166" s="345" t="s">
        <v>4130</v>
      </c>
      <c r="G166" s="8" t="s">
        <v>1984</v>
      </c>
      <c r="H166" s="312">
        <v>25</v>
      </c>
      <c r="I166" s="288"/>
      <c r="J166" s="20"/>
      <c r="K166" s="8" t="s">
        <v>13820</v>
      </c>
      <c r="L166" s="8" t="s">
        <v>13861</v>
      </c>
    </row>
    <row r="167" spans="1:12" s="801" customFormat="1" ht="47.25" customHeight="1" x14ac:dyDescent="0.2">
      <c r="A167" s="803" t="s">
        <v>13900</v>
      </c>
      <c r="B167" s="11" t="s">
        <v>13901</v>
      </c>
      <c r="C167" s="1407" t="s">
        <v>14135</v>
      </c>
      <c r="D167" s="1408"/>
      <c r="E167" s="804"/>
      <c r="F167" s="345" t="s">
        <v>14136</v>
      </c>
      <c r="G167" s="802" t="s">
        <v>1984</v>
      </c>
      <c r="H167" s="312">
        <v>50</v>
      </c>
      <c r="I167" s="817" t="s">
        <v>159</v>
      </c>
      <c r="J167" s="805"/>
      <c r="K167" s="802" t="s">
        <v>13820</v>
      </c>
      <c r="L167" s="802" t="s">
        <v>13861</v>
      </c>
    </row>
    <row r="168" spans="1:12" ht="36.75" customHeight="1" x14ac:dyDescent="0.2">
      <c r="A168" s="10" t="s">
        <v>1874</v>
      </c>
      <c r="B168" s="10" t="s">
        <v>4194</v>
      </c>
      <c r="C168" s="1409" t="s">
        <v>5700</v>
      </c>
      <c r="D168" s="1410"/>
      <c r="E168" s="12"/>
      <c r="F168" s="345" t="s">
        <v>4112</v>
      </c>
      <c r="G168" s="8" t="s">
        <v>1985</v>
      </c>
      <c r="H168" s="312">
        <v>90.3</v>
      </c>
      <c r="I168" s="288" t="s">
        <v>18</v>
      </c>
      <c r="J168" s="20"/>
      <c r="K168" s="802" t="s">
        <v>13820</v>
      </c>
      <c r="L168" s="802" t="s">
        <v>13861</v>
      </c>
    </row>
    <row r="169" spans="1:12" ht="37.5" customHeight="1" x14ac:dyDescent="0.2">
      <c r="A169" s="10" t="s">
        <v>3376</v>
      </c>
      <c r="B169" s="10" t="s">
        <v>4195</v>
      </c>
      <c r="C169" s="1451"/>
      <c r="D169" s="1452"/>
      <c r="E169" s="12"/>
      <c r="F169" s="345" t="s">
        <v>4113</v>
      </c>
      <c r="G169" s="8" t="s">
        <v>1985</v>
      </c>
      <c r="H169" s="288">
        <v>90.3</v>
      </c>
      <c r="I169" s="288">
        <v>1960</v>
      </c>
      <c r="J169" s="20"/>
      <c r="K169" s="802" t="s">
        <v>13820</v>
      </c>
      <c r="L169" s="802" t="s">
        <v>13861</v>
      </c>
    </row>
    <row r="170" spans="1:12" ht="36.75" customHeight="1" x14ac:dyDescent="0.2">
      <c r="A170" s="655" t="s">
        <v>1875</v>
      </c>
      <c r="B170" s="11" t="s">
        <v>9679</v>
      </c>
      <c r="C170" s="1407" t="s">
        <v>7884</v>
      </c>
      <c r="D170" s="1408"/>
      <c r="E170" s="12"/>
      <c r="F170" s="12" t="s">
        <v>4114</v>
      </c>
      <c r="G170" s="8" t="s">
        <v>1984</v>
      </c>
      <c r="H170" s="312">
        <v>30</v>
      </c>
      <c r="I170" s="288" t="s">
        <v>3105</v>
      </c>
      <c r="J170" s="20"/>
      <c r="K170" s="802" t="s">
        <v>13820</v>
      </c>
      <c r="L170" s="802" t="s">
        <v>13861</v>
      </c>
    </row>
    <row r="171" spans="1:12" s="801" customFormat="1" ht="47.25" customHeight="1" x14ac:dyDescent="0.2">
      <c r="A171" s="794" t="s">
        <v>13903</v>
      </c>
      <c r="B171" s="11" t="s">
        <v>9679</v>
      </c>
      <c r="C171" s="1407" t="s">
        <v>14137</v>
      </c>
      <c r="D171" s="1408"/>
      <c r="E171" s="804"/>
      <c r="F171" s="804" t="s">
        <v>14138</v>
      </c>
      <c r="G171" s="802" t="s">
        <v>1984</v>
      </c>
      <c r="H171" s="312">
        <v>30</v>
      </c>
      <c r="I171" s="817" t="s">
        <v>3105</v>
      </c>
      <c r="J171" s="805"/>
      <c r="K171" s="802" t="s">
        <v>13820</v>
      </c>
      <c r="L171" s="802" t="s">
        <v>13861</v>
      </c>
    </row>
    <row r="172" spans="1:12" s="801" customFormat="1" ht="46.5" customHeight="1" x14ac:dyDescent="0.2">
      <c r="A172" s="794" t="s">
        <v>13904</v>
      </c>
      <c r="B172" s="11" t="s">
        <v>9679</v>
      </c>
      <c r="C172" s="1407" t="s">
        <v>14139</v>
      </c>
      <c r="D172" s="1408"/>
      <c r="E172" s="804"/>
      <c r="F172" s="804" t="s">
        <v>14140</v>
      </c>
      <c r="G172" s="802" t="s">
        <v>1984</v>
      </c>
      <c r="H172" s="312">
        <v>30</v>
      </c>
      <c r="I172" s="817" t="s">
        <v>3105</v>
      </c>
      <c r="J172" s="805"/>
      <c r="K172" s="802" t="s">
        <v>13820</v>
      </c>
      <c r="L172" s="802" t="s">
        <v>13861</v>
      </c>
    </row>
    <row r="173" spans="1:12" s="801" customFormat="1" ht="47.25" customHeight="1" x14ac:dyDescent="0.2">
      <c r="A173" s="794" t="s">
        <v>13905</v>
      </c>
      <c r="B173" s="11" t="s">
        <v>9679</v>
      </c>
      <c r="C173" s="1407" t="s">
        <v>14141</v>
      </c>
      <c r="D173" s="1408"/>
      <c r="E173" s="804"/>
      <c r="F173" s="804" t="s">
        <v>14142</v>
      </c>
      <c r="G173" s="802" t="s">
        <v>1984</v>
      </c>
      <c r="H173" s="312">
        <v>30</v>
      </c>
      <c r="I173" s="817" t="s">
        <v>3105</v>
      </c>
      <c r="J173" s="805"/>
      <c r="K173" s="802" t="s">
        <v>13820</v>
      </c>
      <c r="L173" s="802" t="s">
        <v>13861</v>
      </c>
    </row>
    <row r="174" spans="1:12" s="72" customFormat="1" ht="33.75" x14ac:dyDescent="0.2">
      <c r="A174" s="1412" t="s">
        <v>13902</v>
      </c>
      <c r="B174" s="1412" t="s">
        <v>3388</v>
      </c>
      <c r="C174" s="1409" t="s">
        <v>9736</v>
      </c>
      <c r="D174" s="1410"/>
      <c r="E174" s="12"/>
      <c r="F174" s="12" t="s">
        <v>3560</v>
      </c>
      <c r="G174" s="10" t="s">
        <v>181</v>
      </c>
      <c r="H174" s="306" t="s">
        <v>4792</v>
      </c>
      <c r="I174" s="306" t="s">
        <v>80</v>
      </c>
      <c r="J174" s="62"/>
      <c r="K174" s="251" t="s">
        <v>8074</v>
      </c>
      <c r="L174" s="642" t="s">
        <v>10789</v>
      </c>
    </row>
    <row r="175" spans="1:12" s="72" customFormat="1" ht="22.5" x14ac:dyDescent="0.2">
      <c r="A175" s="1443"/>
      <c r="B175" s="1443"/>
      <c r="C175" s="1467"/>
      <c r="D175" s="1468"/>
      <c r="E175" s="1428" t="s">
        <v>4181</v>
      </c>
      <c r="F175" s="1429"/>
      <c r="G175" s="10"/>
      <c r="H175" s="306"/>
      <c r="I175" s="306" t="s">
        <v>4182</v>
      </c>
      <c r="J175" s="62"/>
      <c r="K175" s="251" t="s">
        <v>8074</v>
      </c>
      <c r="L175" s="642" t="s">
        <v>10789</v>
      </c>
    </row>
    <row r="176" spans="1:12" s="72" customFormat="1" ht="22.5" x14ac:dyDescent="0.2">
      <c r="A176" s="1413"/>
      <c r="B176" s="1413"/>
      <c r="C176" s="1451"/>
      <c r="D176" s="1452"/>
      <c r="E176" s="1428" t="s">
        <v>4181</v>
      </c>
      <c r="F176" s="1429"/>
      <c r="G176" s="10"/>
      <c r="H176" s="306"/>
      <c r="I176" s="306" t="s">
        <v>4182</v>
      </c>
      <c r="J176" s="62"/>
      <c r="K176" s="251" t="s">
        <v>8074</v>
      </c>
      <c r="L176" s="642" t="s">
        <v>10789</v>
      </c>
    </row>
    <row r="177" spans="1:12" s="49" customFormat="1" ht="36.75" customHeight="1" x14ac:dyDescent="0.2">
      <c r="A177" s="1412" t="s">
        <v>3412</v>
      </c>
      <c r="B177" s="1412" t="s">
        <v>324</v>
      </c>
      <c r="C177" s="1409" t="s">
        <v>9674</v>
      </c>
      <c r="D177" s="1410"/>
      <c r="E177" s="1472" t="s">
        <v>3420</v>
      </c>
      <c r="F177" s="1472"/>
      <c r="G177" s="8" t="s">
        <v>181</v>
      </c>
      <c r="H177" s="663" t="s">
        <v>3421</v>
      </c>
      <c r="I177" s="288" t="s">
        <v>461</v>
      </c>
      <c r="J177" s="20"/>
      <c r="K177" s="251" t="s">
        <v>8074</v>
      </c>
      <c r="L177" s="642" t="s">
        <v>10789</v>
      </c>
    </row>
    <row r="178" spans="1:12" s="49" customFormat="1" ht="32.25" customHeight="1" x14ac:dyDescent="0.2">
      <c r="A178" s="1413"/>
      <c r="B178" s="1413"/>
      <c r="C178" s="1451"/>
      <c r="D178" s="1452"/>
      <c r="E178" s="1472" t="s">
        <v>3422</v>
      </c>
      <c r="F178" s="1472"/>
      <c r="G178" s="8" t="s">
        <v>3424</v>
      </c>
      <c r="H178" s="663" t="s">
        <v>3423</v>
      </c>
      <c r="I178" s="288">
        <v>2012</v>
      </c>
      <c r="J178" s="155"/>
      <c r="K178" s="251" t="s">
        <v>8074</v>
      </c>
      <c r="L178" s="642" t="s">
        <v>10789</v>
      </c>
    </row>
    <row r="179" spans="1:12" s="49" customFormat="1" ht="48" customHeight="1" x14ac:dyDescent="0.2">
      <c r="A179" s="10" t="s">
        <v>3417</v>
      </c>
      <c r="B179" s="661" t="s">
        <v>2446</v>
      </c>
      <c r="C179" s="1411" t="s">
        <v>9675</v>
      </c>
      <c r="D179" s="1411"/>
      <c r="E179" s="12"/>
      <c r="F179" s="12"/>
      <c r="G179" s="8" t="s">
        <v>181</v>
      </c>
      <c r="H179" s="663" t="s">
        <v>3418</v>
      </c>
      <c r="I179" s="663" t="s">
        <v>461</v>
      </c>
      <c r="J179" s="62"/>
      <c r="K179" s="251" t="s">
        <v>8074</v>
      </c>
      <c r="L179" s="642" t="s">
        <v>10789</v>
      </c>
    </row>
    <row r="180" spans="1:12" s="49" customFormat="1" ht="48" customHeight="1" x14ac:dyDescent="0.2">
      <c r="A180" s="10" t="s">
        <v>9613</v>
      </c>
      <c r="B180" s="10" t="s">
        <v>9540</v>
      </c>
      <c r="C180" s="1407" t="s">
        <v>9497</v>
      </c>
      <c r="D180" s="1408"/>
      <c r="E180" s="12"/>
      <c r="F180" s="648" t="s">
        <v>9585</v>
      </c>
      <c r="G180" s="12" t="s">
        <v>9499</v>
      </c>
      <c r="H180" s="649"/>
      <c r="I180" s="285" t="s">
        <v>3557</v>
      </c>
      <c r="J180" s="12"/>
      <c r="K180" s="251" t="s">
        <v>9827</v>
      </c>
      <c r="L180" s="642" t="s">
        <v>10789</v>
      </c>
    </row>
    <row r="181" spans="1:12" s="57" customFormat="1" ht="57" customHeight="1" x14ac:dyDescent="0.2">
      <c r="A181" s="10" t="s">
        <v>2174</v>
      </c>
      <c r="B181" s="10" t="s">
        <v>3258</v>
      </c>
      <c r="C181" s="1407" t="s">
        <v>9676</v>
      </c>
      <c r="D181" s="1408"/>
      <c r="E181" s="12"/>
      <c r="F181" s="12"/>
      <c r="G181" s="12" t="s">
        <v>2249</v>
      </c>
      <c r="H181" s="306"/>
      <c r="I181" s="306">
        <v>1993</v>
      </c>
      <c r="J181" s="62"/>
      <c r="K181" s="80" t="s">
        <v>4133</v>
      </c>
      <c r="L181" s="80" t="s">
        <v>4133</v>
      </c>
    </row>
    <row r="182" spans="1:12" ht="57.75" customHeight="1" x14ac:dyDescent="0.2">
      <c r="A182" s="655" t="s">
        <v>1876</v>
      </c>
      <c r="B182" s="11" t="s">
        <v>3119</v>
      </c>
      <c r="C182" s="1407" t="s">
        <v>9737</v>
      </c>
      <c r="D182" s="1408"/>
      <c r="E182" s="12"/>
      <c r="F182" s="345" t="s">
        <v>4056</v>
      </c>
      <c r="G182" s="8" t="s">
        <v>1987</v>
      </c>
      <c r="H182" s="288" t="s">
        <v>6657</v>
      </c>
      <c r="I182" s="288">
        <v>1993</v>
      </c>
      <c r="J182" s="20"/>
      <c r="K182" s="8" t="s">
        <v>9605</v>
      </c>
      <c r="L182" s="642" t="s">
        <v>12012</v>
      </c>
    </row>
    <row r="183" spans="1:12" ht="38.25" customHeight="1" x14ac:dyDescent="0.2">
      <c r="A183" s="655" t="s">
        <v>1877</v>
      </c>
      <c r="B183" s="10" t="s">
        <v>3314</v>
      </c>
      <c r="C183" s="1409" t="s">
        <v>13906</v>
      </c>
      <c r="D183" s="1410"/>
      <c r="E183" s="12"/>
      <c r="F183" s="345" t="s">
        <v>4131</v>
      </c>
      <c r="G183" s="8" t="s">
        <v>181</v>
      </c>
      <c r="H183" s="288" t="s">
        <v>3181</v>
      </c>
      <c r="I183" s="288" t="s">
        <v>82</v>
      </c>
      <c r="J183" s="153"/>
      <c r="K183" s="8" t="s">
        <v>13820</v>
      </c>
      <c r="L183" s="8" t="s">
        <v>13861</v>
      </c>
    </row>
    <row r="184" spans="1:12" ht="36.75" customHeight="1" x14ac:dyDescent="0.2">
      <c r="A184" s="10" t="s">
        <v>3377</v>
      </c>
      <c r="B184" s="10" t="s">
        <v>2465</v>
      </c>
      <c r="C184" s="1409" t="s">
        <v>9670</v>
      </c>
      <c r="D184" s="1410"/>
      <c r="E184" s="12"/>
      <c r="F184" s="8"/>
      <c r="G184" s="8" t="s">
        <v>2466</v>
      </c>
      <c r="H184" s="288" t="s">
        <v>3182</v>
      </c>
      <c r="I184" s="288">
        <v>2010</v>
      </c>
      <c r="J184" s="20"/>
      <c r="K184" s="802" t="s">
        <v>13820</v>
      </c>
      <c r="L184" s="802" t="s">
        <v>13861</v>
      </c>
    </row>
    <row r="185" spans="1:12" ht="39" customHeight="1" x14ac:dyDescent="0.2">
      <c r="A185" s="654" t="s">
        <v>3434</v>
      </c>
      <c r="B185" s="657" t="s">
        <v>180</v>
      </c>
      <c r="C185" s="1405" t="s">
        <v>9738</v>
      </c>
      <c r="D185" s="1406"/>
      <c r="E185" s="12"/>
      <c r="F185" s="46"/>
      <c r="G185" s="46" t="s">
        <v>3370</v>
      </c>
      <c r="H185" s="26" t="s">
        <v>3280</v>
      </c>
      <c r="I185" s="26" t="s">
        <v>461</v>
      </c>
      <c r="J185" s="40"/>
      <c r="K185" s="802" t="s">
        <v>13820</v>
      </c>
      <c r="L185" s="802" t="s">
        <v>13861</v>
      </c>
    </row>
    <row r="186" spans="1:12" ht="31.5" customHeight="1" x14ac:dyDescent="0.2">
      <c r="A186" s="1412" t="s">
        <v>1878</v>
      </c>
      <c r="B186" s="1412" t="s">
        <v>180</v>
      </c>
      <c r="C186" s="1409" t="s">
        <v>9739</v>
      </c>
      <c r="D186" s="1410"/>
      <c r="E186" s="12"/>
      <c r="F186" s="8"/>
      <c r="G186" s="8" t="s">
        <v>3273</v>
      </c>
      <c r="H186" s="288" t="s">
        <v>3274</v>
      </c>
      <c r="I186" s="288">
        <v>2010</v>
      </c>
      <c r="J186" s="20"/>
      <c r="K186" s="1286" t="s">
        <v>13820</v>
      </c>
      <c r="L186" s="1286" t="s">
        <v>13861</v>
      </c>
    </row>
    <row r="187" spans="1:12" ht="30.75" customHeight="1" x14ac:dyDescent="0.2">
      <c r="A187" s="1413"/>
      <c r="B187" s="1413"/>
      <c r="C187" s="1451"/>
      <c r="D187" s="1452"/>
      <c r="E187" s="1473" t="s">
        <v>3271</v>
      </c>
      <c r="F187" s="1473"/>
      <c r="G187" s="12" t="s">
        <v>2215</v>
      </c>
      <c r="H187" s="306" t="s">
        <v>3272</v>
      </c>
      <c r="I187" s="306">
        <v>2010</v>
      </c>
      <c r="J187" s="20"/>
      <c r="K187" s="1288"/>
      <c r="L187" s="1288"/>
    </row>
    <row r="188" spans="1:12" ht="72.75" customHeight="1" x14ac:dyDescent="0.2">
      <c r="A188" s="10" t="s">
        <v>3302</v>
      </c>
      <c r="B188" s="11" t="s">
        <v>4108</v>
      </c>
      <c r="C188" s="1407" t="s">
        <v>9719</v>
      </c>
      <c r="D188" s="1408"/>
      <c r="E188" s="12"/>
      <c r="F188" s="345" t="s">
        <v>5405</v>
      </c>
      <c r="G188" s="8" t="s">
        <v>1987</v>
      </c>
      <c r="H188" s="288" t="s">
        <v>13907</v>
      </c>
      <c r="I188" s="288" t="s">
        <v>475</v>
      </c>
      <c r="J188" s="20"/>
      <c r="K188" s="8" t="s">
        <v>13820</v>
      </c>
      <c r="L188" s="8" t="s">
        <v>13861</v>
      </c>
    </row>
    <row r="189" spans="1:12" ht="67.5" customHeight="1" x14ac:dyDescent="0.2">
      <c r="A189" s="10" t="s">
        <v>1879</v>
      </c>
      <c r="B189" s="10" t="s">
        <v>3833</v>
      </c>
      <c r="C189" s="1407" t="s">
        <v>9667</v>
      </c>
      <c r="D189" s="1408"/>
      <c r="E189" s="12"/>
      <c r="F189" s="648"/>
      <c r="G189" s="12" t="s">
        <v>181</v>
      </c>
      <c r="H189" s="306" t="s">
        <v>3180</v>
      </c>
      <c r="I189" s="306" t="s">
        <v>3478</v>
      </c>
      <c r="J189" s="62"/>
      <c r="K189" s="802" t="s">
        <v>13820</v>
      </c>
      <c r="L189" s="1303" t="s">
        <v>13861</v>
      </c>
    </row>
    <row r="190" spans="1:12" ht="35.25" customHeight="1" x14ac:dyDescent="0.2">
      <c r="A190" s="10" t="s">
        <v>3378</v>
      </c>
      <c r="B190" s="10" t="s">
        <v>180</v>
      </c>
      <c r="C190" s="1314" t="s">
        <v>9740</v>
      </c>
      <c r="D190" s="1314"/>
      <c r="E190" s="17"/>
      <c r="F190" s="222"/>
      <c r="G190" s="18" t="s">
        <v>3370</v>
      </c>
      <c r="H190" s="346" t="s">
        <v>3292</v>
      </c>
      <c r="I190" s="346" t="s">
        <v>461</v>
      </c>
      <c r="J190" s="48"/>
      <c r="K190" s="802" t="s">
        <v>13820</v>
      </c>
      <c r="L190" s="1304"/>
    </row>
    <row r="191" spans="1:12" ht="33" customHeight="1" x14ac:dyDescent="0.2">
      <c r="A191" s="10" t="s">
        <v>3379</v>
      </c>
      <c r="B191" s="10" t="s">
        <v>180</v>
      </c>
      <c r="C191" s="1314" t="s">
        <v>9741</v>
      </c>
      <c r="D191" s="1314"/>
      <c r="E191" s="17"/>
      <c r="F191" s="156"/>
      <c r="G191" s="18" t="s">
        <v>3370</v>
      </c>
      <c r="H191" s="346" t="s">
        <v>3282</v>
      </c>
      <c r="I191" s="346" t="s">
        <v>461</v>
      </c>
      <c r="J191" s="48"/>
      <c r="K191" s="802" t="s">
        <v>13820</v>
      </c>
      <c r="L191" s="1304"/>
    </row>
    <row r="192" spans="1:12" ht="33.75" customHeight="1" x14ac:dyDescent="0.2">
      <c r="A192" s="10" t="s">
        <v>3380</v>
      </c>
      <c r="B192" s="10" t="s">
        <v>180</v>
      </c>
      <c r="C192" s="1314" t="s">
        <v>9742</v>
      </c>
      <c r="D192" s="1314"/>
      <c r="E192" s="17"/>
      <c r="F192" s="156"/>
      <c r="G192" s="18" t="s">
        <v>3370</v>
      </c>
      <c r="H192" s="346" t="s">
        <v>3288</v>
      </c>
      <c r="I192" s="346" t="s">
        <v>461</v>
      </c>
      <c r="J192" s="48"/>
      <c r="K192" s="802" t="s">
        <v>13820</v>
      </c>
      <c r="L192" s="1304"/>
    </row>
    <row r="193" spans="1:12" ht="33" customHeight="1" x14ac:dyDescent="0.2">
      <c r="A193" s="10" t="s">
        <v>3381</v>
      </c>
      <c r="B193" s="10" t="s">
        <v>180</v>
      </c>
      <c r="C193" s="1314" t="s">
        <v>9743</v>
      </c>
      <c r="D193" s="1314"/>
      <c r="E193" s="17"/>
      <c r="F193" s="240"/>
      <c r="G193" s="18" t="s">
        <v>3370</v>
      </c>
      <c r="H193" s="259" t="s">
        <v>3283</v>
      </c>
      <c r="I193" s="346" t="s">
        <v>461</v>
      </c>
      <c r="J193" s="97"/>
      <c r="K193" s="802" t="s">
        <v>13820</v>
      </c>
      <c r="L193" s="1305"/>
    </row>
    <row r="194" spans="1:12" s="5" customFormat="1" x14ac:dyDescent="0.2">
      <c r="A194" s="10" t="s">
        <v>3382</v>
      </c>
      <c r="B194" s="10" t="s">
        <v>3270</v>
      </c>
      <c r="C194" s="1407" t="s">
        <v>7878</v>
      </c>
      <c r="D194" s="1408"/>
      <c r="E194" s="12"/>
      <c r="F194" s="12"/>
      <c r="G194" s="12" t="s">
        <v>1984</v>
      </c>
      <c r="H194" s="306"/>
      <c r="I194" s="306">
        <v>2008</v>
      </c>
      <c r="J194" s="62"/>
      <c r="K194" s="10"/>
      <c r="L194" s="10"/>
    </row>
    <row r="195" spans="1:12" ht="84.75" customHeight="1" x14ac:dyDescent="0.2">
      <c r="A195" s="10" t="s">
        <v>1880</v>
      </c>
      <c r="B195" s="11" t="s">
        <v>3128</v>
      </c>
      <c r="C195" s="1407" t="s">
        <v>9744</v>
      </c>
      <c r="D195" s="1408"/>
      <c r="E195" s="12"/>
      <c r="F195" s="345" t="s">
        <v>4118</v>
      </c>
      <c r="G195" s="8"/>
      <c r="H195" s="312">
        <v>855.3</v>
      </c>
      <c r="I195" s="288" t="s">
        <v>3478</v>
      </c>
      <c r="J195" s="20"/>
      <c r="K195" s="642" t="s">
        <v>8053</v>
      </c>
      <c r="L195" s="642" t="s">
        <v>8053</v>
      </c>
    </row>
    <row r="196" spans="1:12" ht="92.25" customHeight="1" x14ac:dyDescent="0.2">
      <c r="A196" s="10" t="s">
        <v>1881</v>
      </c>
      <c r="B196" s="10" t="s">
        <v>3368</v>
      </c>
      <c r="C196" s="1407" t="s">
        <v>9745</v>
      </c>
      <c r="D196" s="1408"/>
      <c r="E196" s="12"/>
      <c r="F196" s="12"/>
      <c r="G196" s="12" t="s">
        <v>1984</v>
      </c>
      <c r="H196" s="306"/>
      <c r="I196" s="306"/>
      <c r="J196" s="62"/>
      <c r="K196" s="10" t="s">
        <v>3763</v>
      </c>
      <c r="L196" s="10" t="s">
        <v>3763</v>
      </c>
    </row>
    <row r="197" spans="1:12" s="5" customFormat="1" ht="38.25" customHeight="1" x14ac:dyDescent="0.2">
      <c r="A197" s="10" t="s">
        <v>1882</v>
      </c>
      <c r="B197" s="10" t="s">
        <v>3367</v>
      </c>
      <c r="C197" s="1407" t="s">
        <v>9699</v>
      </c>
      <c r="D197" s="1408"/>
      <c r="E197" s="12"/>
      <c r="F197" s="12"/>
      <c r="G197" s="12"/>
      <c r="H197" s="306" t="s">
        <v>3179</v>
      </c>
      <c r="I197" s="306">
        <v>2008</v>
      </c>
      <c r="J197" s="62"/>
      <c r="K197" s="10"/>
      <c r="L197" s="10"/>
    </row>
    <row r="198" spans="1:12" s="5" customFormat="1" ht="59.25" customHeight="1" x14ac:dyDescent="0.2">
      <c r="A198" s="10" t="s">
        <v>1883</v>
      </c>
      <c r="B198" s="10" t="s">
        <v>316</v>
      </c>
      <c r="C198" s="1407" t="s">
        <v>9712</v>
      </c>
      <c r="D198" s="1408"/>
      <c r="E198" s="12"/>
      <c r="F198" s="12"/>
      <c r="G198" s="12"/>
      <c r="H198" s="306"/>
      <c r="I198" s="306">
        <v>2008</v>
      </c>
      <c r="J198" s="62"/>
      <c r="K198" s="10" t="s">
        <v>479</v>
      </c>
      <c r="L198" s="10" t="s">
        <v>479</v>
      </c>
    </row>
    <row r="199" spans="1:12" s="57" customFormat="1" ht="83.25" customHeight="1" x14ac:dyDescent="0.2">
      <c r="A199" s="10" t="s">
        <v>1884</v>
      </c>
      <c r="B199" s="10" t="s">
        <v>316</v>
      </c>
      <c r="C199" s="1407" t="s">
        <v>9746</v>
      </c>
      <c r="D199" s="1408"/>
      <c r="E199" s="12"/>
      <c r="F199" s="12"/>
      <c r="G199" s="12"/>
      <c r="H199" s="306"/>
      <c r="I199" s="306">
        <v>2008</v>
      </c>
      <c r="J199" s="62"/>
      <c r="K199" s="10" t="s">
        <v>7483</v>
      </c>
      <c r="L199" s="10" t="s">
        <v>7483</v>
      </c>
    </row>
    <row r="200" spans="1:12" s="57" customFormat="1" ht="60.75" customHeight="1" x14ac:dyDescent="0.2">
      <c r="A200" s="10" t="s">
        <v>1885</v>
      </c>
      <c r="B200" s="10" t="s">
        <v>316</v>
      </c>
      <c r="C200" s="1407" t="s">
        <v>5677</v>
      </c>
      <c r="D200" s="1408"/>
      <c r="E200" s="12"/>
      <c r="F200" s="12"/>
      <c r="G200" s="12"/>
      <c r="H200" s="306"/>
      <c r="I200" s="306">
        <v>2008</v>
      </c>
      <c r="J200" s="62"/>
      <c r="K200" s="10" t="s">
        <v>8248</v>
      </c>
      <c r="L200" s="10" t="s">
        <v>8248</v>
      </c>
    </row>
    <row r="201" spans="1:12" s="57" customFormat="1" ht="60.75" customHeight="1" x14ac:dyDescent="0.2">
      <c r="A201" s="10" t="s">
        <v>1886</v>
      </c>
      <c r="B201" s="10" t="s">
        <v>316</v>
      </c>
      <c r="C201" s="1407" t="s">
        <v>5677</v>
      </c>
      <c r="D201" s="1408"/>
      <c r="E201" s="12"/>
      <c r="F201" s="12"/>
      <c r="G201" s="12"/>
      <c r="H201" s="306"/>
      <c r="I201" s="306">
        <v>2008</v>
      </c>
      <c r="J201" s="62"/>
      <c r="K201" s="10" t="s">
        <v>8248</v>
      </c>
      <c r="L201" s="10" t="s">
        <v>8248</v>
      </c>
    </row>
    <row r="202" spans="1:12" s="57" customFormat="1" ht="59.25" customHeight="1" x14ac:dyDescent="0.2">
      <c r="A202" s="10" t="s">
        <v>1887</v>
      </c>
      <c r="B202" s="10" t="s">
        <v>316</v>
      </c>
      <c r="C202" s="1407" t="s">
        <v>5677</v>
      </c>
      <c r="D202" s="1408"/>
      <c r="E202" s="12"/>
      <c r="F202" s="12"/>
      <c r="G202" s="12"/>
      <c r="H202" s="306"/>
      <c r="I202" s="306">
        <v>2008</v>
      </c>
      <c r="J202" s="62"/>
      <c r="K202" s="10" t="s">
        <v>8248</v>
      </c>
      <c r="L202" s="10" t="s">
        <v>8248</v>
      </c>
    </row>
    <row r="203" spans="1:12" s="57" customFormat="1" ht="61.5" customHeight="1" x14ac:dyDescent="0.2">
      <c r="A203" s="10" t="s">
        <v>1888</v>
      </c>
      <c r="B203" s="10" t="s">
        <v>316</v>
      </c>
      <c r="C203" s="1407" t="s">
        <v>5677</v>
      </c>
      <c r="D203" s="1408"/>
      <c r="E203" s="12"/>
      <c r="F203" s="12"/>
      <c r="G203" s="12"/>
      <c r="H203" s="306"/>
      <c r="I203" s="306">
        <v>2008</v>
      </c>
      <c r="J203" s="62"/>
      <c r="K203" s="10" t="s">
        <v>8248</v>
      </c>
      <c r="L203" s="10" t="s">
        <v>8248</v>
      </c>
    </row>
    <row r="204" spans="1:12" s="57" customFormat="1" ht="63.75" customHeight="1" x14ac:dyDescent="0.2">
      <c r="A204" s="10" t="s">
        <v>1889</v>
      </c>
      <c r="B204" s="10" t="s">
        <v>316</v>
      </c>
      <c r="C204" s="1407" t="s">
        <v>5677</v>
      </c>
      <c r="D204" s="1408"/>
      <c r="E204" s="12"/>
      <c r="F204" s="12"/>
      <c r="G204" s="12"/>
      <c r="H204" s="306"/>
      <c r="I204" s="306">
        <v>2008</v>
      </c>
      <c r="J204" s="62"/>
      <c r="K204" s="10" t="s">
        <v>8248</v>
      </c>
      <c r="L204" s="10" t="s">
        <v>8248</v>
      </c>
    </row>
    <row r="205" spans="1:12" s="57" customFormat="1" ht="60" customHeight="1" x14ac:dyDescent="0.2">
      <c r="A205" s="10" t="s">
        <v>1890</v>
      </c>
      <c r="B205" s="10" t="s">
        <v>316</v>
      </c>
      <c r="C205" s="1407" t="s">
        <v>5677</v>
      </c>
      <c r="D205" s="1408"/>
      <c r="E205" s="12"/>
      <c r="F205" s="12"/>
      <c r="G205" s="12"/>
      <c r="H205" s="306"/>
      <c r="I205" s="306">
        <v>2008</v>
      </c>
      <c r="J205" s="62"/>
      <c r="K205" s="10" t="s">
        <v>8248</v>
      </c>
      <c r="L205" s="10" t="s">
        <v>8248</v>
      </c>
    </row>
    <row r="206" spans="1:12" s="57" customFormat="1" ht="38.25" customHeight="1" x14ac:dyDescent="0.2">
      <c r="A206" s="10" t="s">
        <v>1891</v>
      </c>
      <c r="B206" s="10" t="s">
        <v>2467</v>
      </c>
      <c r="C206" s="1407" t="s">
        <v>9690</v>
      </c>
      <c r="D206" s="1408"/>
      <c r="E206" s="12"/>
      <c r="F206" s="12"/>
      <c r="G206" s="12" t="s">
        <v>2269</v>
      </c>
      <c r="H206" s="306"/>
      <c r="I206" s="306">
        <v>2008</v>
      </c>
      <c r="J206" s="62"/>
      <c r="K206" s="10" t="s">
        <v>459</v>
      </c>
      <c r="L206" s="10" t="s">
        <v>459</v>
      </c>
    </row>
    <row r="207" spans="1:12" s="57" customFormat="1" ht="61.5" customHeight="1" x14ac:dyDescent="0.2">
      <c r="A207" s="10" t="s">
        <v>1892</v>
      </c>
      <c r="B207" s="10" t="s">
        <v>2468</v>
      </c>
      <c r="C207" s="1407" t="s">
        <v>5677</v>
      </c>
      <c r="D207" s="1408"/>
      <c r="E207" s="12"/>
      <c r="F207" s="12" t="s">
        <v>6362</v>
      </c>
      <c r="G207" s="12" t="s">
        <v>2175</v>
      </c>
      <c r="H207" s="306" t="s">
        <v>2176</v>
      </c>
      <c r="I207" s="306" t="s">
        <v>4119</v>
      </c>
      <c r="J207" s="62"/>
      <c r="K207" s="10" t="s">
        <v>8055</v>
      </c>
      <c r="L207" s="10" t="s">
        <v>8055</v>
      </c>
    </row>
    <row r="208" spans="1:12" s="5" customFormat="1" ht="26.25" customHeight="1" x14ac:dyDescent="0.2">
      <c r="A208" s="10" t="s">
        <v>1893</v>
      </c>
      <c r="B208" s="10" t="s">
        <v>317</v>
      </c>
      <c r="C208" s="1407" t="s">
        <v>5438</v>
      </c>
      <c r="D208" s="1408"/>
      <c r="E208" s="12"/>
      <c r="F208" s="12"/>
      <c r="G208" s="12"/>
      <c r="H208" s="315">
        <v>8400</v>
      </c>
      <c r="I208" s="306">
        <v>2009</v>
      </c>
      <c r="J208" s="62"/>
      <c r="K208" s="10"/>
      <c r="L208" s="10"/>
    </row>
    <row r="209" spans="1:12" s="5" customFormat="1" ht="36" customHeight="1" x14ac:dyDescent="0.2">
      <c r="A209" s="10" t="s">
        <v>2177</v>
      </c>
      <c r="B209" s="10" t="s">
        <v>318</v>
      </c>
      <c r="C209" s="1407" t="s">
        <v>9747</v>
      </c>
      <c r="D209" s="1408"/>
      <c r="E209" s="12"/>
      <c r="F209" s="12"/>
      <c r="G209" s="12"/>
      <c r="H209" s="306"/>
      <c r="I209" s="306">
        <v>2009</v>
      </c>
      <c r="J209" s="62"/>
      <c r="K209" s="10"/>
      <c r="L209" s="10"/>
    </row>
    <row r="210" spans="1:12" s="5" customFormat="1" ht="22.5" x14ac:dyDescent="0.2">
      <c r="A210" s="10" t="s">
        <v>1894</v>
      </c>
      <c r="B210" s="10" t="s">
        <v>2469</v>
      </c>
      <c r="C210" s="1407" t="s">
        <v>9748</v>
      </c>
      <c r="D210" s="1408"/>
      <c r="E210" s="12"/>
      <c r="F210" s="12"/>
      <c r="G210" s="12" t="s">
        <v>3315</v>
      </c>
      <c r="H210" s="306" t="s">
        <v>3178</v>
      </c>
      <c r="I210" s="306">
        <v>2010</v>
      </c>
      <c r="J210" s="62"/>
      <c r="K210" s="10" t="s">
        <v>3613</v>
      </c>
      <c r="L210" s="10"/>
    </row>
    <row r="211" spans="1:12" s="57" customFormat="1" ht="59.25" customHeight="1" x14ac:dyDescent="0.2">
      <c r="A211" s="10" t="s">
        <v>1895</v>
      </c>
      <c r="B211" s="10" t="s">
        <v>5832</v>
      </c>
      <c r="C211" s="1407" t="s">
        <v>5677</v>
      </c>
      <c r="D211" s="1408"/>
      <c r="E211" s="12"/>
      <c r="F211" s="648" t="s">
        <v>5891</v>
      </c>
      <c r="G211" s="12" t="s">
        <v>2470</v>
      </c>
      <c r="H211" s="306" t="s">
        <v>2471</v>
      </c>
      <c r="I211" s="306">
        <v>2011</v>
      </c>
      <c r="J211" s="62"/>
      <c r="K211" s="188" t="s">
        <v>479</v>
      </c>
      <c r="L211" s="188" t="s">
        <v>479</v>
      </c>
    </row>
    <row r="212" spans="1:12" s="57" customFormat="1" ht="59.25" customHeight="1" x14ac:dyDescent="0.2">
      <c r="A212" s="188" t="s">
        <v>1896</v>
      </c>
      <c r="B212" s="188" t="s">
        <v>6605</v>
      </c>
      <c r="C212" s="1449" t="s">
        <v>9749</v>
      </c>
      <c r="D212" s="1450"/>
      <c r="E212" s="180"/>
      <c r="F212" s="180"/>
      <c r="G212" s="180"/>
      <c r="H212" s="307"/>
      <c r="I212" s="307">
        <v>2009</v>
      </c>
      <c r="J212" s="231"/>
      <c r="K212" s="188" t="s">
        <v>8191</v>
      </c>
      <c r="L212" s="188" t="s">
        <v>8191</v>
      </c>
    </row>
    <row r="213" spans="1:12" s="57" customFormat="1" ht="60" customHeight="1" x14ac:dyDescent="0.2">
      <c r="A213" s="188" t="s">
        <v>1897</v>
      </c>
      <c r="B213" s="188" t="s">
        <v>326</v>
      </c>
      <c r="C213" s="1449" t="s">
        <v>9750</v>
      </c>
      <c r="D213" s="1450"/>
      <c r="E213" s="180"/>
      <c r="F213" s="180"/>
      <c r="G213" s="180"/>
      <c r="H213" s="307"/>
      <c r="I213" s="307">
        <v>2011</v>
      </c>
      <c r="J213" s="231"/>
      <c r="K213" s="188" t="s">
        <v>8191</v>
      </c>
      <c r="L213" s="188" t="s">
        <v>8191</v>
      </c>
    </row>
    <row r="214" spans="1:12" s="57" customFormat="1" ht="57.75" customHeight="1" x14ac:dyDescent="0.2">
      <c r="A214" s="188" t="s">
        <v>1898</v>
      </c>
      <c r="B214" s="188" t="s">
        <v>327</v>
      </c>
      <c r="C214" s="1454" t="s">
        <v>9534</v>
      </c>
      <c r="D214" s="1455"/>
      <c r="E214" s="1474" t="s">
        <v>9535</v>
      </c>
      <c r="F214" s="180"/>
      <c r="G214" s="180"/>
      <c r="H214" s="307"/>
      <c r="I214" s="307" t="s">
        <v>3718</v>
      </c>
      <c r="J214" s="231"/>
      <c r="K214" s="188" t="s">
        <v>4763</v>
      </c>
      <c r="L214" s="188" t="s">
        <v>4763</v>
      </c>
    </row>
    <row r="215" spans="1:12" s="57" customFormat="1" ht="49.5" customHeight="1" x14ac:dyDescent="0.2">
      <c r="A215" s="188" t="s">
        <v>9529</v>
      </c>
      <c r="B215" s="188" t="s">
        <v>9532</v>
      </c>
      <c r="C215" s="1456"/>
      <c r="D215" s="1457"/>
      <c r="E215" s="1475"/>
      <c r="F215" s="12" t="s">
        <v>9536</v>
      </c>
      <c r="G215" s="648" t="s">
        <v>9537</v>
      </c>
      <c r="H215" s="387">
        <v>259.10000000000002</v>
      </c>
      <c r="I215" s="307" t="s">
        <v>3718</v>
      </c>
      <c r="J215" s="231"/>
      <c r="K215" s="188" t="s">
        <v>4763</v>
      </c>
      <c r="L215" s="188" t="s">
        <v>4763</v>
      </c>
    </row>
    <row r="216" spans="1:12" s="57" customFormat="1" ht="48.75" customHeight="1" x14ac:dyDescent="0.2">
      <c r="A216" s="188" t="s">
        <v>9530</v>
      </c>
      <c r="B216" s="188" t="s">
        <v>9591</v>
      </c>
      <c r="C216" s="1456"/>
      <c r="D216" s="1457"/>
      <c r="E216" s="1475"/>
      <c r="F216" s="12" t="s">
        <v>9572</v>
      </c>
      <c r="G216" s="648" t="s">
        <v>9539</v>
      </c>
      <c r="H216" s="387">
        <v>23.8</v>
      </c>
      <c r="I216" s="307" t="s">
        <v>3718</v>
      </c>
      <c r="J216" s="231">
        <v>310689.71999999997</v>
      </c>
      <c r="K216" s="188" t="s">
        <v>4763</v>
      </c>
      <c r="L216" s="188" t="s">
        <v>4763</v>
      </c>
    </row>
    <row r="217" spans="1:12" s="57" customFormat="1" ht="48" customHeight="1" x14ac:dyDescent="0.2">
      <c r="A217" s="188" t="s">
        <v>9531</v>
      </c>
      <c r="B217" s="188" t="s">
        <v>9590</v>
      </c>
      <c r="C217" s="1458"/>
      <c r="D217" s="1459"/>
      <c r="E217" s="1476"/>
      <c r="F217" s="12" t="s">
        <v>9571</v>
      </c>
      <c r="G217" s="180" t="s">
        <v>9538</v>
      </c>
      <c r="H217" s="387">
        <v>74.900000000000006</v>
      </c>
      <c r="I217" s="307" t="s">
        <v>3718</v>
      </c>
      <c r="J217" s="231">
        <v>977758.83</v>
      </c>
      <c r="K217" s="188" t="s">
        <v>4763</v>
      </c>
      <c r="L217" s="188" t="s">
        <v>4763</v>
      </c>
    </row>
    <row r="218" spans="1:12" s="57" customFormat="1" ht="29.25" customHeight="1" x14ac:dyDescent="0.2">
      <c r="A218" s="10" t="s">
        <v>2197</v>
      </c>
      <c r="B218" s="10" t="s">
        <v>482</v>
      </c>
      <c r="C218" s="1407" t="s">
        <v>9751</v>
      </c>
      <c r="D218" s="1408"/>
      <c r="E218" s="12"/>
      <c r="F218" s="12"/>
      <c r="G218" s="12"/>
      <c r="H218" s="306"/>
      <c r="I218" s="306" t="s">
        <v>483</v>
      </c>
      <c r="J218" s="62"/>
      <c r="K218" s="10"/>
      <c r="L218" s="10"/>
    </row>
    <row r="219" spans="1:12" s="5" customFormat="1" ht="22.5" x14ac:dyDescent="0.2">
      <c r="A219" s="10" t="s">
        <v>1899</v>
      </c>
      <c r="B219" s="10" t="s">
        <v>3596</v>
      </c>
      <c r="C219" s="1407" t="s">
        <v>7878</v>
      </c>
      <c r="D219" s="1408"/>
      <c r="E219" s="12"/>
      <c r="F219" s="10"/>
      <c r="G219" s="10"/>
      <c r="H219" s="306"/>
      <c r="I219" s="306">
        <v>1965</v>
      </c>
      <c r="J219" s="186"/>
      <c r="K219" s="39" t="s">
        <v>3670</v>
      </c>
      <c r="L219" s="39" t="s">
        <v>3670</v>
      </c>
    </row>
    <row r="220" spans="1:12" ht="45.75" customHeight="1" x14ac:dyDescent="0.2">
      <c r="A220" s="10" t="s">
        <v>3442</v>
      </c>
      <c r="B220" s="11" t="s">
        <v>3830</v>
      </c>
      <c r="C220" s="1407" t="s">
        <v>9533</v>
      </c>
      <c r="D220" s="1408"/>
      <c r="E220" s="8"/>
      <c r="F220" s="12" t="s">
        <v>3829</v>
      </c>
      <c r="G220" s="11" t="s">
        <v>3441</v>
      </c>
      <c r="H220" s="288" t="s">
        <v>3177</v>
      </c>
      <c r="I220" s="288" t="s">
        <v>488</v>
      </c>
      <c r="J220" s="153"/>
      <c r="K220" s="1303" t="s">
        <v>9605</v>
      </c>
      <c r="L220" s="1293" t="s">
        <v>12012</v>
      </c>
    </row>
    <row r="221" spans="1:12" ht="22.5" x14ac:dyDescent="0.2">
      <c r="A221" s="10" t="s">
        <v>3443</v>
      </c>
      <c r="B221" s="657" t="s">
        <v>3438</v>
      </c>
      <c r="C221" s="1405" t="s">
        <v>9752</v>
      </c>
      <c r="D221" s="1406"/>
      <c r="E221" s="12"/>
      <c r="F221" s="46"/>
      <c r="G221" s="46" t="s">
        <v>3370</v>
      </c>
      <c r="H221" s="26" t="s">
        <v>3289</v>
      </c>
      <c r="I221" s="26" t="s">
        <v>461</v>
      </c>
      <c r="J221" s="153"/>
      <c r="K221" s="1305"/>
      <c r="L221" s="1295"/>
    </row>
    <row r="222" spans="1:12" s="5" customFormat="1" ht="22.5" x14ac:dyDescent="0.2">
      <c r="A222" s="10" t="s">
        <v>2198</v>
      </c>
      <c r="B222" s="10" t="s">
        <v>322</v>
      </c>
      <c r="C222" s="1407" t="s">
        <v>7878</v>
      </c>
      <c r="D222" s="1408"/>
      <c r="E222" s="12"/>
      <c r="F222" s="10"/>
      <c r="G222" s="10"/>
      <c r="H222" s="306"/>
      <c r="I222" s="306">
        <v>1975</v>
      </c>
      <c r="J222" s="39"/>
      <c r="K222" s="39" t="s">
        <v>3670</v>
      </c>
      <c r="L222" s="39" t="s">
        <v>3670</v>
      </c>
    </row>
    <row r="223" spans="1:12" s="5" customFormat="1" ht="37.5" customHeight="1" x14ac:dyDescent="0.2">
      <c r="A223" s="10" t="s">
        <v>1900</v>
      </c>
      <c r="B223" s="10" t="s">
        <v>7700</v>
      </c>
      <c r="C223" s="1407" t="s">
        <v>9667</v>
      </c>
      <c r="D223" s="1408"/>
      <c r="E223" s="12"/>
      <c r="F223" s="12" t="s">
        <v>7699</v>
      </c>
      <c r="G223" s="10" t="s">
        <v>181</v>
      </c>
      <c r="H223" s="306" t="s">
        <v>6658</v>
      </c>
      <c r="I223" s="306">
        <v>1971</v>
      </c>
      <c r="J223" s="39"/>
      <c r="K223" s="8" t="s">
        <v>13908</v>
      </c>
      <c r="L223" s="8" t="s">
        <v>13861</v>
      </c>
    </row>
    <row r="224" spans="1:12" s="5" customFormat="1" ht="35.25" customHeight="1" x14ac:dyDescent="0.2">
      <c r="A224" s="10" t="s">
        <v>1901</v>
      </c>
      <c r="B224" s="10" t="s">
        <v>3597</v>
      </c>
      <c r="C224" s="1407" t="s">
        <v>9667</v>
      </c>
      <c r="D224" s="1408"/>
      <c r="E224" s="12"/>
      <c r="F224" s="10"/>
      <c r="G224" s="10"/>
      <c r="H224" s="306"/>
      <c r="I224" s="306">
        <v>1965</v>
      </c>
      <c r="J224" s="39"/>
      <c r="K224" s="802"/>
      <c r="L224" s="802" t="s">
        <v>13997</v>
      </c>
    </row>
    <row r="225" spans="1:12" s="5" customFormat="1" ht="35.25" customHeight="1" x14ac:dyDescent="0.2">
      <c r="A225" s="10" t="s">
        <v>2203</v>
      </c>
      <c r="B225" s="10" t="s">
        <v>3598</v>
      </c>
      <c r="C225" s="1407" t="s">
        <v>9667</v>
      </c>
      <c r="D225" s="1408"/>
      <c r="E225" s="12"/>
      <c r="F225" s="10"/>
      <c r="G225" s="10"/>
      <c r="H225" s="306"/>
      <c r="I225" s="306">
        <v>1975</v>
      </c>
      <c r="J225" s="39"/>
      <c r="K225" s="802"/>
      <c r="L225" s="802" t="s">
        <v>13997</v>
      </c>
    </row>
    <row r="226" spans="1:12" s="5" customFormat="1" ht="34.5" customHeight="1" x14ac:dyDescent="0.2">
      <c r="A226" s="10" t="s">
        <v>1902</v>
      </c>
      <c r="B226" s="10" t="s">
        <v>3593</v>
      </c>
      <c r="C226" s="1407" t="s">
        <v>9667</v>
      </c>
      <c r="D226" s="1408"/>
      <c r="E226" s="12"/>
      <c r="F226" s="10"/>
      <c r="G226" s="10"/>
      <c r="H226" s="306"/>
      <c r="I226" s="306">
        <v>1967</v>
      </c>
      <c r="J226" s="39"/>
      <c r="K226" s="802"/>
      <c r="L226" s="802" t="s">
        <v>13997</v>
      </c>
    </row>
    <row r="227" spans="1:12" s="5" customFormat="1" ht="36.75" customHeight="1" x14ac:dyDescent="0.2">
      <c r="A227" s="10" t="s">
        <v>1903</v>
      </c>
      <c r="B227" s="10" t="s">
        <v>3599</v>
      </c>
      <c r="C227" s="1407" t="s">
        <v>9667</v>
      </c>
      <c r="D227" s="1408"/>
      <c r="E227" s="12"/>
      <c r="F227" s="10"/>
      <c r="G227" s="10"/>
      <c r="H227" s="306"/>
      <c r="I227" s="306">
        <v>1975</v>
      </c>
      <c r="J227" s="39"/>
      <c r="K227" s="802"/>
      <c r="L227" s="802" t="s">
        <v>13997</v>
      </c>
    </row>
    <row r="228" spans="1:12" s="5" customFormat="1" ht="36.75" customHeight="1" x14ac:dyDescent="0.2">
      <c r="A228" s="10" t="s">
        <v>1904</v>
      </c>
      <c r="B228" s="10" t="s">
        <v>3595</v>
      </c>
      <c r="C228" s="1407" t="s">
        <v>9667</v>
      </c>
      <c r="D228" s="1408"/>
      <c r="E228" s="12"/>
      <c r="F228" s="10"/>
      <c r="G228" s="10"/>
      <c r="H228" s="306"/>
      <c r="I228" s="306">
        <v>1967</v>
      </c>
      <c r="J228" s="39"/>
      <c r="K228" s="802"/>
      <c r="L228" s="802" t="s">
        <v>13997</v>
      </c>
    </row>
    <row r="229" spans="1:12" s="5" customFormat="1" ht="36.75" customHeight="1" x14ac:dyDescent="0.2">
      <c r="A229" s="10" t="s">
        <v>1905</v>
      </c>
      <c r="B229" s="10" t="s">
        <v>3592</v>
      </c>
      <c r="C229" s="1407" t="s">
        <v>9667</v>
      </c>
      <c r="D229" s="1408"/>
      <c r="E229" s="12"/>
      <c r="F229" s="10"/>
      <c r="G229" s="10"/>
      <c r="H229" s="306"/>
      <c r="I229" s="306">
        <v>1974</v>
      </c>
      <c r="J229" s="39"/>
      <c r="K229" s="802"/>
      <c r="L229" s="802" t="s">
        <v>13997</v>
      </c>
    </row>
    <row r="230" spans="1:12" s="5" customFormat="1" ht="36.75" customHeight="1" x14ac:dyDescent="0.2">
      <c r="A230" s="10" t="s">
        <v>1906</v>
      </c>
      <c r="B230" s="10" t="s">
        <v>3240</v>
      </c>
      <c r="C230" s="1407" t="s">
        <v>9667</v>
      </c>
      <c r="D230" s="1408"/>
      <c r="E230" s="12"/>
      <c r="F230" s="10"/>
      <c r="G230" s="10"/>
      <c r="H230" s="306"/>
      <c r="I230" s="306">
        <v>1944</v>
      </c>
      <c r="J230" s="39"/>
      <c r="K230" s="802"/>
      <c r="L230" s="802" t="s">
        <v>13997</v>
      </c>
    </row>
    <row r="231" spans="1:12" s="5" customFormat="1" ht="36.75" customHeight="1" x14ac:dyDescent="0.2">
      <c r="A231" s="10" t="s">
        <v>1907</v>
      </c>
      <c r="B231" s="10" t="s">
        <v>3594</v>
      </c>
      <c r="C231" s="1407" t="s">
        <v>9667</v>
      </c>
      <c r="D231" s="1408"/>
      <c r="E231" s="12"/>
      <c r="F231" s="10"/>
      <c r="G231" s="10"/>
      <c r="H231" s="306"/>
      <c r="I231" s="306">
        <v>1971</v>
      </c>
      <c r="J231" s="39"/>
      <c r="K231" s="8"/>
      <c r="L231" s="802" t="s">
        <v>13997</v>
      </c>
    </row>
    <row r="232" spans="1:12" s="5" customFormat="1" ht="36.75" customHeight="1" x14ac:dyDescent="0.2">
      <c r="A232" s="10" t="s">
        <v>1908</v>
      </c>
      <c r="B232" s="10" t="s">
        <v>3591</v>
      </c>
      <c r="C232" s="1407" t="s">
        <v>9667</v>
      </c>
      <c r="D232" s="1408"/>
      <c r="E232" s="12"/>
      <c r="F232" s="10"/>
      <c r="G232" s="10"/>
      <c r="H232" s="306"/>
      <c r="I232" s="306">
        <v>1974</v>
      </c>
      <c r="J232" s="39"/>
      <c r="K232" s="8"/>
      <c r="L232" s="802" t="s">
        <v>13997</v>
      </c>
    </row>
    <row r="233" spans="1:12" s="5" customFormat="1" ht="33" customHeight="1" x14ac:dyDescent="0.2">
      <c r="A233" s="10" t="s">
        <v>2179</v>
      </c>
      <c r="B233" s="10" t="s">
        <v>373</v>
      </c>
      <c r="C233" s="1407" t="s">
        <v>9667</v>
      </c>
      <c r="D233" s="1408"/>
      <c r="E233" s="12"/>
      <c r="F233" s="17"/>
      <c r="G233" s="17"/>
      <c r="H233" s="24"/>
      <c r="I233" s="24">
        <v>1985</v>
      </c>
      <c r="J233" s="54"/>
      <c r="K233" s="8"/>
      <c r="L233" s="802" t="s">
        <v>13997</v>
      </c>
    </row>
    <row r="234" spans="1:12" s="14" customFormat="1" x14ac:dyDescent="0.2">
      <c r="A234" s="17" t="s">
        <v>1909</v>
      </c>
      <c r="B234" s="47" t="s">
        <v>2472</v>
      </c>
      <c r="C234" s="1403" t="s">
        <v>7854</v>
      </c>
      <c r="D234" s="1404"/>
      <c r="E234" s="16"/>
      <c r="F234" s="47" t="s">
        <v>7981</v>
      </c>
      <c r="G234" s="47"/>
      <c r="H234" s="292" t="s">
        <v>2167</v>
      </c>
      <c r="I234" s="292">
        <v>1986</v>
      </c>
      <c r="J234" s="40"/>
      <c r="K234" s="39"/>
      <c r="L234" s="17"/>
    </row>
    <row r="235" spans="1:12" s="14" customFormat="1" ht="26.25" customHeight="1" x14ac:dyDescent="0.2">
      <c r="A235" s="17" t="s">
        <v>1910</v>
      </c>
      <c r="B235" s="47" t="s">
        <v>2473</v>
      </c>
      <c r="C235" s="1403" t="s">
        <v>7855</v>
      </c>
      <c r="D235" s="1404"/>
      <c r="E235" s="16"/>
      <c r="F235" s="47"/>
      <c r="G235" s="47"/>
      <c r="H235" s="292"/>
      <c r="I235" s="292">
        <v>1996</v>
      </c>
      <c r="J235" s="40"/>
      <c r="K235" s="17" t="s">
        <v>3237</v>
      </c>
      <c r="L235" s="17" t="s">
        <v>3236</v>
      </c>
    </row>
    <row r="236" spans="1:12" s="14" customFormat="1" ht="39" customHeight="1" x14ac:dyDescent="0.2">
      <c r="A236" s="17" t="s">
        <v>1911</v>
      </c>
      <c r="B236" s="47" t="s">
        <v>2474</v>
      </c>
      <c r="C236" s="1403" t="s">
        <v>7855</v>
      </c>
      <c r="D236" s="1404"/>
      <c r="E236" s="16"/>
      <c r="F236" s="47"/>
      <c r="G236" s="47" t="s">
        <v>2178</v>
      </c>
      <c r="H236" s="292" t="s">
        <v>9906</v>
      </c>
      <c r="I236" s="292">
        <v>1993</v>
      </c>
      <c r="J236" s="40"/>
      <c r="K236" s="17" t="s">
        <v>3237</v>
      </c>
      <c r="L236" s="17" t="s">
        <v>3236</v>
      </c>
    </row>
    <row r="237" spans="1:12" s="14" customFormat="1" ht="35.25" customHeight="1" x14ac:dyDescent="0.2">
      <c r="A237" s="17" t="s">
        <v>1912</v>
      </c>
      <c r="B237" s="17" t="s">
        <v>3120</v>
      </c>
      <c r="C237" s="1403" t="s">
        <v>9639</v>
      </c>
      <c r="D237" s="1404"/>
      <c r="E237" s="16"/>
      <c r="F237" s="47" t="s">
        <v>4165</v>
      </c>
      <c r="G237" s="47"/>
      <c r="H237" s="292" t="s">
        <v>9907</v>
      </c>
      <c r="I237" s="292">
        <v>1996</v>
      </c>
      <c r="J237" s="40"/>
      <c r="K237" s="8" t="s">
        <v>9605</v>
      </c>
      <c r="L237" s="642" t="s">
        <v>12012</v>
      </c>
    </row>
    <row r="238" spans="1:12" s="14" customFormat="1" ht="36.75" customHeight="1" x14ac:dyDescent="0.2">
      <c r="A238" s="17" t="s">
        <v>1913</v>
      </c>
      <c r="B238" s="17" t="s">
        <v>4186</v>
      </c>
      <c r="C238" s="1403" t="s">
        <v>7856</v>
      </c>
      <c r="D238" s="1404"/>
      <c r="E238" s="16"/>
      <c r="F238" s="47" t="s">
        <v>4166</v>
      </c>
      <c r="G238" s="47" t="s">
        <v>1987</v>
      </c>
      <c r="H238" s="292" t="s">
        <v>9908</v>
      </c>
      <c r="I238" s="292">
        <v>1996</v>
      </c>
      <c r="J238" s="40"/>
      <c r="K238" s="8" t="s">
        <v>9605</v>
      </c>
      <c r="L238" s="642" t="s">
        <v>12012</v>
      </c>
    </row>
    <row r="239" spans="1:12" s="71" customFormat="1" ht="26.25" customHeight="1" x14ac:dyDescent="0.2">
      <c r="A239" s="17" t="s">
        <v>13909</v>
      </c>
      <c r="B239" s="17" t="s">
        <v>2452</v>
      </c>
      <c r="C239" s="1403" t="s">
        <v>7857</v>
      </c>
      <c r="D239" s="1404"/>
      <c r="E239" s="92"/>
      <c r="F239" s="17"/>
      <c r="G239" s="17"/>
      <c r="H239" s="24"/>
      <c r="I239" s="308" t="s">
        <v>504</v>
      </c>
      <c r="J239" s="48"/>
      <c r="K239" s="17" t="s">
        <v>5128</v>
      </c>
      <c r="L239" s="17" t="s">
        <v>5128</v>
      </c>
    </row>
    <row r="240" spans="1:12" s="71" customFormat="1" ht="34.5" customHeight="1" x14ac:dyDescent="0.2">
      <c r="A240" s="17" t="s">
        <v>3472</v>
      </c>
      <c r="B240" s="17" t="s">
        <v>4978</v>
      </c>
      <c r="C240" s="1403" t="s">
        <v>7857</v>
      </c>
      <c r="D240" s="1404"/>
      <c r="E240" s="95"/>
      <c r="F240" s="96"/>
      <c r="G240" s="96"/>
      <c r="H240" s="308"/>
      <c r="I240" s="308" t="s">
        <v>504</v>
      </c>
      <c r="J240" s="97"/>
      <c r="K240" s="251" t="s">
        <v>8074</v>
      </c>
      <c r="L240" s="8" t="s">
        <v>10791</v>
      </c>
    </row>
    <row r="241" spans="1:12" s="71" customFormat="1" ht="46.5" customHeight="1" x14ac:dyDescent="0.2">
      <c r="A241" s="17" t="s">
        <v>4976</v>
      </c>
      <c r="B241" s="17" t="s">
        <v>180</v>
      </c>
      <c r="C241" s="1403" t="s">
        <v>14143</v>
      </c>
      <c r="D241" s="1404"/>
      <c r="E241" s="95"/>
      <c r="F241" s="96" t="s">
        <v>14144</v>
      </c>
      <c r="G241" s="96"/>
      <c r="H241" s="308" t="s">
        <v>3178</v>
      </c>
      <c r="I241" s="308" t="s">
        <v>504</v>
      </c>
      <c r="J241" s="97"/>
      <c r="K241" s="251" t="s">
        <v>13820</v>
      </c>
      <c r="L241" s="17" t="s">
        <v>13861</v>
      </c>
    </row>
    <row r="242" spans="1:12" s="71" customFormat="1" ht="23.25" customHeight="1" x14ac:dyDescent="0.2">
      <c r="A242" s="17" t="s">
        <v>4977</v>
      </c>
      <c r="B242" s="17" t="s">
        <v>4797</v>
      </c>
      <c r="C242" s="1403" t="s">
        <v>7857</v>
      </c>
      <c r="D242" s="1404"/>
      <c r="E242" s="95"/>
      <c r="F242" s="96"/>
      <c r="G242" s="96"/>
      <c r="H242" s="308"/>
      <c r="I242" s="308" t="s">
        <v>504</v>
      </c>
      <c r="J242" s="97"/>
      <c r="K242" s="251"/>
      <c r="L242" s="17"/>
    </row>
    <row r="243" spans="1:12" s="19" customFormat="1" ht="39" customHeight="1" x14ac:dyDescent="0.2">
      <c r="A243" s="17" t="s">
        <v>4979</v>
      </c>
      <c r="B243" s="656" t="s">
        <v>3438</v>
      </c>
      <c r="C243" s="1418" t="s">
        <v>7858</v>
      </c>
      <c r="D243" s="1419"/>
      <c r="E243" s="199"/>
      <c r="F243" s="157"/>
      <c r="G243" s="94" t="s">
        <v>3370</v>
      </c>
      <c r="H243" s="259" t="s">
        <v>3284</v>
      </c>
      <c r="I243" s="259" t="s">
        <v>461</v>
      </c>
      <c r="J243" s="97"/>
      <c r="K243" s="8" t="s">
        <v>9605</v>
      </c>
      <c r="L243" s="642" t="s">
        <v>12012</v>
      </c>
    </row>
    <row r="244" spans="1:12" s="19" customFormat="1" ht="21.75" customHeight="1" x14ac:dyDescent="0.2">
      <c r="A244" s="17" t="s">
        <v>13910</v>
      </c>
      <c r="B244" s="17" t="s">
        <v>2452</v>
      </c>
      <c r="C244" s="1403" t="s">
        <v>7859</v>
      </c>
      <c r="D244" s="1404"/>
      <c r="E244" s="92"/>
      <c r="F244" s="17"/>
      <c r="G244" s="17"/>
      <c r="H244" s="24"/>
      <c r="I244" s="308" t="s">
        <v>504</v>
      </c>
      <c r="J244" s="48"/>
      <c r="L244" s="145" t="s">
        <v>3667</v>
      </c>
    </row>
    <row r="245" spans="1:12" s="19" customFormat="1" ht="33.75" customHeight="1" x14ac:dyDescent="0.2">
      <c r="A245" s="17" t="s">
        <v>4975</v>
      </c>
      <c r="B245" s="17" t="s">
        <v>4978</v>
      </c>
      <c r="C245" s="1403" t="s">
        <v>7859</v>
      </c>
      <c r="D245" s="1404"/>
      <c r="E245" s="92"/>
      <c r="F245" s="17"/>
      <c r="G245" s="17"/>
      <c r="H245" s="24"/>
      <c r="I245" s="308" t="s">
        <v>504</v>
      </c>
      <c r="J245" s="48"/>
      <c r="K245" s="251" t="s">
        <v>8074</v>
      </c>
      <c r="L245" s="8" t="s">
        <v>10791</v>
      </c>
    </row>
    <row r="246" spans="1:12" s="19" customFormat="1" ht="47.25" customHeight="1" x14ac:dyDescent="0.2">
      <c r="A246" s="17" t="s">
        <v>4980</v>
      </c>
      <c r="B246" s="17" t="s">
        <v>180</v>
      </c>
      <c r="C246" s="1403" t="s">
        <v>14156</v>
      </c>
      <c r="D246" s="1404"/>
      <c r="E246" s="92"/>
      <c r="F246" s="17" t="s">
        <v>14153</v>
      </c>
      <c r="G246" s="17"/>
      <c r="H246" s="24" t="s">
        <v>13911</v>
      </c>
      <c r="I246" s="308" t="s">
        <v>504</v>
      </c>
      <c r="J246" s="48"/>
      <c r="K246" s="251" t="s">
        <v>13820</v>
      </c>
      <c r="L246" s="17" t="s">
        <v>13861</v>
      </c>
    </row>
    <row r="247" spans="1:12" s="19" customFormat="1" ht="24" customHeight="1" x14ac:dyDescent="0.2">
      <c r="A247" s="17" t="s">
        <v>4981</v>
      </c>
      <c r="B247" s="17" t="s">
        <v>4797</v>
      </c>
      <c r="C247" s="1403" t="s">
        <v>7859</v>
      </c>
      <c r="D247" s="1404"/>
      <c r="E247" s="92"/>
      <c r="F247" s="17"/>
      <c r="G247" s="17"/>
      <c r="H247" s="24"/>
      <c r="I247" s="308" t="s">
        <v>504</v>
      </c>
      <c r="J247" s="48"/>
      <c r="K247" s="251"/>
      <c r="L247" s="17"/>
    </row>
    <row r="248" spans="1:12" s="19" customFormat="1" ht="42" customHeight="1" x14ac:dyDescent="0.2">
      <c r="A248" s="17" t="s">
        <v>1914</v>
      </c>
      <c r="B248" s="17" t="s">
        <v>3552</v>
      </c>
      <c r="C248" s="1403" t="s">
        <v>9629</v>
      </c>
      <c r="D248" s="1404"/>
      <c r="E248" s="92"/>
      <c r="F248" s="17" t="s">
        <v>3852</v>
      </c>
      <c r="G248" s="17" t="s">
        <v>2151</v>
      </c>
      <c r="H248" s="24" t="s">
        <v>3229</v>
      </c>
      <c r="I248" s="24">
        <v>1997</v>
      </c>
      <c r="J248" s="48"/>
      <c r="K248" s="8" t="s">
        <v>9605</v>
      </c>
      <c r="L248" s="642" t="s">
        <v>12012</v>
      </c>
    </row>
    <row r="249" spans="1:12" s="19" customFormat="1" ht="42" customHeight="1" x14ac:dyDescent="0.2">
      <c r="A249" s="17" t="s">
        <v>11590</v>
      </c>
      <c r="B249" s="96" t="s">
        <v>11591</v>
      </c>
      <c r="C249" s="1403" t="s">
        <v>9629</v>
      </c>
      <c r="D249" s="1404"/>
      <c r="E249" s="92"/>
      <c r="F249" s="17" t="s">
        <v>11592</v>
      </c>
      <c r="G249" s="17" t="s">
        <v>11593</v>
      </c>
      <c r="H249" s="17" t="s">
        <v>11594</v>
      </c>
      <c r="I249" s="24" t="s">
        <v>3104</v>
      </c>
      <c r="J249" s="54"/>
      <c r="K249" s="8" t="s">
        <v>11595</v>
      </c>
      <c r="L249" s="642" t="s">
        <v>12012</v>
      </c>
    </row>
    <row r="250" spans="1:12" s="19" customFormat="1" ht="38.25" customHeight="1" x14ac:dyDescent="0.2">
      <c r="A250" s="1303" t="s">
        <v>1915</v>
      </c>
      <c r="B250" s="1303" t="s">
        <v>2446</v>
      </c>
      <c r="C250" s="1430" t="s">
        <v>7860</v>
      </c>
      <c r="D250" s="1431"/>
      <c r="E250" s="92"/>
      <c r="F250" s="17" t="s">
        <v>3914</v>
      </c>
      <c r="G250" s="17" t="s">
        <v>1987</v>
      </c>
      <c r="H250" s="24" t="s">
        <v>3915</v>
      </c>
      <c r="I250" s="24" t="s">
        <v>3546</v>
      </c>
      <c r="J250" s="48"/>
      <c r="K250" s="251" t="s">
        <v>8074</v>
      </c>
      <c r="L250" s="8" t="s">
        <v>10791</v>
      </c>
    </row>
    <row r="251" spans="1:12" s="19" customFormat="1" ht="35.25" customHeight="1" x14ac:dyDescent="0.2">
      <c r="A251" s="1453"/>
      <c r="B251" s="1453"/>
      <c r="C251" s="1432"/>
      <c r="D251" s="1433"/>
      <c r="E251" s="1482" t="s">
        <v>12676</v>
      </c>
      <c r="F251" s="1483"/>
      <c r="G251" s="17" t="s">
        <v>1987</v>
      </c>
      <c r="H251" s="24" t="s">
        <v>3266</v>
      </c>
      <c r="I251" s="24" t="s">
        <v>461</v>
      </c>
      <c r="J251" s="48"/>
      <c r="K251" s="642"/>
      <c r="L251" s="637"/>
    </row>
    <row r="252" spans="1:12" s="19" customFormat="1" ht="21.75" customHeight="1" x14ac:dyDescent="0.2">
      <c r="A252" s="1412" t="s">
        <v>1916</v>
      </c>
      <c r="B252" s="1303" t="s">
        <v>3544</v>
      </c>
      <c r="C252" s="1418" t="s">
        <v>7861</v>
      </c>
      <c r="D252" s="1419"/>
      <c r="E252" s="17"/>
      <c r="F252" s="17"/>
      <c r="G252" s="17"/>
      <c r="H252" s="24" t="s">
        <v>3176</v>
      </c>
      <c r="I252" s="24">
        <v>1998</v>
      </c>
      <c r="J252" s="48"/>
      <c r="K252" s="1303" t="s">
        <v>9605</v>
      </c>
      <c r="L252" s="1303" t="s">
        <v>12012</v>
      </c>
    </row>
    <row r="253" spans="1:12" s="19" customFormat="1" ht="20.25" customHeight="1" x14ac:dyDescent="0.2">
      <c r="A253" s="1443"/>
      <c r="B253" s="1304"/>
      <c r="C253" s="1401"/>
      <c r="D253" s="1446"/>
      <c r="E253" s="1403" t="s">
        <v>3124</v>
      </c>
      <c r="F253" s="1404"/>
      <c r="G253" s="17"/>
      <c r="H253" s="24" t="s">
        <v>3176</v>
      </c>
      <c r="I253" s="24" t="s">
        <v>483</v>
      </c>
      <c r="J253" s="48"/>
      <c r="K253" s="1305"/>
      <c r="L253" s="1305"/>
    </row>
    <row r="254" spans="1:12" s="14" customFormat="1" ht="22.5" x14ac:dyDescent="0.2">
      <c r="A254" s="10" t="s">
        <v>1917</v>
      </c>
      <c r="B254" s="17" t="s">
        <v>2475</v>
      </c>
      <c r="C254" s="1403" t="s">
        <v>7861</v>
      </c>
      <c r="D254" s="1404"/>
      <c r="E254" s="92"/>
      <c r="F254" s="17"/>
      <c r="G254" s="17"/>
      <c r="H254" s="24"/>
      <c r="I254" s="24">
        <v>1997</v>
      </c>
      <c r="J254" s="48"/>
      <c r="K254" s="17" t="s">
        <v>3237</v>
      </c>
      <c r="L254" s="17" t="s">
        <v>3236</v>
      </c>
    </row>
    <row r="255" spans="1:12" s="19" customFormat="1" ht="22.5" x14ac:dyDescent="0.2">
      <c r="A255" s="10" t="s">
        <v>1918</v>
      </c>
      <c r="B255" s="17" t="s">
        <v>2476</v>
      </c>
      <c r="C255" s="1403" t="s">
        <v>7862</v>
      </c>
      <c r="D255" s="1404"/>
      <c r="E255" s="92"/>
      <c r="F255" s="17"/>
      <c r="G255" s="17"/>
      <c r="H255" s="24"/>
      <c r="I255" s="24">
        <v>1962</v>
      </c>
      <c r="J255" s="48"/>
      <c r="K255" s="17" t="s">
        <v>3237</v>
      </c>
      <c r="L255" s="17" t="s">
        <v>3236</v>
      </c>
    </row>
    <row r="256" spans="1:12" s="19" customFormat="1" ht="22.5" customHeight="1" x14ac:dyDescent="0.2">
      <c r="A256" s="10" t="s">
        <v>1919</v>
      </c>
      <c r="B256" s="17" t="s">
        <v>2477</v>
      </c>
      <c r="C256" s="1403" t="s">
        <v>7862</v>
      </c>
      <c r="D256" s="1404"/>
      <c r="E256" s="92"/>
      <c r="F256" s="17"/>
      <c r="G256" s="17"/>
      <c r="H256" s="24"/>
      <c r="I256" s="24">
        <v>1969</v>
      </c>
      <c r="J256" s="48"/>
      <c r="K256" s="17" t="s">
        <v>3237</v>
      </c>
      <c r="L256" s="17" t="s">
        <v>3236</v>
      </c>
    </row>
    <row r="257" spans="1:12" s="19" customFormat="1" ht="22.5" customHeight="1" x14ac:dyDescent="0.2">
      <c r="A257" s="10" t="s">
        <v>1920</v>
      </c>
      <c r="B257" s="17" t="s">
        <v>2478</v>
      </c>
      <c r="C257" s="1403" t="s">
        <v>7862</v>
      </c>
      <c r="D257" s="1404"/>
      <c r="E257" s="92"/>
      <c r="F257" s="17"/>
      <c r="G257" s="17"/>
      <c r="H257" s="24"/>
      <c r="I257" s="24">
        <v>1967</v>
      </c>
      <c r="J257" s="48"/>
      <c r="K257" s="17" t="s">
        <v>3237</v>
      </c>
      <c r="L257" s="17" t="s">
        <v>3236</v>
      </c>
    </row>
    <row r="258" spans="1:12" s="19" customFormat="1" ht="22.5" customHeight="1" x14ac:dyDescent="0.2">
      <c r="A258" s="10" t="s">
        <v>1921</v>
      </c>
      <c r="B258" s="17" t="s">
        <v>2478</v>
      </c>
      <c r="C258" s="1403" t="s">
        <v>7862</v>
      </c>
      <c r="D258" s="1404"/>
      <c r="E258" s="92"/>
      <c r="F258" s="17"/>
      <c r="G258" s="17"/>
      <c r="H258" s="24"/>
      <c r="I258" s="24">
        <v>1964</v>
      </c>
      <c r="J258" s="48"/>
      <c r="K258" s="17" t="s">
        <v>3237</v>
      </c>
      <c r="L258" s="17" t="s">
        <v>3236</v>
      </c>
    </row>
    <row r="259" spans="1:12" s="19" customFormat="1" ht="22.5" customHeight="1" x14ac:dyDescent="0.2">
      <c r="A259" s="10" t="s">
        <v>1922</v>
      </c>
      <c r="B259" s="17" t="s">
        <v>2479</v>
      </c>
      <c r="C259" s="1403" t="s">
        <v>7862</v>
      </c>
      <c r="D259" s="1404"/>
      <c r="E259" s="92"/>
      <c r="F259" s="17"/>
      <c r="G259" s="17"/>
      <c r="H259" s="24"/>
      <c r="I259" s="24">
        <v>1970</v>
      </c>
      <c r="J259" s="48"/>
      <c r="K259" s="17" t="s">
        <v>3237</v>
      </c>
      <c r="L259" s="17" t="s">
        <v>3236</v>
      </c>
    </row>
    <row r="260" spans="1:12" s="19" customFormat="1" ht="22.5" customHeight="1" x14ac:dyDescent="0.2">
      <c r="A260" s="10" t="s">
        <v>1923</v>
      </c>
      <c r="B260" s="17" t="s">
        <v>2479</v>
      </c>
      <c r="C260" s="1403" t="s">
        <v>7862</v>
      </c>
      <c r="D260" s="1404"/>
      <c r="E260" s="92"/>
      <c r="F260" s="17"/>
      <c r="G260" s="17"/>
      <c r="H260" s="24"/>
      <c r="I260" s="24">
        <v>1965</v>
      </c>
      <c r="J260" s="48"/>
      <c r="K260" s="17" t="s">
        <v>3237</v>
      </c>
      <c r="L260" s="17" t="s">
        <v>3236</v>
      </c>
    </row>
    <row r="261" spans="1:12" s="14" customFormat="1" ht="22.5" x14ac:dyDescent="0.2">
      <c r="A261" s="10" t="s">
        <v>2199</v>
      </c>
      <c r="B261" s="17" t="s">
        <v>310</v>
      </c>
      <c r="C261" s="1403" t="s">
        <v>5436</v>
      </c>
      <c r="D261" s="1404"/>
      <c r="E261" s="92"/>
      <c r="F261" s="17"/>
      <c r="G261" s="17"/>
      <c r="H261" s="24"/>
      <c r="I261" s="24">
        <v>1975</v>
      </c>
      <c r="J261" s="48"/>
      <c r="K261" s="17" t="s">
        <v>3237</v>
      </c>
      <c r="L261" s="17" t="s">
        <v>3236</v>
      </c>
    </row>
    <row r="262" spans="1:12" s="19" customFormat="1" ht="22.5" x14ac:dyDescent="0.2">
      <c r="A262" s="10" t="s">
        <v>1924</v>
      </c>
      <c r="B262" s="17" t="s">
        <v>311</v>
      </c>
      <c r="C262" s="1403" t="s">
        <v>5437</v>
      </c>
      <c r="D262" s="1404"/>
      <c r="E262" s="92"/>
      <c r="F262" s="17"/>
      <c r="G262" s="54"/>
      <c r="H262" s="24"/>
      <c r="I262" s="24">
        <v>1996</v>
      </c>
      <c r="J262" s="48"/>
      <c r="K262" s="17" t="s">
        <v>3237</v>
      </c>
      <c r="L262" s="17" t="s">
        <v>3236</v>
      </c>
    </row>
    <row r="263" spans="1:12" s="19" customFormat="1" ht="22.5" x14ac:dyDescent="0.2">
      <c r="A263" s="10" t="s">
        <v>2200</v>
      </c>
      <c r="B263" s="17" t="s">
        <v>312</v>
      </c>
      <c r="C263" s="1403" t="s">
        <v>5437</v>
      </c>
      <c r="D263" s="1404"/>
      <c r="E263" s="92"/>
      <c r="F263" s="17"/>
      <c r="G263" s="54"/>
      <c r="H263" s="24"/>
      <c r="I263" s="24">
        <v>1996</v>
      </c>
      <c r="J263" s="48"/>
      <c r="K263" s="17" t="s">
        <v>3237</v>
      </c>
      <c r="L263" s="17" t="s">
        <v>3236</v>
      </c>
    </row>
    <row r="264" spans="1:12" s="19" customFormat="1" ht="22.5" x14ac:dyDescent="0.2">
      <c r="A264" s="10" t="s">
        <v>2204</v>
      </c>
      <c r="B264" s="17" t="s">
        <v>313</v>
      </c>
      <c r="C264" s="1403" t="s">
        <v>5437</v>
      </c>
      <c r="D264" s="1404"/>
      <c r="E264" s="92"/>
      <c r="F264" s="17"/>
      <c r="G264" s="54"/>
      <c r="H264" s="24"/>
      <c r="I264" s="24">
        <v>1996</v>
      </c>
      <c r="J264" s="48"/>
      <c r="K264" s="17" t="s">
        <v>3237</v>
      </c>
      <c r="L264" s="17" t="s">
        <v>3236</v>
      </c>
    </row>
    <row r="265" spans="1:12" s="14" customFormat="1" ht="37.5" customHeight="1" x14ac:dyDescent="0.2">
      <c r="A265" s="1412" t="s">
        <v>4809</v>
      </c>
      <c r="B265" s="1293" t="s">
        <v>3655</v>
      </c>
      <c r="C265" s="1418" t="s">
        <v>5437</v>
      </c>
      <c r="D265" s="1419"/>
      <c r="E265" s="115"/>
      <c r="F265" s="131" t="s">
        <v>3931</v>
      </c>
      <c r="G265" s="217" t="s">
        <v>1987</v>
      </c>
      <c r="H265" s="292" t="s">
        <v>3175</v>
      </c>
      <c r="I265" s="292">
        <v>1968</v>
      </c>
      <c r="J265" s="40"/>
      <c r="K265" s="251" t="s">
        <v>8074</v>
      </c>
      <c r="L265" s="642" t="s">
        <v>10794</v>
      </c>
    </row>
    <row r="266" spans="1:12" s="19" customFormat="1" ht="21.75" customHeight="1" x14ac:dyDescent="0.2">
      <c r="A266" s="1413"/>
      <c r="B266" s="1295"/>
      <c r="C266" s="1444"/>
      <c r="D266" s="1445"/>
      <c r="E266" s="1428" t="s">
        <v>6203</v>
      </c>
      <c r="F266" s="1429"/>
      <c r="G266" s="359"/>
      <c r="H266" s="24"/>
      <c r="I266" s="24" t="s">
        <v>5471</v>
      </c>
      <c r="J266" s="48"/>
      <c r="K266" s="251" t="s">
        <v>8074</v>
      </c>
      <c r="L266" s="642" t="s">
        <v>10794</v>
      </c>
    </row>
    <row r="267" spans="1:12" s="14" customFormat="1" ht="22.5" x14ac:dyDescent="0.2">
      <c r="A267" s="1412" t="s">
        <v>1925</v>
      </c>
      <c r="B267" s="1293" t="s">
        <v>3650</v>
      </c>
      <c r="C267" s="1418" t="s">
        <v>5437</v>
      </c>
      <c r="D267" s="1419"/>
      <c r="E267" s="16"/>
      <c r="F267" s="345" t="s">
        <v>3928</v>
      </c>
      <c r="G267" s="47" t="s">
        <v>1987</v>
      </c>
      <c r="H267" s="292" t="s">
        <v>2190</v>
      </c>
      <c r="I267" s="292">
        <v>1978</v>
      </c>
      <c r="J267" s="40"/>
      <c r="K267" s="251" t="s">
        <v>8074</v>
      </c>
      <c r="L267" s="642" t="s">
        <v>10794</v>
      </c>
    </row>
    <row r="268" spans="1:12" s="14" customFormat="1" ht="22.5" x14ac:dyDescent="0.2">
      <c r="A268" s="1443"/>
      <c r="B268" s="1294"/>
      <c r="C268" s="1401"/>
      <c r="D268" s="1446"/>
      <c r="E268" s="1465" t="s">
        <v>3866</v>
      </c>
      <c r="F268" s="1466"/>
      <c r="G268" s="8" t="s">
        <v>3869</v>
      </c>
      <c r="H268" s="288" t="s">
        <v>3863</v>
      </c>
      <c r="I268" s="288" t="s">
        <v>3366</v>
      </c>
      <c r="J268" s="20"/>
      <c r="K268" s="251" t="s">
        <v>8074</v>
      </c>
      <c r="L268" s="642" t="s">
        <v>10794</v>
      </c>
    </row>
    <row r="269" spans="1:12" s="14" customFormat="1" ht="21" customHeight="1" x14ac:dyDescent="0.2">
      <c r="A269" s="1443"/>
      <c r="B269" s="1294"/>
      <c r="C269" s="1401"/>
      <c r="D269" s="1446"/>
      <c r="E269" s="1465" t="s">
        <v>3867</v>
      </c>
      <c r="F269" s="1466"/>
      <c r="G269" s="8" t="s">
        <v>3869</v>
      </c>
      <c r="H269" s="288" t="s">
        <v>3870</v>
      </c>
      <c r="I269" s="288" t="s">
        <v>3366</v>
      </c>
      <c r="J269" s="20"/>
      <c r="K269" s="251" t="s">
        <v>8074</v>
      </c>
      <c r="L269" s="642" t="s">
        <v>10794</v>
      </c>
    </row>
    <row r="270" spans="1:12" s="14" customFormat="1" ht="21" customHeight="1" x14ac:dyDescent="0.2">
      <c r="A270" s="1413"/>
      <c r="B270" s="1295"/>
      <c r="C270" s="1444"/>
      <c r="D270" s="1445"/>
      <c r="E270" s="1465" t="s">
        <v>3868</v>
      </c>
      <c r="F270" s="1466"/>
      <c r="G270" s="8" t="s">
        <v>3869</v>
      </c>
      <c r="H270" s="288" t="s">
        <v>3871</v>
      </c>
      <c r="I270" s="288" t="s">
        <v>3366</v>
      </c>
      <c r="J270" s="20"/>
      <c r="K270" s="251" t="s">
        <v>8074</v>
      </c>
      <c r="L270" s="642" t="s">
        <v>10794</v>
      </c>
    </row>
    <row r="271" spans="1:12" s="14" customFormat="1" ht="36" customHeight="1" x14ac:dyDescent="0.2">
      <c r="A271" s="10" t="s">
        <v>1926</v>
      </c>
      <c r="B271" s="47" t="s">
        <v>3651</v>
      </c>
      <c r="C271" s="1418" t="s">
        <v>5437</v>
      </c>
      <c r="D271" s="1419"/>
      <c r="E271" s="16"/>
      <c r="F271" s="345" t="s">
        <v>3927</v>
      </c>
      <c r="G271" s="47" t="s">
        <v>1987</v>
      </c>
      <c r="H271" s="292" t="s">
        <v>3173</v>
      </c>
      <c r="I271" s="292">
        <v>1983</v>
      </c>
      <c r="J271" s="40"/>
      <c r="K271" s="251" t="s">
        <v>8074</v>
      </c>
      <c r="L271" s="642" t="s">
        <v>10794</v>
      </c>
    </row>
    <row r="272" spans="1:12" s="14" customFormat="1" ht="22.5" x14ac:dyDescent="0.2">
      <c r="A272" s="10" t="s">
        <v>4817</v>
      </c>
      <c r="B272" s="47" t="s">
        <v>4810</v>
      </c>
      <c r="C272" s="1401"/>
      <c r="D272" s="1446"/>
      <c r="E272" s="108"/>
      <c r="F272" s="108"/>
      <c r="G272" s="159"/>
      <c r="H272" s="292" t="s">
        <v>4454</v>
      </c>
      <c r="I272" s="292"/>
      <c r="J272" s="40"/>
      <c r="K272" s="251" t="s">
        <v>8074</v>
      </c>
      <c r="L272" s="642" t="s">
        <v>10794</v>
      </c>
    </row>
    <row r="273" spans="1:12" s="14" customFormat="1" ht="22.5" x14ac:dyDescent="0.2">
      <c r="A273" s="10" t="s">
        <v>4818</v>
      </c>
      <c r="B273" s="47" t="s">
        <v>4815</v>
      </c>
      <c r="C273" s="1401"/>
      <c r="D273" s="1446"/>
      <c r="E273" s="108"/>
      <c r="F273" s="108"/>
      <c r="G273" s="159"/>
      <c r="H273" s="292" t="s">
        <v>4812</v>
      </c>
      <c r="I273" s="292"/>
      <c r="J273" s="40"/>
      <c r="K273" s="251" t="s">
        <v>8074</v>
      </c>
      <c r="L273" s="642" t="s">
        <v>10794</v>
      </c>
    </row>
    <row r="274" spans="1:12" s="14" customFormat="1" ht="22.5" x14ac:dyDescent="0.2">
      <c r="A274" s="10" t="s">
        <v>4819</v>
      </c>
      <c r="B274" s="47" t="s">
        <v>4811</v>
      </c>
      <c r="C274" s="1401"/>
      <c r="D274" s="1446"/>
      <c r="E274" s="108"/>
      <c r="F274" s="108"/>
      <c r="G274" s="159"/>
      <c r="H274" s="292" t="s">
        <v>4813</v>
      </c>
      <c r="I274" s="292"/>
      <c r="J274" s="40"/>
      <c r="K274" s="251" t="s">
        <v>8074</v>
      </c>
      <c r="L274" s="642" t="s">
        <v>10794</v>
      </c>
    </row>
    <row r="275" spans="1:12" s="14" customFormat="1" ht="22.5" x14ac:dyDescent="0.2">
      <c r="A275" s="10" t="s">
        <v>4820</v>
      </c>
      <c r="B275" s="47" t="s">
        <v>4816</v>
      </c>
      <c r="C275" s="1444"/>
      <c r="D275" s="1445"/>
      <c r="E275" s="108"/>
      <c r="F275" s="108"/>
      <c r="G275" s="159"/>
      <c r="H275" s="292" t="s">
        <v>4814</v>
      </c>
      <c r="I275" s="292"/>
      <c r="J275" s="40"/>
      <c r="K275" s="251" t="s">
        <v>8074</v>
      </c>
      <c r="L275" s="642" t="s">
        <v>10794</v>
      </c>
    </row>
    <row r="276" spans="1:12" s="19" customFormat="1" ht="23.25" customHeight="1" x14ac:dyDescent="0.2">
      <c r="A276" s="10" t="s">
        <v>2205</v>
      </c>
      <c r="B276" s="17" t="s">
        <v>314</v>
      </c>
      <c r="C276" s="1403" t="s">
        <v>5436</v>
      </c>
      <c r="D276" s="1404"/>
      <c r="E276" s="92"/>
      <c r="F276" s="17"/>
      <c r="G276" s="17"/>
      <c r="H276" s="24"/>
      <c r="I276" s="24">
        <v>1996</v>
      </c>
      <c r="J276" s="48"/>
      <c r="K276" s="17" t="s">
        <v>285</v>
      </c>
      <c r="L276" s="17" t="s">
        <v>285</v>
      </c>
    </row>
    <row r="277" spans="1:12" s="19" customFormat="1" ht="22.5" x14ac:dyDescent="0.2">
      <c r="A277" s="10" t="s">
        <v>1927</v>
      </c>
      <c r="B277" s="17" t="s">
        <v>315</v>
      </c>
      <c r="C277" s="1403" t="s">
        <v>5436</v>
      </c>
      <c r="D277" s="1404"/>
      <c r="E277" s="92"/>
      <c r="F277" s="17"/>
      <c r="G277" s="17"/>
      <c r="H277" s="24"/>
      <c r="I277" s="24">
        <v>1996</v>
      </c>
      <c r="J277" s="48"/>
      <c r="K277" s="17" t="s">
        <v>284</v>
      </c>
      <c r="L277" s="17"/>
    </row>
    <row r="278" spans="1:12" s="14" customFormat="1" ht="48" customHeight="1" x14ac:dyDescent="0.2">
      <c r="A278" s="10" t="s">
        <v>13912</v>
      </c>
      <c r="B278" s="47" t="s">
        <v>2486</v>
      </c>
      <c r="C278" s="1405" t="s">
        <v>7863</v>
      </c>
      <c r="D278" s="1406"/>
      <c r="E278" s="16"/>
      <c r="F278" s="345" t="s">
        <v>4054</v>
      </c>
      <c r="G278" s="47" t="s">
        <v>2482</v>
      </c>
      <c r="H278" s="292" t="s">
        <v>3174</v>
      </c>
      <c r="I278" s="292">
        <v>1996</v>
      </c>
      <c r="J278" s="40"/>
      <c r="K278" s="8" t="s">
        <v>9605</v>
      </c>
      <c r="L278" s="1382" t="s">
        <v>12012</v>
      </c>
    </row>
    <row r="279" spans="1:12" s="14" customFormat="1" ht="36.75" customHeight="1" x14ac:dyDescent="0.2">
      <c r="A279" s="10" t="s">
        <v>3411</v>
      </c>
      <c r="B279" s="657" t="s">
        <v>3437</v>
      </c>
      <c r="C279" s="1405" t="s">
        <v>7864</v>
      </c>
      <c r="D279" s="1406"/>
      <c r="E279" s="12"/>
      <c r="F279" s="40"/>
      <c r="G279" s="46" t="s">
        <v>3839</v>
      </c>
      <c r="H279" s="26" t="s">
        <v>3296</v>
      </c>
      <c r="I279" s="26" t="s">
        <v>461</v>
      </c>
      <c r="J279" s="40"/>
      <c r="K279" s="8" t="s">
        <v>9605</v>
      </c>
      <c r="L279" s="1382"/>
    </row>
    <row r="280" spans="1:12" s="19" customFormat="1" ht="34.5" customHeight="1" x14ac:dyDescent="0.2">
      <c r="A280" s="10" t="s">
        <v>1928</v>
      </c>
      <c r="B280" s="17" t="s">
        <v>13913</v>
      </c>
      <c r="C280" s="1403" t="s">
        <v>9667</v>
      </c>
      <c r="D280" s="1404"/>
      <c r="E280" s="92"/>
      <c r="F280" s="17" t="s">
        <v>13914</v>
      </c>
      <c r="G280" s="17"/>
      <c r="H280" s="24" t="s">
        <v>13915</v>
      </c>
      <c r="I280" s="24">
        <v>1977</v>
      </c>
      <c r="J280" s="48"/>
      <c r="K280" s="8" t="s">
        <v>13820</v>
      </c>
      <c r="L280" s="8" t="s">
        <v>13861</v>
      </c>
    </row>
    <row r="281" spans="1:12" s="19" customFormat="1" ht="35.25" customHeight="1" x14ac:dyDescent="0.2">
      <c r="A281" s="1412" t="s">
        <v>1929</v>
      </c>
      <c r="B281" s="1303" t="s">
        <v>3833</v>
      </c>
      <c r="C281" s="1418" t="s">
        <v>13916</v>
      </c>
      <c r="D281" s="1423"/>
      <c r="E281" s="92"/>
      <c r="F281" s="17" t="s">
        <v>3834</v>
      </c>
      <c r="G281" s="17" t="s">
        <v>9325</v>
      </c>
      <c r="H281" s="24" t="s">
        <v>3265</v>
      </c>
      <c r="I281" s="24">
        <v>1948</v>
      </c>
      <c r="J281" s="48"/>
      <c r="K281" s="802" t="s">
        <v>13820</v>
      </c>
      <c r="L281" s="1286" t="s">
        <v>13861</v>
      </c>
    </row>
    <row r="282" spans="1:12" s="19" customFormat="1" ht="36.75" customHeight="1" x14ac:dyDescent="0.2">
      <c r="A282" s="1453"/>
      <c r="B282" s="1263"/>
      <c r="C282" s="1426"/>
      <c r="D282" s="1427"/>
      <c r="E282" s="1479" t="s">
        <v>3263</v>
      </c>
      <c r="F282" s="1480"/>
      <c r="G282" s="1481"/>
      <c r="H282" s="316" t="s">
        <v>3264</v>
      </c>
      <c r="I282" s="24">
        <v>2012</v>
      </c>
      <c r="J282" s="48"/>
      <c r="K282" s="802" t="s">
        <v>13820</v>
      </c>
      <c r="L282" s="1288"/>
    </row>
    <row r="283" spans="1:12" s="19" customFormat="1" ht="35.25" customHeight="1" x14ac:dyDescent="0.2">
      <c r="A283" s="10" t="s">
        <v>1930</v>
      </c>
      <c r="B283" s="17" t="s">
        <v>2483</v>
      </c>
      <c r="C283" s="1403" t="s">
        <v>9753</v>
      </c>
      <c r="D283" s="1404"/>
      <c r="E283" s="92"/>
      <c r="F283" s="17"/>
      <c r="G283" s="17"/>
      <c r="H283" s="24"/>
      <c r="I283" s="24">
        <v>1948</v>
      </c>
      <c r="J283" s="48"/>
      <c r="K283" s="8"/>
      <c r="L283" s="8" t="s">
        <v>13997</v>
      </c>
    </row>
    <row r="284" spans="1:12" s="19" customFormat="1" ht="35.25" customHeight="1" x14ac:dyDescent="0.2">
      <c r="A284" s="10" t="s">
        <v>1931</v>
      </c>
      <c r="B284" s="17" t="s">
        <v>2484</v>
      </c>
      <c r="C284" s="1403" t="s">
        <v>9754</v>
      </c>
      <c r="D284" s="1404"/>
      <c r="E284" s="92"/>
      <c r="F284" s="17"/>
      <c r="G284" s="17"/>
      <c r="H284" s="24"/>
      <c r="I284" s="24">
        <v>1962</v>
      </c>
      <c r="J284" s="48"/>
      <c r="K284" s="8"/>
      <c r="L284" s="802" t="s">
        <v>13997</v>
      </c>
    </row>
    <row r="285" spans="1:12" s="19" customFormat="1" ht="35.25" customHeight="1" x14ac:dyDescent="0.2">
      <c r="A285" s="10" t="s">
        <v>1932</v>
      </c>
      <c r="B285" s="17" t="s">
        <v>2485</v>
      </c>
      <c r="C285" s="1403" t="s">
        <v>9754</v>
      </c>
      <c r="D285" s="1404"/>
      <c r="E285" s="92"/>
      <c r="F285" s="17"/>
      <c r="G285" s="17"/>
      <c r="H285" s="24"/>
      <c r="I285" s="24">
        <v>1957</v>
      </c>
      <c r="J285" s="48"/>
      <c r="K285" s="8"/>
      <c r="L285" s="802" t="s">
        <v>13997</v>
      </c>
    </row>
    <row r="286" spans="1:12" s="19" customFormat="1" ht="35.25" customHeight="1" x14ac:dyDescent="0.2">
      <c r="A286" s="10" t="s">
        <v>2180</v>
      </c>
      <c r="B286" s="17" t="s">
        <v>9755</v>
      </c>
      <c r="C286" s="1403" t="s">
        <v>9754</v>
      </c>
      <c r="D286" s="1404"/>
      <c r="E286" s="92"/>
      <c r="F286" s="17"/>
      <c r="G286" s="17"/>
      <c r="H286" s="24"/>
      <c r="I286" s="24">
        <v>1948</v>
      </c>
      <c r="J286" s="48"/>
      <c r="K286" s="8"/>
      <c r="L286" s="802" t="s">
        <v>13997</v>
      </c>
    </row>
    <row r="287" spans="1:12" s="19" customFormat="1" ht="35.25" customHeight="1" x14ac:dyDescent="0.2">
      <c r="A287" s="10" t="s">
        <v>2201</v>
      </c>
      <c r="B287" s="17" t="s">
        <v>9756</v>
      </c>
      <c r="C287" s="1403" t="s">
        <v>9754</v>
      </c>
      <c r="D287" s="1404"/>
      <c r="E287" s="92"/>
      <c r="F287" s="17"/>
      <c r="G287" s="17"/>
      <c r="H287" s="24"/>
      <c r="I287" s="24">
        <v>1948</v>
      </c>
      <c r="J287" s="48"/>
      <c r="K287" s="8"/>
      <c r="L287" s="802" t="s">
        <v>13997</v>
      </c>
    </row>
    <row r="288" spans="1:12" s="19" customFormat="1" ht="35.25" customHeight="1" x14ac:dyDescent="0.2">
      <c r="A288" s="10" t="s">
        <v>2181</v>
      </c>
      <c r="B288" s="17" t="s">
        <v>9757</v>
      </c>
      <c r="C288" s="1403" t="s">
        <v>9754</v>
      </c>
      <c r="D288" s="1404"/>
      <c r="E288" s="92"/>
      <c r="F288" s="17"/>
      <c r="G288" s="17"/>
      <c r="H288" s="24"/>
      <c r="I288" s="24">
        <v>1948</v>
      </c>
      <c r="J288" s="48"/>
      <c r="K288" s="8"/>
      <c r="L288" s="802" t="s">
        <v>13997</v>
      </c>
    </row>
    <row r="289" spans="1:12" s="19" customFormat="1" ht="35.25" customHeight="1" x14ac:dyDescent="0.2">
      <c r="A289" s="10" t="s">
        <v>1968</v>
      </c>
      <c r="B289" s="17" t="s">
        <v>9758</v>
      </c>
      <c r="C289" s="1403" t="s">
        <v>9754</v>
      </c>
      <c r="D289" s="1404"/>
      <c r="E289" s="92"/>
      <c r="F289" s="17"/>
      <c r="G289" s="17"/>
      <c r="H289" s="24"/>
      <c r="I289" s="24">
        <v>1948</v>
      </c>
      <c r="J289" s="48"/>
      <c r="K289" s="8"/>
      <c r="L289" s="802" t="s">
        <v>13997</v>
      </c>
    </row>
    <row r="290" spans="1:12" s="19" customFormat="1" ht="35.25" customHeight="1" x14ac:dyDescent="0.2">
      <c r="A290" s="10" t="s">
        <v>2206</v>
      </c>
      <c r="B290" s="17" t="s">
        <v>9759</v>
      </c>
      <c r="C290" s="1403" t="s">
        <v>9754</v>
      </c>
      <c r="D290" s="1404"/>
      <c r="E290" s="92"/>
      <c r="F290" s="17"/>
      <c r="G290" s="17"/>
      <c r="H290" s="24"/>
      <c r="I290" s="24">
        <v>1948</v>
      </c>
      <c r="J290" s="48"/>
      <c r="K290" s="8"/>
      <c r="L290" s="802" t="s">
        <v>13997</v>
      </c>
    </row>
    <row r="291" spans="1:12" s="19" customFormat="1" ht="35.25" customHeight="1" x14ac:dyDescent="0.2">
      <c r="A291" s="10" t="s">
        <v>1969</v>
      </c>
      <c r="B291" s="17" t="s">
        <v>9760</v>
      </c>
      <c r="C291" s="1403" t="s">
        <v>9754</v>
      </c>
      <c r="D291" s="1404"/>
      <c r="E291" s="92"/>
      <c r="F291" s="17"/>
      <c r="G291" s="17"/>
      <c r="H291" s="24"/>
      <c r="I291" s="24">
        <v>1948</v>
      </c>
      <c r="J291" s="48"/>
      <c r="K291" s="8"/>
      <c r="L291" s="802" t="s">
        <v>13997</v>
      </c>
    </row>
    <row r="292" spans="1:12" s="19" customFormat="1" ht="35.25" customHeight="1" x14ac:dyDescent="0.2">
      <c r="A292" s="10" t="s">
        <v>1933</v>
      </c>
      <c r="B292" s="17" t="s">
        <v>9761</v>
      </c>
      <c r="C292" s="1403" t="s">
        <v>9754</v>
      </c>
      <c r="D292" s="1404"/>
      <c r="E292" s="92"/>
      <c r="F292" s="17"/>
      <c r="G292" s="17"/>
      <c r="H292" s="24"/>
      <c r="I292" s="24">
        <v>1948</v>
      </c>
      <c r="J292" s="48"/>
      <c r="K292" s="8"/>
      <c r="L292" s="802" t="s">
        <v>13997</v>
      </c>
    </row>
    <row r="293" spans="1:12" s="19" customFormat="1" ht="35.25" customHeight="1" x14ac:dyDescent="0.2">
      <c r="A293" s="10" t="s">
        <v>1970</v>
      </c>
      <c r="B293" s="17" t="s">
        <v>9762</v>
      </c>
      <c r="C293" s="1403" t="s">
        <v>9754</v>
      </c>
      <c r="D293" s="1404"/>
      <c r="E293" s="92"/>
      <c r="F293" s="17"/>
      <c r="G293" s="17"/>
      <c r="H293" s="24"/>
      <c r="I293" s="24">
        <v>1948</v>
      </c>
      <c r="J293" s="48"/>
      <c r="K293" s="8"/>
      <c r="L293" s="802" t="s">
        <v>13997</v>
      </c>
    </row>
    <row r="294" spans="1:12" s="19" customFormat="1" ht="35.25" customHeight="1" x14ac:dyDescent="0.2">
      <c r="A294" s="10" t="s">
        <v>1934</v>
      </c>
      <c r="B294" s="17" t="s">
        <v>9763</v>
      </c>
      <c r="C294" s="1403" t="s">
        <v>9754</v>
      </c>
      <c r="D294" s="1404"/>
      <c r="E294" s="92"/>
      <c r="F294" s="17"/>
      <c r="G294" s="17"/>
      <c r="H294" s="24"/>
      <c r="I294" s="24">
        <v>1948</v>
      </c>
      <c r="J294" s="48"/>
      <c r="K294" s="8"/>
      <c r="L294" s="802" t="s">
        <v>13997</v>
      </c>
    </row>
    <row r="295" spans="1:12" s="14" customFormat="1" ht="48" customHeight="1" x14ac:dyDescent="0.2">
      <c r="A295" s="17" t="s">
        <v>1935</v>
      </c>
      <c r="B295" s="47" t="s">
        <v>2486</v>
      </c>
      <c r="C295" s="1403" t="s">
        <v>3860</v>
      </c>
      <c r="D295" s="1404"/>
      <c r="E295" s="16"/>
      <c r="F295" s="345" t="s">
        <v>3832</v>
      </c>
      <c r="G295" s="47" t="s">
        <v>2191</v>
      </c>
      <c r="H295" s="292" t="s">
        <v>3172</v>
      </c>
      <c r="I295" s="292">
        <v>1951</v>
      </c>
      <c r="J295" s="40"/>
      <c r="K295" s="8" t="s">
        <v>9605</v>
      </c>
      <c r="L295" s="642" t="s">
        <v>12012</v>
      </c>
    </row>
    <row r="296" spans="1:12" s="19" customFormat="1" ht="41.25" customHeight="1" x14ac:dyDescent="0.2">
      <c r="A296" s="10" t="s">
        <v>1936</v>
      </c>
      <c r="B296" s="17" t="s">
        <v>287</v>
      </c>
      <c r="C296" s="1403" t="s">
        <v>9754</v>
      </c>
      <c r="D296" s="1404"/>
      <c r="E296" s="92"/>
      <c r="F296" s="17"/>
      <c r="G296" s="17"/>
      <c r="H296" s="24"/>
      <c r="I296" s="24">
        <v>1994</v>
      </c>
      <c r="J296" s="48"/>
      <c r="K296" s="8"/>
      <c r="L296" s="8" t="s">
        <v>13997</v>
      </c>
    </row>
    <row r="297" spans="1:12" s="14" customFormat="1" ht="37.5" customHeight="1" x14ac:dyDescent="0.2">
      <c r="A297" s="10" t="s">
        <v>3440</v>
      </c>
      <c r="B297" s="47" t="s">
        <v>3545</v>
      </c>
      <c r="C297" s="1403" t="s">
        <v>9637</v>
      </c>
      <c r="D297" s="1404"/>
      <c r="E297" s="16"/>
      <c r="F297" s="345" t="s">
        <v>6434</v>
      </c>
      <c r="G297" s="47" t="s">
        <v>2192</v>
      </c>
      <c r="H297" s="292" t="s">
        <v>3171</v>
      </c>
      <c r="I297" s="292" t="s">
        <v>504</v>
      </c>
      <c r="J297" s="40"/>
      <c r="K297" s="8" t="s">
        <v>9605</v>
      </c>
      <c r="L297" s="642" t="s">
        <v>12012</v>
      </c>
    </row>
    <row r="298" spans="1:12" s="14" customFormat="1" ht="57" customHeight="1" x14ac:dyDescent="0.2">
      <c r="A298" s="1412" t="s">
        <v>1937</v>
      </c>
      <c r="B298" s="1303" t="s">
        <v>3648</v>
      </c>
      <c r="C298" s="1520" t="s">
        <v>5437</v>
      </c>
      <c r="D298" s="1521"/>
      <c r="E298" s="16"/>
      <c r="F298" s="345" t="s">
        <v>3926</v>
      </c>
      <c r="G298" s="47" t="s">
        <v>181</v>
      </c>
      <c r="H298" s="292" t="s">
        <v>3649</v>
      </c>
      <c r="I298" s="292">
        <v>1985</v>
      </c>
      <c r="J298" s="40"/>
      <c r="K298" s="251" t="s">
        <v>8074</v>
      </c>
      <c r="L298" s="642" t="s">
        <v>10789</v>
      </c>
    </row>
    <row r="299" spans="1:12" s="14" customFormat="1" ht="33.75" customHeight="1" x14ac:dyDescent="0.2">
      <c r="A299" s="1413"/>
      <c r="B299" s="1305"/>
      <c r="C299" s="1522"/>
      <c r="D299" s="1523"/>
      <c r="E299" s="1465" t="s">
        <v>3864</v>
      </c>
      <c r="F299" s="1466"/>
      <c r="G299" s="8"/>
      <c r="H299" s="288" t="s">
        <v>3862</v>
      </c>
      <c r="I299" s="288" t="s">
        <v>3366</v>
      </c>
      <c r="J299" s="20"/>
      <c r="K299" s="251" t="s">
        <v>8074</v>
      </c>
      <c r="L299" s="642" t="s">
        <v>10789</v>
      </c>
    </row>
    <row r="300" spans="1:12" s="14" customFormat="1" ht="22.5" x14ac:dyDescent="0.2">
      <c r="A300" s="10" t="s">
        <v>3303</v>
      </c>
      <c r="B300" s="18" t="s">
        <v>2481</v>
      </c>
      <c r="C300" s="1403" t="s">
        <v>7865</v>
      </c>
      <c r="D300" s="1404"/>
      <c r="E300" s="16"/>
      <c r="F300" s="16"/>
      <c r="G300" s="47"/>
      <c r="H300" s="292" t="s">
        <v>3220</v>
      </c>
      <c r="I300" s="292">
        <v>2010</v>
      </c>
      <c r="J300" s="40"/>
      <c r="K300" s="251" t="s">
        <v>8074</v>
      </c>
      <c r="L300" s="642" t="s">
        <v>10789</v>
      </c>
    </row>
    <row r="301" spans="1:12" s="14" customFormat="1" ht="22.5" x14ac:dyDescent="0.2">
      <c r="A301" s="10" t="s">
        <v>3304</v>
      </c>
      <c r="B301" s="18" t="s">
        <v>2481</v>
      </c>
      <c r="C301" s="1403" t="s">
        <v>7866</v>
      </c>
      <c r="D301" s="1404"/>
      <c r="E301" s="16"/>
      <c r="F301" s="16"/>
      <c r="G301" s="47"/>
      <c r="H301" s="292" t="s">
        <v>3169</v>
      </c>
      <c r="I301" s="292">
        <v>2010</v>
      </c>
      <c r="J301" s="40"/>
      <c r="K301" s="251" t="s">
        <v>8074</v>
      </c>
      <c r="L301" s="642" t="s">
        <v>10789</v>
      </c>
    </row>
    <row r="302" spans="1:12" s="14" customFormat="1" ht="24.75" customHeight="1" x14ac:dyDescent="0.2">
      <c r="A302" s="10" t="s">
        <v>3305</v>
      </c>
      <c r="B302" s="18" t="s">
        <v>2487</v>
      </c>
      <c r="C302" s="1403" t="s">
        <v>7867</v>
      </c>
      <c r="D302" s="1404"/>
      <c r="E302" s="1403" t="s">
        <v>3125</v>
      </c>
      <c r="F302" s="1404"/>
      <c r="G302" s="47"/>
      <c r="H302" s="292" t="s">
        <v>3221</v>
      </c>
      <c r="I302" s="292">
        <v>2011</v>
      </c>
      <c r="J302" s="40"/>
      <c r="K302" s="251" t="s">
        <v>8074</v>
      </c>
      <c r="L302" s="642" t="s">
        <v>10789</v>
      </c>
    </row>
    <row r="303" spans="1:12" s="14" customFormat="1" ht="24.75" customHeight="1" x14ac:dyDescent="0.2">
      <c r="A303" s="10" t="s">
        <v>4829</v>
      </c>
      <c r="B303" s="18" t="s">
        <v>4835</v>
      </c>
      <c r="C303" s="1314" t="s">
        <v>7868</v>
      </c>
      <c r="D303" s="1314"/>
      <c r="E303" s="17"/>
      <c r="F303" s="17"/>
      <c r="G303" s="47"/>
      <c r="H303" s="292" t="s">
        <v>4834</v>
      </c>
      <c r="I303" s="292" t="s">
        <v>3366</v>
      </c>
      <c r="J303" s="40"/>
      <c r="K303" s="251" t="s">
        <v>8074</v>
      </c>
      <c r="L303" s="642" t="s">
        <v>10789</v>
      </c>
    </row>
    <row r="304" spans="1:12" s="14" customFormat="1" ht="24.75" customHeight="1" x14ac:dyDescent="0.2">
      <c r="A304" s="10" t="s">
        <v>4830</v>
      </c>
      <c r="B304" s="18" t="s">
        <v>4822</v>
      </c>
      <c r="C304" s="1418" t="s">
        <v>5437</v>
      </c>
      <c r="D304" s="1419"/>
      <c r="E304" s="17"/>
      <c r="F304" s="17"/>
      <c r="G304" s="47"/>
      <c r="H304" s="292" t="s">
        <v>4823</v>
      </c>
      <c r="I304" s="292"/>
      <c r="J304" s="40"/>
      <c r="K304" s="251" t="s">
        <v>8074</v>
      </c>
      <c r="L304" s="642" t="s">
        <v>10789</v>
      </c>
    </row>
    <row r="305" spans="1:12" s="14" customFormat="1" ht="24.75" customHeight="1" x14ac:dyDescent="0.2">
      <c r="A305" s="10" t="s">
        <v>4831</v>
      </c>
      <c r="B305" s="18" t="s">
        <v>4821</v>
      </c>
      <c r="C305" s="1418" t="s">
        <v>5437</v>
      </c>
      <c r="D305" s="1419"/>
      <c r="E305" s="17"/>
      <c r="F305" s="17"/>
      <c r="G305" s="47"/>
      <c r="H305" s="292" t="s">
        <v>4824</v>
      </c>
      <c r="I305" s="292"/>
      <c r="J305" s="40"/>
      <c r="K305" s="251" t="s">
        <v>8074</v>
      </c>
      <c r="L305" s="642" t="s">
        <v>10789</v>
      </c>
    </row>
    <row r="306" spans="1:12" s="14" customFormat="1" ht="24.75" customHeight="1" x14ac:dyDescent="0.2">
      <c r="A306" s="10" t="s">
        <v>4832</v>
      </c>
      <c r="B306" s="18" t="s">
        <v>4825</v>
      </c>
      <c r="C306" s="1418" t="s">
        <v>5437</v>
      </c>
      <c r="D306" s="1419"/>
      <c r="E306" s="17"/>
      <c r="F306" s="17"/>
      <c r="G306" s="47"/>
      <c r="H306" s="292" t="s">
        <v>4826</v>
      </c>
      <c r="I306" s="292"/>
      <c r="J306" s="40"/>
      <c r="K306" s="251" t="s">
        <v>8074</v>
      </c>
      <c r="L306" s="642" t="s">
        <v>10789</v>
      </c>
    </row>
    <row r="307" spans="1:12" s="14" customFormat="1" ht="24.75" customHeight="1" x14ac:dyDescent="0.2">
      <c r="A307" s="10" t="s">
        <v>4833</v>
      </c>
      <c r="B307" s="18" t="s">
        <v>4827</v>
      </c>
      <c r="C307" s="1418" t="s">
        <v>5437</v>
      </c>
      <c r="D307" s="1419"/>
      <c r="E307" s="17"/>
      <c r="F307" s="17"/>
      <c r="G307" s="47"/>
      <c r="H307" s="292" t="s">
        <v>4828</v>
      </c>
      <c r="I307" s="292"/>
      <c r="J307" s="40"/>
      <c r="K307" s="251" t="s">
        <v>8074</v>
      </c>
      <c r="L307" s="642" t="s">
        <v>10789</v>
      </c>
    </row>
    <row r="308" spans="1:12" s="14" customFormat="1" ht="22.5" x14ac:dyDescent="0.2">
      <c r="A308" s="10" t="s">
        <v>1938</v>
      </c>
      <c r="B308" s="47" t="s">
        <v>3657</v>
      </c>
      <c r="C308" s="1418" t="s">
        <v>5437</v>
      </c>
      <c r="D308" s="1419"/>
      <c r="E308" s="16"/>
      <c r="F308" s="1333" t="s">
        <v>3932</v>
      </c>
      <c r="G308" s="47" t="s">
        <v>1987</v>
      </c>
      <c r="H308" s="292" t="s">
        <v>3222</v>
      </c>
      <c r="I308" s="292">
        <v>1996</v>
      </c>
      <c r="J308" s="40"/>
      <c r="K308" s="251" t="s">
        <v>8074</v>
      </c>
      <c r="L308" s="642" t="s">
        <v>10789</v>
      </c>
    </row>
    <row r="309" spans="1:12" s="14" customFormat="1" ht="24.75" x14ac:dyDescent="0.2">
      <c r="A309" s="10" t="s">
        <v>4836</v>
      </c>
      <c r="B309" s="47" t="s">
        <v>7477</v>
      </c>
      <c r="C309" s="1418" t="s">
        <v>5437</v>
      </c>
      <c r="D309" s="1419"/>
      <c r="E309" s="16"/>
      <c r="F309" s="1334"/>
      <c r="G309" s="47"/>
      <c r="H309" s="292" t="s">
        <v>4838</v>
      </c>
      <c r="I309" s="292"/>
      <c r="J309" s="40"/>
      <c r="K309" s="251" t="s">
        <v>8074</v>
      </c>
      <c r="L309" s="642" t="s">
        <v>10789</v>
      </c>
    </row>
    <row r="310" spans="1:12" s="14" customFormat="1" ht="22.5" x14ac:dyDescent="0.2">
      <c r="A310" s="10" t="s">
        <v>4837</v>
      </c>
      <c r="B310" s="47" t="s">
        <v>7478</v>
      </c>
      <c r="C310" s="1418" t="s">
        <v>5437</v>
      </c>
      <c r="D310" s="1419"/>
      <c r="E310" s="16"/>
      <c r="F310" s="1335"/>
      <c r="G310" s="47"/>
      <c r="H310" s="292" t="s">
        <v>4839</v>
      </c>
      <c r="I310" s="292"/>
      <c r="J310" s="40"/>
      <c r="K310" s="251" t="s">
        <v>8074</v>
      </c>
      <c r="L310" s="642" t="s">
        <v>10789</v>
      </c>
    </row>
    <row r="311" spans="1:12" s="14" customFormat="1" ht="36.75" customHeight="1" x14ac:dyDescent="0.2">
      <c r="A311" s="1412" t="s">
        <v>1939</v>
      </c>
      <c r="B311" s="1303" t="s">
        <v>3652</v>
      </c>
      <c r="C311" s="1418" t="s">
        <v>7869</v>
      </c>
      <c r="D311" s="1419"/>
      <c r="E311" s="16"/>
      <c r="F311" s="345" t="s">
        <v>3929</v>
      </c>
      <c r="G311" s="47" t="s">
        <v>1987</v>
      </c>
      <c r="H311" s="292" t="s">
        <v>4018</v>
      </c>
      <c r="I311" s="292">
        <v>1962</v>
      </c>
      <c r="J311" s="40"/>
      <c r="K311" s="251" t="s">
        <v>8074</v>
      </c>
      <c r="L311" s="642" t="s">
        <v>10789</v>
      </c>
    </row>
    <row r="312" spans="1:12" s="14" customFormat="1" ht="21.75" customHeight="1" x14ac:dyDescent="0.2">
      <c r="A312" s="1443"/>
      <c r="B312" s="1304"/>
      <c r="C312" s="1401"/>
      <c r="D312" s="1446"/>
      <c r="E312" s="1300" t="s">
        <v>3142</v>
      </c>
      <c r="F312" s="1301"/>
      <c r="G312" s="47"/>
      <c r="H312" s="292" t="s">
        <v>3170</v>
      </c>
      <c r="I312" s="292">
        <v>2011</v>
      </c>
      <c r="J312" s="40"/>
      <c r="K312" s="251" t="s">
        <v>8074</v>
      </c>
      <c r="L312" s="642" t="s">
        <v>10789</v>
      </c>
    </row>
    <row r="313" spans="1:12" s="14" customFormat="1" ht="32.25" customHeight="1" x14ac:dyDescent="0.2">
      <c r="A313" s="1413"/>
      <c r="B313" s="1305"/>
      <c r="C313" s="1444"/>
      <c r="D313" s="1445"/>
      <c r="E313" s="1465" t="s">
        <v>3872</v>
      </c>
      <c r="F313" s="1466"/>
      <c r="G313" s="8"/>
      <c r="H313" s="288" t="s">
        <v>3873</v>
      </c>
      <c r="I313" s="288" t="s">
        <v>3366</v>
      </c>
      <c r="J313" s="20"/>
      <c r="K313" s="251" t="s">
        <v>8074</v>
      </c>
      <c r="L313" s="642" t="s">
        <v>10789</v>
      </c>
    </row>
    <row r="314" spans="1:12" s="14" customFormat="1" ht="27.75" customHeight="1" x14ac:dyDescent="0.2">
      <c r="A314" s="27" t="s">
        <v>4857</v>
      </c>
      <c r="B314" s="657" t="s">
        <v>3543</v>
      </c>
      <c r="C314" s="1405" t="s">
        <v>7870</v>
      </c>
      <c r="D314" s="1406"/>
      <c r="E314" s="12"/>
      <c r="F314" s="46"/>
      <c r="G314" s="46"/>
      <c r="H314" s="663" t="s">
        <v>7479</v>
      </c>
      <c r="I314" s="26" t="s">
        <v>3366</v>
      </c>
      <c r="J314" s="40"/>
      <c r="K314" s="251" t="s">
        <v>8074</v>
      </c>
      <c r="L314" s="642" t="s">
        <v>10789</v>
      </c>
    </row>
    <row r="315" spans="1:12" s="14" customFormat="1" ht="38.25" customHeight="1" x14ac:dyDescent="0.2">
      <c r="A315" s="27" t="s">
        <v>4858</v>
      </c>
      <c r="B315" s="657" t="s">
        <v>3543</v>
      </c>
      <c r="C315" s="1405" t="s">
        <v>7871</v>
      </c>
      <c r="D315" s="1406"/>
      <c r="E315" s="12"/>
      <c r="F315" s="46"/>
      <c r="G315" s="46"/>
      <c r="H315" s="663" t="s">
        <v>4862</v>
      </c>
      <c r="I315" s="26" t="s">
        <v>3366</v>
      </c>
      <c r="J315" s="40"/>
      <c r="K315" s="251" t="s">
        <v>8074</v>
      </c>
      <c r="L315" s="642" t="s">
        <v>10789</v>
      </c>
    </row>
    <row r="316" spans="1:12" s="14" customFormat="1" ht="27.75" customHeight="1" x14ac:dyDescent="0.2">
      <c r="A316" s="27" t="s">
        <v>4859</v>
      </c>
      <c r="B316" s="657" t="s">
        <v>3543</v>
      </c>
      <c r="C316" s="1405" t="s">
        <v>7872</v>
      </c>
      <c r="D316" s="1406"/>
      <c r="E316" s="12"/>
      <c r="F316" s="46"/>
      <c r="G316" s="46"/>
      <c r="H316" s="663" t="s">
        <v>4762</v>
      </c>
      <c r="I316" s="26" t="s">
        <v>3366</v>
      </c>
      <c r="J316" s="40"/>
      <c r="K316" s="251" t="s">
        <v>8074</v>
      </c>
      <c r="L316" s="642" t="s">
        <v>10789</v>
      </c>
    </row>
    <row r="317" spans="1:12" s="14" customFormat="1" ht="27.75" customHeight="1" x14ac:dyDescent="0.2">
      <c r="A317" s="27" t="s">
        <v>4860</v>
      </c>
      <c r="B317" s="657" t="s">
        <v>3543</v>
      </c>
      <c r="C317" s="1405" t="s">
        <v>7873</v>
      </c>
      <c r="D317" s="1406"/>
      <c r="E317" s="12"/>
      <c r="F317" s="46"/>
      <c r="G317" s="46"/>
      <c r="H317" s="285" t="s">
        <v>7480</v>
      </c>
      <c r="I317" s="26" t="s">
        <v>3366</v>
      </c>
      <c r="J317" s="40"/>
      <c r="K317" s="251" t="s">
        <v>8074</v>
      </c>
      <c r="L317" s="642" t="s">
        <v>10789</v>
      </c>
    </row>
    <row r="318" spans="1:12" s="14" customFormat="1" ht="27.75" customHeight="1" x14ac:dyDescent="0.2">
      <c r="A318" s="27" t="s">
        <v>4861</v>
      </c>
      <c r="B318" s="657" t="s">
        <v>3543</v>
      </c>
      <c r="C318" s="1405" t="s">
        <v>7873</v>
      </c>
      <c r="D318" s="1406"/>
      <c r="E318" s="12"/>
      <c r="F318" s="46"/>
      <c r="G318" s="46"/>
      <c r="H318" s="285" t="s">
        <v>4761</v>
      </c>
      <c r="I318" s="26" t="s">
        <v>3366</v>
      </c>
      <c r="J318" s="40"/>
      <c r="K318" s="251" t="s">
        <v>8074</v>
      </c>
      <c r="L318" s="642" t="s">
        <v>10789</v>
      </c>
    </row>
    <row r="319" spans="1:12" s="14" customFormat="1" ht="37.5" customHeight="1" x14ac:dyDescent="0.2">
      <c r="A319" s="1412" t="s">
        <v>1940</v>
      </c>
      <c r="B319" s="1293" t="s">
        <v>3653</v>
      </c>
      <c r="C319" s="1418" t="s">
        <v>5437</v>
      </c>
      <c r="D319" s="1419"/>
      <c r="E319" s="16"/>
      <c r="F319" s="131" t="s">
        <v>3939</v>
      </c>
      <c r="G319" s="47" t="s">
        <v>181</v>
      </c>
      <c r="H319" s="292" t="s">
        <v>3656</v>
      </c>
      <c r="I319" s="292">
        <v>1966</v>
      </c>
      <c r="J319" s="40"/>
      <c r="K319" s="251" t="s">
        <v>8074</v>
      </c>
      <c r="L319" s="642" t="s">
        <v>10789</v>
      </c>
    </row>
    <row r="320" spans="1:12" s="19" customFormat="1" ht="22.5" customHeight="1" x14ac:dyDescent="0.2">
      <c r="A320" s="1413"/>
      <c r="B320" s="1295"/>
      <c r="C320" s="1444"/>
      <c r="D320" s="1445"/>
      <c r="E320" s="1300" t="s">
        <v>6203</v>
      </c>
      <c r="F320" s="1301"/>
      <c r="G320" s="17"/>
      <c r="H320" s="24"/>
      <c r="I320" s="24" t="s">
        <v>5471</v>
      </c>
      <c r="J320" s="48"/>
      <c r="K320" s="251" t="s">
        <v>8074</v>
      </c>
      <c r="L320" s="642" t="s">
        <v>10789</v>
      </c>
    </row>
    <row r="321" spans="1:12" s="14" customFormat="1" ht="36.75" customHeight="1" x14ac:dyDescent="0.2">
      <c r="A321" s="662" t="s">
        <v>4850</v>
      </c>
      <c r="B321" s="47" t="s">
        <v>4843</v>
      </c>
      <c r="C321" s="1418" t="s">
        <v>5437</v>
      </c>
      <c r="D321" s="1419"/>
      <c r="E321" s="161"/>
      <c r="F321" s="131"/>
      <c r="G321" s="8"/>
      <c r="H321" s="288" t="s">
        <v>4842</v>
      </c>
      <c r="I321" s="288"/>
      <c r="J321" s="40"/>
      <c r="K321" s="251" t="s">
        <v>8074</v>
      </c>
      <c r="L321" s="642" t="s">
        <v>10789</v>
      </c>
    </row>
    <row r="322" spans="1:12" s="14" customFormat="1" ht="29.25" customHeight="1" x14ac:dyDescent="0.2">
      <c r="A322" s="662" t="s">
        <v>4852</v>
      </c>
      <c r="B322" s="47" t="s">
        <v>4840</v>
      </c>
      <c r="C322" s="1418" t="s">
        <v>5437</v>
      </c>
      <c r="D322" s="1419"/>
      <c r="E322" s="161"/>
      <c r="F322" s="132"/>
      <c r="G322" s="8"/>
      <c r="H322" s="288" t="s">
        <v>4841</v>
      </c>
      <c r="I322" s="288"/>
      <c r="J322" s="40"/>
      <c r="K322" s="251" t="s">
        <v>8074</v>
      </c>
      <c r="L322" s="642" t="s">
        <v>10789</v>
      </c>
    </row>
    <row r="323" spans="1:12" s="14" customFormat="1" ht="26.25" customHeight="1" x14ac:dyDescent="0.2">
      <c r="A323" s="662" t="s">
        <v>4853</v>
      </c>
      <c r="B323" s="47" t="s">
        <v>4844</v>
      </c>
      <c r="C323" s="1418" t="s">
        <v>5437</v>
      </c>
      <c r="D323" s="1419"/>
      <c r="E323" s="161"/>
      <c r="F323" s="132"/>
      <c r="G323" s="8"/>
      <c r="H323" s="288" t="s">
        <v>4327</v>
      </c>
      <c r="I323" s="288"/>
      <c r="J323" s="40"/>
      <c r="K323" s="251" t="s">
        <v>8074</v>
      </c>
      <c r="L323" s="642" t="s">
        <v>10789</v>
      </c>
    </row>
    <row r="324" spans="1:12" s="14" customFormat="1" ht="25.5" customHeight="1" x14ac:dyDescent="0.2">
      <c r="A324" s="662" t="s">
        <v>4854</v>
      </c>
      <c r="B324" s="47" t="s">
        <v>4846</v>
      </c>
      <c r="C324" s="1418" t="s">
        <v>5437</v>
      </c>
      <c r="D324" s="1419"/>
      <c r="E324" s="161"/>
      <c r="F324" s="132"/>
      <c r="G324" s="8"/>
      <c r="H324" s="288" t="s">
        <v>4845</v>
      </c>
      <c r="I324" s="288"/>
      <c r="J324" s="40"/>
      <c r="K324" s="251" t="s">
        <v>8074</v>
      </c>
      <c r="L324" s="642" t="s">
        <v>10789</v>
      </c>
    </row>
    <row r="325" spans="1:12" s="14" customFormat="1" ht="26.25" customHeight="1" x14ac:dyDescent="0.2">
      <c r="A325" s="662" t="s">
        <v>4855</v>
      </c>
      <c r="B325" s="47" t="s">
        <v>4847</v>
      </c>
      <c r="C325" s="1418" t="s">
        <v>5437</v>
      </c>
      <c r="D325" s="1419"/>
      <c r="E325" s="161"/>
      <c r="F325" s="132"/>
      <c r="G325" s="8"/>
      <c r="H325" s="288" t="s">
        <v>4848</v>
      </c>
      <c r="I325" s="288"/>
      <c r="J325" s="40"/>
      <c r="K325" s="251" t="s">
        <v>8074</v>
      </c>
      <c r="L325" s="642" t="s">
        <v>10789</v>
      </c>
    </row>
    <row r="326" spans="1:12" s="14" customFormat="1" ht="31.5" customHeight="1" x14ac:dyDescent="0.2">
      <c r="A326" s="662" t="s">
        <v>4856</v>
      </c>
      <c r="B326" s="47" t="s">
        <v>4851</v>
      </c>
      <c r="C326" s="1418" t="s">
        <v>5437</v>
      </c>
      <c r="D326" s="1419"/>
      <c r="E326" s="161"/>
      <c r="F326" s="132"/>
      <c r="G326" s="8"/>
      <c r="H326" s="288" t="s">
        <v>4849</v>
      </c>
      <c r="I326" s="288"/>
      <c r="J326" s="40"/>
      <c r="K326" s="251" t="s">
        <v>8074</v>
      </c>
      <c r="L326" s="642" t="s">
        <v>10789</v>
      </c>
    </row>
    <row r="327" spans="1:12" s="14" customFormat="1" ht="34.5" customHeight="1" x14ac:dyDescent="0.2">
      <c r="A327" s="662" t="s">
        <v>7585</v>
      </c>
      <c r="B327" s="217" t="s">
        <v>4808</v>
      </c>
      <c r="C327" s="1418" t="s">
        <v>5437</v>
      </c>
      <c r="D327" s="1419"/>
      <c r="E327" s="108"/>
      <c r="F327" s="133"/>
      <c r="G327" s="159"/>
      <c r="H327" s="292" t="s">
        <v>4807</v>
      </c>
      <c r="I327" s="292"/>
      <c r="J327" s="40"/>
      <c r="K327" s="251" t="s">
        <v>8074</v>
      </c>
      <c r="L327" s="642" t="s">
        <v>10789</v>
      </c>
    </row>
    <row r="328" spans="1:12" s="14" customFormat="1" ht="36" customHeight="1" x14ac:dyDescent="0.2">
      <c r="A328" s="1412" t="s">
        <v>2182</v>
      </c>
      <c r="B328" s="1293" t="s">
        <v>3654</v>
      </c>
      <c r="C328" s="1418" t="s">
        <v>5437</v>
      </c>
      <c r="D328" s="1419"/>
      <c r="E328" s="16"/>
      <c r="F328" s="345" t="s">
        <v>3930</v>
      </c>
      <c r="G328" s="47" t="s">
        <v>1987</v>
      </c>
      <c r="H328" s="292" t="s">
        <v>7526</v>
      </c>
      <c r="I328" s="292">
        <v>1971</v>
      </c>
      <c r="J328" s="40"/>
      <c r="K328" s="251" t="s">
        <v>8074</v>
      </c>
      <c r="L328" s="642" t="s">
        <v>10789</v>
      </c>
    </row>
    <row r="329" spans="1:12" s="14" customFormat="1" ht="27" customHeight="1" x14ac:dyDescent="0.2">
      <c r="A329" s="1413"/>
      <c r="B329" s="1295"/>
      <c r="C329" s="1444"/>
      <c r="D329" s="1445"/>
      <c r="E329" s="1300" t="s">
        <v>3143</v>
      </c>
      <c r="F329" s="1301"/>
      <c r="G329" s="47"/>
      <c r="H329" s="292" t="s">
        <v>2490</v>
      </c>
      <c r="I329" s="292">
        <v>2011</v>
      </c>
      <c r="J329" s="40"/>
      <c r="K329" s="251" t="s">
        <v>8074</v>
      </c>
      <c r="L329" s="642" t="s">
        <v>10789</v>
      </c>
    </row>
    <row r="330" spans="1:12" s="14" customFormat="1" ht="33.75" customHeight="1" x14ac:dyDescent="0.2">
      <c r="A330" s="10" t="s">
        <v>3306</v>
      </c>
      <c r="B330" s="18" t="s">
        <v>2481</v>
      </c>
      <c r="C330" s="1403" t="s">
        <v>7874</v>
      </c>
      <c r="D330" s="1404"/>
      <c r="E330" s="1300" t="s">
        <v>3143</v>
      </c>
      <c r="F330" s="1301"/>
      <c r="G330" s="47"/>
      <c r="H330" s="292" t="s">
        <v>3168</v>
      </c>
      <c r="I330" s="292">
        <v>2010</v>
      </c>
      <c r="J330" s="40"/>
      <c r="K330" s="251" t="s">
        <v>8074</v>
      </c>
      <c r="L330" s="642" t="s">
        <v>10789</v>
      </c>
    </row>
    <row r="331" spans="1:12" s="14" customFormat="1" ht="35.25" customHeight="1" x14ac:dyDescent="0.2">
      <c r="A331" s="10" t="s">
        <v>4972</v>
      </c>
      <c r="B331" s="18" t="s">
        <v>4974</v>
      </c>
      <c r="C331" s="1418" t="s">
        <v>7875</v>
      </c>
      <c r="D331" s="1419"/>
      <c r="E331" s="648"/>
      <c r="F331" s="648"/>
      <c r="G331" s="47"/>
      <c r="H331" s="292" t="s">
        <v>4973</v>
      </c>
      <c r="I331" s="292"/>
      <c r="J331" s="40"/>
      <c r="K331" s="251" t="s">
        <v>8074</v>
      </c>
      <c r="L331" s="642" t="s">
        <v>10789</v>
      </c>
    </row>
    <row r="332" spans="1:12" s="14" customFormat="1" x14ac:dyDescent="0.2">
      <c r="A332" s="10" t="s">
        <v>1941</v>
      </c>
      <c r="B332" s="47" t="s">
        <v>288</v>
      </c>
      <c r="C332" s="1403"/>
      <c r="D332" s="1404"/>
      <c r="E332" s="16"/>
      <c r="F332" s="47"/>
      <c r="G332" s="47"/>
      <c r="H332" s="292"/>
      <c r="I332" s="292">
        <v>2001</v>
      </c>
      <c r="J332" s="40"/>
      <c r="K332" s="17"/>
      <c r="L332" s="47"/>
    </row>
    <row r="333" spans="1:12" s="19" customFormat="1" ht="36" customHeight="1" x14ac:dyDescent="0.2">
      <c r="A333" s="10" t="s">
        <v>1942</v>
      </c>
      <c r="B333" s="17" t="s">
        <v>2491</v>
      </c>
      <c r="C333" s="1403" t="s">
        <v>9698</v>
      </c>
      <c r="D333" s="1404"/>
      <c r="E333" s="92"/>
      <c r="F333" s="17"/>
      <c r="G333" s="17"/>
      <c r="H333" s="24"/>
      <c r="I333" s="24">
        <v>1968</v>
      </c>
      <c r="J333" s="48"/>
      <c r="K333" s="8" t="s">
        <v>9605</v>
      </c>
      <c r="L333" s="642" t="s">
        <v>12012</v>
      </c>
    </row>
    <row r="334" spans="1:12" s="19" customFormat="1" ht="36" customHeight="1" x14ac:dyDescent="0.2">
      <c r="A334" s="10" t="s">
        <v>1971</v>
      </c>
      <c r="B334" s="17" t="s">
        <v>2492</v>
      </c>
      <c r="C334" s="1403" t="s">
        <v>9696</v>
      </c>
      <c r="D334" s="1404"/>
      <c r="E334" s="92"/>
      <c r="F334" s="17"/>
      <c r="G334" s="17"/>
      <c r="H334" s="24"/>
      <c r="I334" s="24">
        <v>1968</v>
      </c>
      <c r="J334" s="48"/>
      <c r="K334" s="251" t="s">
        <v>8074</v>
      </c>
      <c r="L334" s="642" t="s">
        <v>10789</v>
      </c>
    </row>
    <row r="335" spans="1:12" s="208" customFormat="1" ht="34.5" customHeight="1" x14ac:dyDescent="0.2">
      <c r="A335" s="10" t="s">
        <v>1943</v>
      </c>
      <c r="B335" s="17" t="s">
        <v>2493</v>
      </c>
      <c r="C335" s="1403" t="s">
        <v>9696</v>
      </c>
      <c r="D335" s="1404"/>
      <c r="E335" s="92"/>
      <c r="F335" s="17"/>
      <c r="G335" s="17"/>
      <c r="H335" s="24"/>
      <c r="I335" s="24">
        <v>1968</v>
      </c>
      <c r="J335" s="48"/>
      <c r="K335" s="8"/>
      <c r="L335" s="8" t="s">
        <v>13997</v>
      </c>
    </row>
    <row r="336" spans="1:12" s="19" customFormat="1" ht="36.75" customHeight="1" x14ac:dyDescent="0.2">
      <c r="A336" s="10" t="s">
        <v>1944</v>
      </c>
      <c r="B336" s="17" t="s">
        <v>2491</v>
      </c>
      <c r="C336" s="1403" t="s">
        <v>9697</v>
      </c>
      <c r="D336" s="1404"/>
      <c r="E336" s="92"/>
      <c r="F336" s="17"/>
      <c r="G336" s="17"/>
      <c r="H336" s="24"/>
      <c r="I336" s="24">
        <v>1969</v>
      </c>
      <c r="J336" s="48"/>
      <c r="K336" s="8" t="s">
        <v>9605</v>
      </c>
      <c r="L336" s="642" t="s">
        <v>12012</v>
      </c>
    </row>
    <row r="337" spans="1:12" s="208" customFormat="1" ht="35.25" customHeight="1" x14ac:dyDescent="0.2">
      <c r="A337" s="10" t="s">
        <v>1945</v>
      </c>
      <c r="B337" s="17" t="s">
        <v>2493</v>
      </c>
      <c r="C337" s="1403" t="s">
        <v>9697</v>
      </c>
      <c r="D337" s="1404"/>
      <c r="E337" s="92"/>
      <c r="F337" s="17"/>
      <c r="G337" s="17"/>
      <c r="H337" s="24"/>
      <c r="I337" s="24">
        <v>1969</v>
      </c>
      <c r="J337" s="48"/>
      <c r="K337" s="8"/>
      <c r="L337" s="8" t="s">
        <v>13997</v>
      </c>
    </row>
    <row r="338" spans="1:12" s="19" customFormat="1" ht="35.25" customHeight="1" x14ac:dyDescent="0.2">
      <c r="A338" s="10" t="s">
        <v>1946</v>
      </c>
      <c r="B338" s="17" t="s">
        <v>2492</v>
      </c>
      <c r="C338" s="1403" t="s">
        <v>9697</v>
      </c>
      <c r="D338" s="1404"/>
      <c r="E338" s="92"/>
      <c r="F338" s="17"/>
      <c r="G338" s="17"/>
      <c r="H338" s="24"/>
      <c r="I338" s="24">
        <v>1969</v>
      </c>
      <c r="J338" s="48"/>
      <c r="K338" s="251" t="s">
        <v>8074</v>
      </c>
      <c r="L338" s="642" t="s">
        <v>10789</v>
      </c>
    </row>
    <row r="339" spans="1:12" s="19" customFormat="1" ht="34.5" customHeight="1" x14ac:dyDescent="0.2">
      <c r="A339" s="10" t="s">
        <v>1947</v>
      </c>
      <c r="B339" s="17" t="s">
        <v>2491</v>
      </c>
      <c r="C339" s="1403" t="s">
        <v>9695</v>
      </c>
      <c r="D339" s="1404"/>
      <c r="E339" s="92"/>
      <c r="F339" s="17"/>
      <c r="G339" s="17"/>
      <c r="H339" s="24"/>
      <c r="I339" s="24">
        <v>1964</v>
      </c>
      <c r="J339" s="48"/>
      <c r="K339" s="8" t="s">
        <v>9605</v>
      </c>
      <c r="L339" s="642" t="s">
        <v>12012</v>
      </c>
    </row>
    <row r="340" spans="1:12" s="208" customFormat="1" ht="36.75" customHeight="1" x14ac:dyDescent="0.2">
      <c r="A340" s="10" t="s">
        <v>1948</v>
      </c>
      <c r="B340" s="17" t="s">
        <v>2493</v>
      </c>
      <c r="C340" s="1403" t="s">
        <v>9695</v>
      </c>
      <c r="D340" s="1404"/>
      <c r="E340" s="92"/>
      <c r="F340" s="17"/>
      <c r="G340" s="17"/>
      <c r="H340" s="24"/>
      <c r="I340" s="24">
        <v>1964</v>
      </c>
      <c r="J340" s="48"/>
      <c r="K340" s="8"/>
      <c r="L340" s="8" t="s">
        <v>13997</v>
      </c>
    </row>
    <row r="341" spans="1:12" s="19" customFormat="1" ht="33.75" customHeight="1" x14ac:dyDescent="0.2">
      <c r="A341" s="10" t="s">
        <v>2202</v>
      </c>
      <c r="B341" s="17" t="s">
        <v>2492</v>
      </c>
      <c r="C341" s="1403" t="s">
        <v>9695</v>
      </c>
      <c r="D341" s="1404"/>
      <c r="E341" s="92"/>
      <c r="F341" s="17"/>
      <c r="G341" s="17"/>
      <c r="H341" s="24"/>
      <c r="I341" s="24">
        <v>1964</v>
      </c>
      <c r="J341" s="48"/>
      <c r="K341" s="251" t="s">
        <v>8074</v>
      </c>
      <c r="L341" s="642" t="s">
        <v>10789</v>
      </c>
    </row>
    <row r="342" spans="1:12" s="14" customFormat="1" ht="23.25" customHeight="1" x14ac:dyDescent="0.2">
      <c r="A342" s="1412" t="s">
        <v>1949</v>
      </c>
      <c r="B342" s="1447" t="s">
        <v>2494</v>
      </c>
      <c r="C342" s="1418" t="s">
        <v>7876</v>
      </c>
      <c r="D342" s="1419"/>
      <c r="E342" s="16"/>
      <c r="F342" s="47" t="s">
        <v>4131</v>
      </c>
      <c r="G342" s="47"/>
      <c r="H342" s="292" t="s">
        <v>2207</v>
      </c>
      <c r="I342" s="292">
        <v>1956</v>
      </c>
      <c r="J342" s="40"/>
      <c r="K342" s="1286" t="s">
        <v>13908</v>
      </c>
      <c r="L342" s="1286" t="s">
        <v>13861</v>
      </c>
    </row>
    <row r="343" spans="1:12" s="14" customFormat="1" ht="24.75" customHeight="1" x14ac:dyDescent="0.2">
      <c r="A343" s="1413"/>
      <c r="B343" s="1448"/>
      <c r="C343" s="1401"/>
      <c r="D343" s="1446"/>
      <c r="E343" s="1345" t="s">
        <v>3163</v>
      </c>
      <c r="F343" s="1463"/>
      <c r="G343" s="1346"/>
      <c r="H343" s="292"/>
      <c r="I343" s="292"/>
      <c r="J343" s="40"/>
      <c r="K343" s="1288"/>
      <c r="L343" s="1288"/>
    </row>
    <row r="344" spans="1:12" s="14" customFormat="1" ht="59.25" customHeight="1" x14ac:dyDescent="0.2">
      <c r="A344" s="10" t="s">
        <v>3307</v>
      </c>
      <c r="B344" s="46" t="s">
        <v>2495</v>
      </c>
      <c r="C344" s="1401"/>
      <c r="D344" s="1446"/>
      <c r="E344" s="16"/>
      <c r="F344" s="47"/>
      <c r="G344" s="47" t="s">
        <v>2156</v>
      </c>
      <c r="H344" s="292" t="s">
        <v>3166</v>
      </c>
      <c r="I344" s="292">
        <v>2010</v>
      </c>
      <c r="J344" s="40"/>
      <c r="K344" s="8" t="s">
        <v>13820</v>
      </c>
      <c r="L344" s="8" t="s">
        <v>13861</v>
      </c>
    </row>
    <row r="345" spans="1:12" s="14" customFormat="1" ht="33" customHeight="1" x14ac:dyDescent="0.2">
      <c r="A345" s="1412" t="s">
        <v>3308</v>
      </c>
      <c r="B345" s="1333" t="s">
        <v>180</v>
      </c>
      <c r="C345" s="1401"/>
      <c r="D345" s="1446"/>
      <c r="E345" s="16"/>
      <c r="F345" s="47"/>
      <c r="G345" s="47" t="s">
        <v>2496</v>
      </c>
      <c r="H345" s="292" t="s">
        <v>3167</v>
      </c>
      <c r="I345" s="292">
        <v>2010</v>
      </c>
      <c r="J345" s="40"/>
      <c r="K345" s="1286" t="s">
        <v>13820</v>
      </c>
      <c r="L345" s="1286" t="s">
        <v>13861</v>
      </c>
    </row>
    <row r="346" spans="1:12" s="14" customFormat="1" ht="21" customHeight="1" x14ac:dyDescent="0.2">
      <c r="A346" s="1413"/>
      <c r="B346" s="1335"/>
      <c r="C346" s="1444"/>
      <c r="D346" s="1445"/>
      <c r="E346" s="1460" t="s">
        <v>3433</v>
      </c>
      <c r="F346" s="1461"/>
      <c r="G346" s="47" t="s">
        <v>181</v>
      </c>
      <c r="H346" s="292" t="s">
        <v>3268</v>
      </c>
      <c r="I346" s="292" t="s">
        <v>483</v>
      </c>
      <c r="J346" s="40"/>
      <c r="K346" s="1288"/>
      <c r="L346" s="1288"/>
    </row>
    <row r="347" spans="1:12" s="14" customFormat="1" ht="33.75" x14ac:dyDescent="0.2">
      <c r="A347" s="10" t="s">
        <v>1950</v>
      </c>
      <c r="B347" s="47" t="s">
        <v>3554</v>
      </c>
      <c r="C347" s="1403" t="s">
        <v>9694</v>
      </c>
      <c r="D347" s="1404"/>
      <c r="E347" s="16"/>
      <c r="F347" s="47"/>
      <c r="G347" s="47" t="s">
        <v>3556</v>
      </c>
      <c r="H347" s="292" t="s">
        <v>3555</v>
      </c>
      <c r="I347" s="292">
        <v>1978</v>
      </c>
      <c r="J347" s="40"/>
      <c r="K347" s="17" t="s">
        <v>8291</v>
      </c>
      <c r="L347" s="47" t="s">
        <v>3040</v>
      </c>
    </row>
    <row r="348" spans="1:12" s="14" customFormat="1" ht="22.5" x14ac:dyDescent="0.2">
      <c r="A348" s="10" t="s">
        <v>1951</v>
      </c>
      <c r="B348" s="47" t="s">
        <v>2480</v>
      </c>
      <c r="C348" s="1403" t="s">
        <v>9764</v>
      </c>
      <c r="D348" s="1404"/>
      <c r="E348" s="16"/>
      <c r="F348" s="47"/>
      <c r="G348" s="47" t="s">
        <v>1983</v>
      </c>
      <c r="H348" s="292" t="s">
        <v>2208</v>
      </c>
      <c r="I348" s="292">
        <v>1996</v>
      </c>
      <c r="J348" s="40"/>
      <c r="K348" s="17" t="s">
        <v>3237</v>
      </c>
      <c r="L348" s="47" t="s">
        <v>3236</v>
      </c>
    </row>
    <row r="349" spans="1:12" s="14" customFormat="1" ht="22.5" x14ac:dyDescent="0.2">
      <c r="A349" s="1412" t="s">
        <v>1952</v>
      </c>
      <c r="B349" s="47" t="s">
        <v>2480</v>
      </c>
      <c r="C349" s="1403" t="s">
        <v>9765</v>
      </c>
      <c r="D349" s="1404"/>
      <c r="E349" s="16"/>
      <c r="F349" s="47"/>
      <c r="G349" s="47" t="s">
        <v>1983</v>
      </c>
      <c r="H349" s="292" t="s">
        <v>2209</v>
      </c>
      <c r="I349" s="292">
        <v>1996</v>
      </c>
      <c r="J349" s="40"/>
      <c r="K349" s="17" t="s">
        <v>3237</v>
      </c>
      <c r="L349" s="47" t="s">
        <v>3236</v>
      </c>
    </row>
    <row r="350" spans="1:12" s="14" customFormat="1" ht="26.25" customHeight="1" x14ac:dyDescent="0.2">
      <c r="A350" s="1413"/>
      <c r="B350" s="644"/>
      <c r="C350" s="1444"/>
      <c r="D350" s="1445"/>
      <c r="E350" s="1405" t="s">
        <v>3542</v>
      </c>
      <c r="F350" s="1406"/>
      <c r="G350" s="47" t="s">
        <v>3541</v>
      </c>
      <c r="H350" s="292"/>
      <c r="I350" s="292" t="s">
        <v>4182</v>
      </c>
      <c r="J350" s="40"/>
      <c r="K350" s="17" t="s">
        <v>3237</v>
      </c>
      <c r="L350" s="47" t="s">
        <v>3236</v>
      </c>
    </row>
    <row r="351" spans="1:12" s="14" customFormat="1" ht="22.5" x14ac:dyDescent="0.2">
      <c r="A351" s="10" t="s">
        <v>1953</v>
      </c>
      <c r="B351" s="47" t="s">
        <v>2497</v>
      </c>
      <c r="C351" s="1403" t="s">
        <v>9766</v>
      </c>
      <c r="D351" s="1404"/>
      <c r="E351" s="16"/>
      <c r="F351" s="47"/>
      <c r="G351" s="47" t="s">
        <v>2210</v>
      </c>
      <c r="H351" s="292" t="s">
        <v>2211</v>
      </c>
      <c r="I351" s="292">
        <v>1996</v>
      </c>
      <c r="J351" s="40"/>
      <c r="K351" s="17" t="s">
        <v>3237</v>
      </c>
      <c r="L351" s="47" t="s">
        <v>3236</v>
      </c>
    </row>
    <row r="352" spans="1:12" s="14" customFormat="1" ht="33.75" x14ac:dyDescent="0.2">
      <c r="A352" s="10" t="s">
        <v>3127</v>
      </c>
      <c r="B352" s="47" t="s">
        <v>2498</v>
      </c>
      <c r="C352" s="1403" t="s">
        <v>9690</v>
      </c>
      <c r="D352" s="1404"/>
      <c r="E352" s="16"/>
      <c r="F352" s="47"/>
      <c r="G352" s="47"/>
      <c r="H352" s="292"/>
      <c r="I352" s="292">
        <v>1995</v>
      </c>
      <c r="J352" s="40"/>
      <c r="K352" s="17" t="s">
        <v>3669</v>
      </c>
      <c r="L352" s="17" t="s">
        <v>3669</v>
      </c>
    </row>
    <row r="353" spans="1:12" s="14" customFormat="1" ht="22.5" x14ac:dyDescent="0.2">
      <c r="A353" s="10" t="s">
        <v>1954</v>
      </c>
      <c r="B353" s="47" t="s">
        <v>2499</v>
      </c>
      <c r="C353" s="1403" t="s">
        <v>5438</v>
      </c>
      <c r="D353" s="1404"/>
      <c r="E353" s="16"/>
      <c r="F353" s="47"/>
      <c r="G353" s="47"/>
      <c r="H353" s="292"/>
      <c r="I353" s="292">
        <v>1993</v>
      </c>
      <c r="J353" s="40"/>
      <c r="K353" s="17"/>
      <c r="L353" s="47"/>
    </row>
    <row r="354" spans="1:12" s="14" customFormat="1" ht="25.5" customHeight="1" x14ac:dyDescent="0.2">
      <c r="A354" s="10" t="s">
        <v>2183</v>
      </c>
      <c r="B354" s="17" t="s">
        <v>2500</v>
      </c>
      <c r="C354" s="1403" t="s">
        <v>9693</v>
      </c>
      <c r="D354" s="1404"/>
      <c r="E354" s="16"/>
      <c r="F354" s="47"/>
      <c r="G354" s="47"/>
      <c r="H354" s="292"/>
      <c r="I354" s="292">
        <v>1975</v>
      </c>
      <c r="J354" s="40"/>
      <c r="K354" s="17"/>
      <c r="L354" s="47"/>
    </row>
    <row r="355" spans="1:12" s="5" customFormat="1" ht="18" customHeight="1" x14ac:dyDescent="0.2">
      <c r="A355" s="662" t="s">
        <v>10804</v>
      </c>
      <c r="B355" s="639"/>
      <c r="C355" s="1444"/>
      <c r="D355" s="1445"/>
      <c r="E355" s="1428" t="s">
        <v>9505</v>
      </c>
      <c r="F355" s="1462"/>
      <c r="G355" s="1462"/>
      <c r="H355" s="1429"/>
      <c r="I355" s="285" t="s">
        <v>8262</v>
      </c>
      <c r="J355" s="62"/>
      <c r="K355" s="12"/>
      <c r="L355" s="12"/>
    </row>
    <row r="356" spans="1:12" s="19" customFormat="1" ht="33" customHeight="1" x14ac:dyDescent="0.2">
      <c r="A356" s="10" t="s">
        <v>2184</v>
      </c>
      <c r="B356" s="17" t="s">
        <v>2494</v>
      </c>
      <c r="C356" s="1403" t="s">
        <v>7877</v>
      </c>
      <c r="D356" s="1404"/>
      <c r="E356" s="92"/>
      <c r="F356" s="648" t="s">
        <v>3908</v>
      </c>
      <c r="G356" s="17" t="s">
        <v>181</v>
      </c>
      <c r="H356" s="24" t="s">
        <v>2212</v>
      </c>
      <c r="I356" s="24" t="s">
        <v>16</v>
      </c>
      <c r="J356" s="48"/>
      <c r="K356" s="8" t="s">
        <v>13820</v>
      </c>
      <c r="L356" s="8" t="s">
        <v>13861</v>
      </c>
    </row>
    <row r="357" spans="1:12" s="14" customFormat="1" ht="33.75" x14ac:dyDescent="0.2">
      <c r="A357" s="10" t="s">
        <v>1955</v>
      </c>
      <c r="B357" s="47" t="s">
        <v>2489</v>
      </c>
      <c r="C357" s="1403" t="s">
        <v>9692</v>
      </c>
      <c r="D357" s="1404"/>
      <c r="E357" s="16"/>
      <c r="F357" s="47"/>
      <c r="G357" s="47"/>
      <c r="H357" s="292" t="s">
        <v>2213</v>
      </c>
      <c r="I357" s="292">
        <v>1970</v>
      </c>
      <c r="J357" s="40"/>
      <c r="K357" s="17" t="s">
        <v>3668</v>
      </c>
      <c r="L357" s="17" t="s">
        <v>3668</v>
      </c>
    </row>
    <row r="358" spans="1:12" s="14" customFormat="1" ht="33.75" x14ac:dyDescent="0.2">
      <c r="A358" s="10" t="s">
        <v>1956</v>
      </c>
      <c r="B358" s="47" t="s">
        <v>3316</v>
      </c>
      <c r="C358" s="1403" t="s">
        <v>9691</v>
      </c>
      <c r="D358" s="1404"/>
      <c r="E358" s="16"/>
      <c r="F358" s="47"/>
      <c r="G358" s="47"/>
      <c r="H358" s="292" t="s">
        <v>2488</v>
      </c>
      <c r="I358" s="292">
        <v>2004</v>
      </c>
      <c r="J358" s="40"/>
      <c r="K358" s="17" t="s">
        <v>3668</v>
      </c>
      <c r="L358" s="17" t="s">
        <v>3668</v>
      </c>
    </row>
    <row r="359" spans="1:12" s="19" customFormat="1" ht="38.25" customHeight="1" x14ac:dyDescent="0.2">
      <c r="A359" s="10" t="s">
        <v>10145</v>
      </c>
      <c r="B359" s="638"/>
      <c r="C359" s="1401"/>
      <c r="D359" s="1402"/>
      <c r="E359" s="1403" t="s">
        <v>5252</v>
      </c>
      <c r="F359" s="1404"/>
      <c r="G359" s="17" t="s">
        <v>1983</v>
      </c>
      <c r="H359" s="24" t="s">
        <v>5253</v>
      </c>
      <c r="I359" s="24">
        <v>2004</v>
      </c>
      <c r="J359" s="48"/>
      <c r="K359" s="17" t="s">
        <v>3675</v>
      </c>
      <c r="L359" s="17" t="s">
        <v>3675</v>
      </c>
    </row>
    <row r="360" spans="1:12" s="5" customFormat="1" ht="39.75" customHeight="1" x14ac:dyDescent="0.2">
      <c r="A360" s="10" t="s">
        <v>7673</v>
      </c>
      <c r="B360" s="10" t="s">
        <v>7889</v>
      </c>
      <c r="C360" s="1411" t="s">
        <v>7888</v>
      </c>
      <c r="D360" s="1411"/>
      <c r="E360" s="12"/>
      <c r="F360" s="18" t="s">
        <v>7891</v>
      </c>
      <c r="G360" s="12"/>
      <c r="H360" s="317" t="s">
        <v>4982</v>
      </c>
      <c r="I360" s="306" t="s">
        <v>2658</v>
      </c>
      <c r="J360" s="62"/>
      <c r="K360" s="251" t="s">
        <v>8074</v>
      </c>
      <c r="L360" s="642" t="s">
        <v>10789</v>
      </c>
    </row>
    <row r="361" spans="1:12" s="14" customFormat="1" ht="42.75" customHeight="1" x14ac:dyDescent="0.2">
      <c r="A361" s="10" t="s">
        <v>13917</v>
      </c>
      <c r="B361" s="47" t="s">
        <v>4805</v>
      </c>
      <c r="C361" s="1418" t="s">
        <v>7589</v>
      </c>
      <c r="D361" s="1419"/>
      <c r="E361" s="92"/>
      <c r="F361" s="96" t="s">
        <v>5138</v>
      </c>
      <c r="G361" s="47" t="s">
        <v>2214</v>
      </c>
      <c r="H361" s="292" t="s">
        <v>3223</v>
      </c>
      <c r="I361" s="292">
        <v>1988</v>
      </c>
      <c r="J361" s="40">
        <v>364541.48</v>
      </c>
      <c r="K361" s="17" t="s">
        <v>3671</v>
      </c>
      <c r="L361" s="17" t="s">
        <v>3667</v>
      </c>
    </row>
    <row r="362" spans="1:12" s="14" customFormat="1" ht="43.5" customHeight="1" x14ac:dyDescent="0.2">
      <c r="A362" s="10" t="s">
        <v>4794</v>
      </c>
      <c r="B362" s="47" t="s">
        <v>4806</v>
      </c>
      <c r="C362" s="1416"/>
      <c r="D362" s="1417"/>
      <c r="E362" s="92"/>
      <c r="F362" s="127"/>
      <c r="G362" s="47" t="s">
        <v>1987</v>
      </c>
      <c r="H362" s="292" t="s">
        <v>4802</v>
      </c>
      <c r="I362" s="292" t="s">
        <v>2657</v>
      </c>
      <c r="J362" s="40"/>
      <c r="K362" s="251" t="s">
        <v>8074</v>
      </c>
      <c r="L362" s="642" t="s">
        <v>10789</v>
      </c>
    </row>
    <row r="363" spans="1:12" s="19" customFormat="1" ht="45.75" customHeight="1" x14ac:dyDescent="0.2">
      <c r="A363" s="10" t="s">
        <v>4795</v>
      </c>
      <c r="B363" s="17" t="s">
        <v>4983</v>
      </c>
      <c r="C363" s="1416"/>
      <c r="D363" s="1417"/>
      <c r="E363" s="92"/>
      <c r="F363" s="127"/>
      <c r="G363" s="17" t="s">
        <v>1987</v>
      </c>
      <c r="H363" s="24" t="s">
        <v>4803</v>
      </c>
      <c r="I363" s="24" t="s">
        <v>4798</v>
      </c>
      <c r="J363" s="48"/>
      <c r="K363" s="17" t="s">
        <v>13820</v>
      </c>
      <c r="L363" s="17" t="s">
        <v>13861</v>
      </c>
    </row>
    <row r="364" spans="1:12" s="19" customFormat="1" ht="26.25" customHeight="1" x14ac:dyDescent="0.2">
      <c r="A364" s="10" t="s">
        <v>4796</v>
      </c>
      <c r="B364" s="17" t="s">
        <v>4984</v>
      </c>
      <c r="C364" s="1416"/>
      <c r="D364" s="1417"/>
      <c r="E364" s="92"/>
      <c r="F364" s="145"/>
      <c r="G364" s="17" t="s">
        <v>2156</v>
      </c>
      <c r="H364" s="24" t="s">
        <v>4804</v>
      </c>
      <c r="I364" s="24" t="s">
        <v>80</v>
      </c>
      <c r="J364" s="48"/>
      <c r="K364" s="17"/>
      <c r="L364" s="17"/>
    </row>
    <row r="365" spans="1:12" s="14" customFormat="1" ht="37.5" customHeight="1" x14ac:dyDescent="0.2">
      <c r="A365" s="1412" t="s">
        <v>3548</v>
      </c>
      <c r="B365" s="637" t="s">
        <v>6248</v>
      </c>
      <c r="C365" s="1418" t="s">
        <v>7878</v>
      </c>
      <c r="D365" s="1419"/>
      <c r="E365" s="16"/>
      <c r="F365" s="345"/>
      <c r="G365" s="47"/>
      <c r="H365" s="24" t="s">
        <v>13918</v>
      </c>
      <c r="I365" s="292" t="s">
        <v>64</v>
      </c>
      <c r="J365" s="138"/>
      <c r="K365" s="637" t="s">
        <v>13820</v>
      </c>
      <c r="L365" s="646" t="s">
        <v>13919</v>
      </c>
    </row>
    <row r="366" spans="1:12" s="14" customFormat="1" ht="36.75" customHeight="1" x14ac:dyDescent="0.2">
      <c r="A366" s="1413"/>
      <c r="B366" s="17" t="s">
        <v>3637</v>
      </c>
      <c r="C366" s="1403" t="s">
        <v>9667</v>
      </c>
      <c r="D366" s="1404"/>
      <c r="E366" s="16"/>
      <c r="F366" s="345" t="s">
        <v>4065</v>
      </c>
      <c r="G366" s="47" t="s">
        <v>2215</v>
      </c>
      <c r="H366" s="24" t="s">
        <v>4019</v>
      </c>
      <c r="I366" s="292" t="s">
        <v>7720</v>
      </c>
      <c r="J366" s="40"/>
      <c r="K366" s="818" t="s">
        <v>13820</v>
      </c>
      <c r="L366" s="1293" t="s">
        <v>13919</v>
      </c>
    </row>
    <row r="367" spans="1:12" s="14" customFormat="1" ht="46.5" customHeight="1" x14ac:dyDescent="0.2">
      <c r="A367" s="1412" t="s">
        <v>3396</v>
      </c>
      <c r="B367" s="17" t="s">
        <v>4020</v>
      </c>
      <c r="C367" s="1403" t="s">
        <v>7878</v>
      </c>
      <c r="D367" s="1404"/>
      <c r="E367" s="16"/>
      <c r="F367" s="345" t="s">
        <v>4146</v>
      </c>
      <c r="G367" s="47" t="s">
        <v>3614</v>
      </c>
      <c r="H367" s="292" t="s">
        <v>9808</v>
      </c>
      <c r="I367" s="292" t="s">
        <v>6249</v>
      </c>
      <c r="J367" s="138"/>
      <c r="K367" s="818" t="s">
        <v>13820</v>
      </c>
      <c r="L367" s="1294"/>
    </row>
    <row r="368" spans="1:12" s="14" customFormat="1" ht="33" customHeight="1" x14ac:dyDescent="0.2">
      <c r="A368" s="1413"/>
      <c r="B368" s="17" t="s">
        <v>3398</v>
      </c>
      <c r="C368" s="1403" t="s">
        <v>7879</v>
      </c>
      <c r="D368" s="1404"/>
      <c r="E368" s="1403" t="s">
        <v>3125</v>
      </c>
      <c r="F368" s="1404"/>
      <c r="G368" s="47"/>
      <c r="H368" s="24" t="s">
        <v>3161</v>
      </c>
      <c r="I368" s="292">
        <v>2011</v>
      </c>
      <c r="J368" s="1500"/>
      <c r="K368" s="818" t="s">
        <v>13820</v>
      </c>
      <c r="L368" s="160"/>
    </row>
    <row r="369" spans="1:12" s="14" customFormat="1" ht="33" customHeight="1" x14ac:dyDescent="0.2">
      <c r="A369" s="10" t="s">
        <v>3397</v>
      </c>
      <c r="B369" s="17" t="s">
        <v>3299</v>
      </c>
      <c r="C369" s="1403" t="s">
        <v>7880</v>
      </c>
      <c r="D369" s="1404"/>
      <c r="E369" s="1403" t="s">
        <v>3125</v>
      </c>
      <c r="F369" s="1404"/>
      <c r="G369" s="47"/>
      <c r="H369" s="24" t="s">
        <v>3162</v>
      </c>
      <c r="I369" s="292" t="s">
        <v>483</v>
      </c>
      <c r="J369" s="1501"/>
      <c r="K369" s="818" t="s">
        <v>13820</v>
      </c>
      <c r="L369" s="160"/>
    </row>
    <row r="370" spans="1:12" s="14" customFormat="1" ht="33.75" customHeight="1" x14ac:dyDescent="0.2">
      <c r="A370" s="654" t="s">
        <v>3435</v>
      </c>
      <c r="B370" s="657" t="s">
        <v>180</v>
      </c>
      <c r="C370" s="1405" t="s">
        <v>7881</v>
      </c>
      <c r="D370" s="1406"/>
      <c r="E370" s="12"/>
      <c r="F370" s="46"/>
      <c r="G370" s="46" t="s">
        <v>3370</v>
      </c>
      <c r="H370" s="26" t="s">
        <v>3287</v>
      </c>
      <c r="I370" s="26" t="s">
        <v>461</v>
      </c>
      <c r="J370" s="40"/>
      <c r="K370" s="818" t="s">
        <v>13820</v>
      </c>
      <c r="L370" s="160"/>
    </row>
    <row r="371" spans="1:12" s="14" customFormat="1" ht="33" customHeight="1" x14ac:dyDescent="0.2">
      <c r="A371" s="654" t="s">
        <v>3807</v>
      </c>
      <c r="B371" s="660" t="s">
        <v>180</v>
      </c>
      <c r="C371" s="1414" t="s">
        <v>7882</v>
      </c>
      <c r="D371" s="1415"/>
      <c r="E371" s="199"/>
      <c r="F371" s="131"/>
      <c r="G371" s="46" t="s">
        <v>3370</v>
      </c>
      <c r="H371" s="258" t="s">
        <v>3297</v>
      </c>
      <c r="I371" s="26" t="s">
        <v>461</v>
      </c>
      <c r="J371" s="138"/>
      <c r="K371" s="818" t="s">
        <v>13820</v>
      </c>
      <c r="L371" s="160"/>
    </row>
    <row r="372" spans="1:12" s="14" customFormat="1" ht="34.5" customHeight="1" x14ac:dyDescent="0.2">
      <c r="A372" s="654" t="s">
        <v>3826</v>
      </c>
      <c r="B372" s="660" t="s">
        <v>180</v>
      </c>
      <c r="C372" s="1405" t="s">
        <v>7883</v>
      </c>
      <c r="D372" s="1406"/>
      <c r="E372" s="12"/>
      <c r="F372" s="46"/>
      <c r="G372" s="46" t="s">
        <v>3370</v>
      </c>
      <c r="H372" s="26" t="s">
        <v>3285</v>
      </c>
      <c r="I372" s="258" t="s">
        <v>461</v>
      </c>
      <c r="J372" s="138"/>
      <c r="K372" s="818" t="s">
        <v>13820</v>
      </c>
      <c r="L372" s="160"/>
    </row>
    <row r="373" spans="1:12" s="14" customFormat="1" ht="34.5" customHeight="1" x14ac:dyDescent="0.2">
      <c r="A373" s="654" t="s">
        <v>3827</v>
      </c>
      <c r="B373" s="660" t="s">
        <v>180</v>
      </c>
      <c r="C373" s="1414" t="s">
        <v>13920</v>
      </c>
      <c r="D373" s="1415"/>
      <c r="E373" s="199"/>
      <c r="F373" s="131"/>
      <c r="G373" s="131" t="s">
        <v>3370</v>
      </c>
      <c r="H373" s="258" t="s">
        <v>3290</v>
      </c>
      <c r="I373" s="258" t="s">
        <v>461</v>
      </c>
      <c r="J373" s="138"/>
      <c r="K373" s="818" t="s">
        <v>13820</v>
      </c>
      <c r="L373" s="218"/>
    </row>
    <row r="374" spans="1:12" s="14" customFormat="1" ht="38.25" customHeight="1" x14ac:dyDescent="0.2">
      <c r="A374" s="10" t="s">
        <v>13921</v>
      </c>
      <c r="B374" s="47" t="s">
        <v>3249</v>
      </c>
      <c r="C374" s="1403" t="s">
        <v>13922</v>
      </c>
      <c r="D374" s="1404"/>
      <c r="E374" s="16"/>
      <c r="F374" s="345" t="s">
        <v>4055</v>
      </c>
      <c r="G374" s="47" t="s">
        <v>3840</v>
      </c>
      <c r="H374" s="292" t="s">
        <v>3632</v>
      </c>
      <c r="I374" s="292" t="s">
        <v>3631</v>
      </c>
      <c r="J374" s="40"/>
      <c r="K374" s="642" t="s">
        <v>9605</v>
      </c>
      <c r="L374" s="1293" t="s">
        <v>12012</v>
      </c>
    </row>
    <row r="375" spans="1:12" s="14" customFormat="1" ht="22.5" x14ac:dyDescent="0.2">
      <c r="A375" s="10" t="s">
        <v>3409</v>
      </c>
      <c r="B375" s="657" t="s">
        <v>3436</v>
      </c>
      <c r="C375" s="1405" t="s">
        <v>13923</v>
      </c>
      <c r="D375" s="1406"/>
      <c r="E375" s="12"/>
      <c r="F375" s="158"/>
      <c r="G375" s="46" t="s">
        <v>3370</v>
      </c>
      <c r="H375" s="26" t="s">
        <v>3281</v>
      </c>
      <c r="I375" s="26" t="s">
        <v>461</v>
      </c>
      <c r="J375" s="40"/>
      <c r="K375" s="642" t="s">
        <v>9605</v>
      </c>
      <c r="L375" s="1294"/>
    </row>
    <row r="376" spans="1:12" s="14" customFormat="1" ht="22.5" x14ac:dyDescent="0.2">
      <c r="A376" s="10" t="s">
        <v>3808</v>
      </c>
      <c r="B376" s="657" t="s">
        <v>3437</v>
      </c>
      <c r="C376" s="1414" t="s">
        <v>13924</v>
      </c>
      <c r="D376" s="1415"/>
      <c r="E376" s="199"/>
      <c r="F376" s="158"/>
      <c r="G376" s="46" t="s">
        <v>3370</v>
      </c>
      <c r="H376" s="261" t="s">
        <v>3298</v>
      </c>
      <c r="I376" s="26" t="s">
        <v>461</v>
      </c>
      <c r="J376" s="40"/>
      <c r="K376" s="642" t="s">
        <v>9605</v>
      </c>
      <c r="L376" s="1294"/>
    </row>
    <row r="377" spans="1:12" s="14" customFormat="1" ht="22.5" x14ac:dyDescent="0.2">
      <c r="A377" s="10" t="s">
        <v>3809</v>
      </c>
      <c r="B377" s="657" t="s">
        <v>3436</v>
      </c>
      <c r="C377" s="1405" t="s">
        <v>13925</v>
      </c>
      <c r="D377" s="1406"/>
      <c r="E377" s="12"/>
      <c r="F377" s="158"/>
      <c r="G377" s="46" t="s">
        <v>3370</v>
      </c>
      <c r="H377" s="26" t="s">
        <v>3293</v>
      </c>
      <c r="I377" s="26" t="s">
        <v>461</v>
      </c>
      <c r="J377" s="40"/>
      <c r="K377" s="642" t="s">
        <v>9605</v>
      </c>
      <c r="L377" s="1295"/>
    </row>
    <row r="378" spans="1:12" s="14" customFormat="1" ht="24.75" customHeight="1" x14ac:dyDescent="0.2">
      <c r="A378" s="10" t="s">
        <v>1957</v>
      </c>
      <c r="B378" s="17" t="s">
        <v>2450</v>
      </c>
      <c r="C378" s="1418" t="s">
        <v>7884</v>
      </c>
      <c r="D378" s="1419"/>
      <c r="E378" s="16"/>
      <c r="F378" s="345" t="s">
        <v>5404</v>
      </c>
      <c r="G378" s="47" t="s">
        <v>2215</v>
      </c>
      <c r="H378" s="292" t="s">
        <v>3430</v>
      </c>
      <c r="I378" s="292" t="s">
        <v>3476</v>
      </c>
      <c r="J378" s="40"/>
      <c r="K378" s="1303" t="s">
        <v>13820</v>
      </c>
      <c r="L378" s="1293" t="s">
        <v>13919</v>
      </c>
    </row>
    <row r="379" spans="1:12" s="14" customFormat="1" ht="21.75" customHeight="1" x14ac:dyDescent="0.2">
      <c r="A379" s="1412" t="s">
        <v>3810</v>
      </c>
      <c r="B379" s="1289" t="s">
        <v>2451</v>
      </c>
      <c r="C379" s="1401"/>
      <c r="D379" s="1446"/>
      <c r="E379" s="16"/>
      <c r="F379" s="47"/>
      <c r="G379" s="47" t="s">
        <v>2215</v>
      </c>
      <c r="H379" s="292" t="s">
        <v>3165</v>
      </c>
      <c r="I379" s="292">
        <v>2010</v>
      </c>
      <c r="J379" s="40"/>
      <c r="K379" s="1304"/>
      <c r="L379" s="1294"/>
    </row>
    <row r="380" spans="1:12" s="14" customFormat="1" ht="21.75" customHeight="1" x14ac:dyDescent="0.2">
      <c r="A380" s="1413"/>
      <c r="B380" s="1291"/>
      <c r="C380" s="1444"/>
      <c r="D380" s="1445"/>
      <c r="E380" s="1493" t="s">
        <v>3432</v>
      </c>
      <c r="F380" s="1494"/>
      <c r="G380" s="47" t="s">
        <v>2215</v>
      </c>
      <c r="H380" s="292" t="s">
        <v>3269</v>
      </c>
      <c r="I380" s="292">
        <v>2010</v>
      </c>
      <c r="J380" s="40"/>
      <c r="K380" s="1305"/>
      <c r="L380" s="1295"/>
    </row>
    <row r="381" spans="1:12" s="19" customFormat="1" ht="45" x14ac:dyDescent="0.2">
      <c r="A381" s="10" t="s">
        <v>3811</v>
      </c>
      <c r="B381" s="17" t="s">
        <v>2450</v>
      </c>
      <c r="C381" s="1403" t="s">
        <v>7885</v>
      </c>
      <c r="D381" s="1404"/>
      <c r="E381" s="92"/>
      <c r="F381" s="648" t="s">
        <v>3922</v>
      </c>
      <c r="G381" s="17" t="s">
        <v>2215</v>
      </c>
      <c r="H381" s="24" t="s">
        <v>3431</v>
      </c>
      <c r="I381" s="24" t="s">
        <v>3476</v>
      </c>
      <c r="J381" s="48"/>
      <c r="K381" s="17" t="s">
        <v>13820</v>
      </c>
      <c r="L381" s="17" t="s">
        <v>13919</v>
      </c>
    </row>
    <row r="382" spans="1:12" s="14" customFormat="1" ht="33.75" x14ac:dyDescent="0.2">
      <c r="A382" s="10" t="s">
        <v>1958</v>
      </c>
      <c r="B382" s="47" t="s">
        <v>2447</v>
      </c>
      <c r="C382" s="1403" t="s">
        <v>9442</v>
      </c>
      <c r="D382" s="1404"/>
      <c r="E382" s="16"/>
      <c r="F382" s="47"/>
      <c r="G382" s="47" t="s">
        <v>2216</v>
      </c>
      <c r="H382" s="292" t="s">
        <v>9440</v>
      </c>
      <c r="I382" s="292">
        <v>2005</v>
      </c>
      <c r="J382" s="40"/>
      <c r="K382" s="17" t="s">
        <v>191</v>
      </c>
      <c r="L382" s="47"/>
    </row>
    <row r="383" spans="1:12" s="71" customFormat="1" ht="60.75" customHeight="1" x14ac:dyDescent="0.2">
      <c r="A383" s="17" t="s">
        <v>1959</v>
      </c>
      <c r="B383" s="17" t="s">
        <v>2447</v>
      </c>
      <c r="C383" s="1403" t="s">
        <v>5434</v>
      </c>
      <c r="D383" s="1404"/>
      <c r="E383" s="92"/>
      <c r="F383" s="17"/>
      <c r="G383" s="17"/>
      <c r="H383" s="24" t="s">
        <v>3228</v>
      </c>
      <c r="I383" s="24">
        <v>2008</v>
      </c>
      <c r="J383" s="48"/>
      <c r="K383" s="188" t="s">
        <v>479</v>
      </c>
      <c r="L383" s="188" t="s">
        <v>479</v>
      </c>
    </row>
    <row r="384" spans="1:12" s="14" customFormat="1" ht="22.5" x14ac:dyDescent="0.2">
      <c r="A384" s="10" t="s">
        <v>1960</v>
      </c>
      <c r="B384" s="47" t="s">
        <v>297</v>
      </c>
      <c r="C384" s="1403" t="s">
        <v>9715</v>
      </c>
      <c r="D384" s="1404"/>
      <c r="E384" s="16"/>
      <c r="F384" s="47"/>
      <c r="G384" s="47"/>
      <c r="H384" s="292"/>
      <c r="I384" s="292">
        <v>2009</v>
      </c>
      <c r="J384" s="40"/>
      <c r="K384" s="17"/>
      <c r="L384" s="47"/>
    </row>
    <row r="385" spans="1:12" s="19" customFormat="1" ht="36.75" customHeight="1" x14ac:dyDescent="0.2">
      <c r="A385" s="17" t="s">
        <v>1961</v>
      </c>
      <c r="B385" s="17" t="s">
        <v>7531</v>
      </c>
      <c r="C385" s="1403" t="s">
        <v>7532</v>
      </c>
      <c r="D385" s="1404"/>
      <c r="E385" s="92"/>
      <c r="F385" s="17" t="s">
        <v>7705</v>
      </c>
      <c r="G385" s="17"/>
      <c r="H385" s="24" t="s">
        <v>3227</v>
      </c>
      <c r="I385" s="24">
        <v>2009</v>
      </c>
      <c r="J385" s="48"/>
      <c r="K385" s="17"/>
      <c r="L385" s="17"/>
    </row>
    <row r="386" spans="1:12" s="19" customFormat="1" ht="41.25" customHeight="1" x14ac:dyDescent="0.2">
      <c r="A386" s="17" t="s">
        <v>1962</v>
      </c>
      <c r="B386" s="17" t="s">
        <v>9635</v>
      </c>
      <c r="C386" s="1403" t="s">
        <v>7532</v>
      </c>
      <c r="D386" s="1404"/>
      <c r="E386" s="92"/>
      <c r="F386" s="17" t="s">
        <v>9636</v>
      </c>
      <c r="G386" s="17"/>
      <c r="H386" s="24" t="s">
        <v>9589</v>
      </c>
      <c r="I386" s="24">
        <v>2009</v>
      </c>
      <c r="J386" s="48"/>
      <c r="K386" s="646" t="s">
        <v>9605</v>
      </c>
      <c r="L386" s="642" t="s">
        <v>12012</v>
      </c>
    </row>
    <row r="387" spans="1:12" s="14" customFormat="1" ht="22.5" x14ac:dyDescent="0.2">
      <c r="A387" s="10" t="s">
        <v>1963</v>
      </c>
      <c r="B387" s="46" t="s">
        <v>2449</v>
      </c>
      <c r="C387" s="1403" t="s">
        <v>9707</v>
      </c>
      <c r="D387" s="1404"/>
      <c r="E387" s="16"/>
      <c r="F387" s="47"/>
      <c r="G387" s="47"/>
      <c r="H387" s="292"/>
      <c r="I387" s="292">
        <v>2010</v>
      </c>
      <c r="J387" s="40"/>
      <c r="K387" s="17" t="s">
        <v>309</v>
      </c>
      <c r="L387" s="47"/>
    </row>
    <row r="388" spans="1:12" s="71" customFormat="1" ht="20.25" customHeight="1" x14ac:dyDescent="0.2">
      <c r="A388" s="18" t="s">
        <v>1964</v>
      </c>
      <c r="B388" s="18" t="s">
        <v>2448</v>
      </c>
      <c r="C388" s="1403" t="s">
        <v>9732</v>
      </c>
      <c r="D388" s="1404"/>
      <c r="E388" s="92"/>
      <c r="F388" s="17"/>
      <c r="G388" s="17"/>
      <c r="H388" s="24"/>
      <c r="I388" s="24">
        <v>2010</v>
      </c>
      <c r="J388" s="48"/>
      <c r="K388" s="17"/>
      <c r="L388" s="17"/>
    </row>
    <row r="389" spans="1:12" s="14" customFormat="1" ht="46.5" customHeight="1" x14ac:dyDescent="0.2">
      <c r="A389" s="10" t="s">
        <v>1965</v>
      </c>
      <c r="B389" s="46" t="s">
        <v>3139</v>
      </c>
      <c r="C389" s="1403" t="s">
        <v>14163</v>
      </c>
      <c r="D389" s="1404"/>
      <c r="E389" s="16"/>
      <c r="F389" s="209" t="s">
        <v>14164</v>
      </c>
      <c r="G389" s="47" t="s">
        <v>2584</v>
      </c>
      <c r="H389" s="292" t="s">
        <v>13927</v>
      </c>
      <c r="I389" s="292">
        <v>2010</v>
      </c>
      <c r="J389" s="82">
        <v>13856.62</v>
      </c>
      <c r="K389" s="8" t="s">
        <v>13820</v>
      </c>
      <c r="L389" s="8" t="s">
        <v>13919</v>
      </c>
    </row>
    <row r="390" spans="1:12" s="19" customFormat="1" ht="48" customHeight="1" x14ac:dyDescent="0.2">
      <c r="A390" s="10" t="s">
        <v>1966</v>
      </c>
      <c r="B390" s="18" t="s">
        <v>3063</v>
      </c>
      <c r="C390" s="1403" t="s">
        <v>14162</v>
      </c>
      <c r="D390" s="1404"/>
      <c r="E390" s="92"/>
      <c r="F390" s="209" t="s">
        <v>14161</v>
      </c>
      <c r="G390" s="209" t="s">
        <v>3776</v>
      </c>
      <c r="H390" s="318" t="s">
        <v>13926</v>
      </c>
      <c r="I390" s="24">
        <v>2010</v>
      </c>
      <c r="J390" s="210">
        <v>27713.24</v>
      </c>
      <c r="K390" s="8" t="s">
        <v>13820</v>
      </c>
      <c r="L390" s="8" t="s">
        <v>13919</v>
      </c>
    </row>
    <row r="391" spans="1:12" s="19" customFormat="1" ht="22.5" x14ac:dyDescent="0.2">
      <c r="A391" s="10" t="s">
        <v>1972</v>
      </c>
      <c r="B391" s="18" t="s">
        <v>3141</v>
      </c>
      <c r="C391" s="1403" t="s">
        <v>9767</v>
      </c>
      <c r="D391" s="1404"/>
      <c r="E391" s="92"/>
      <c r="F391" s="17"/>
      <c r="G391" s="17" t="s">
        <v>2189</v>
      </c>
      <c r="H391" s="24" t="s">
        <v>3140</v>
      </c>
      <c r="I391" s="24">
        <v>2010</v>
      </c>
      <c r="J391" s="48"/>
      <c r="K391" s="17" t="s">
        <v>3138</v>
      </c>
      <c r="L391" s="17"/>
    </row>
    <row r="392" spans="1:12" s="19" customFormat="1" ht="32.25" customHeight="1" x14ac:dyDescent="0.2">
      <c r="A392" s="18" t="s">
        <v>1973</v>
      </c>
      <c r="B392" s="18" t="s">
        <v>7533</v>
      </c>
      <c r="C392" s="1403" t="s">
        <v>4155</v>
      </c>
      <c r="D392" s="1404"/>
      <c r="E392" s="92"/>
      <c r="F392" s="17"/>
      <c r="G392" s="17"/>
      <c r="H392" s="24" t="s">
        <v>3226</v>
      </c>
      <c r="I392" s="24">
        <v>2010</v>
      </c>
      <c r="J392" s="48"/>
      <c r="K392" s="17" t="s">
        <v>5920</v>
      </c>
      <c r="L392" s="17" t="s">
        <v>5920</v>
      </c>
    </row>
    <row r="393" spans="1:12" s="19" customFormat="1" ht="41.25" customHeight="1" x14ac:dyDescent="0.2">
      <c r="A393" s="10" t="s">
        <v>1974</v>
      </c>
      <c r="B393" s="46" t="s">
        <v>180</v>
      </c>
      <c r="C393" s="1405" t="s">
        <v>13251</v>
      </c>
      <c r="D393" s="1406"/>
      <c r="E393" s="16"/>
      <c r="F393" s="47" t="s">
        <v>13252</v>
      </c>
      <c r="G393" s="47" t="s">
        <v>3224</v>
      </c>
      <c r="H393" s="47" t="s">
        <v>13253</v>
      </c>
      <c r="I393" s="24" t="s">
        <v>13928</v>
      </c>
      <c r="J393" s="48"/>
      <c r="K393" s="8" t="s">
        <v>13820</v>
      </c>
      <c r="L393" s="8" t="s">
        <v>13919</v>
      </c>
    </row>
    <row r="394" spans="1:12" s="14" customFormat="1" ht="27.75" customHeight="1" x14ac:dyDescent="0.2">
      <c r="A394" s="645" t="s">
        <v>1975</v>
      </c>
      <c r="B394" s="641" t="s">
        <v>7231</v>
      </c>
      <c r="C394" s="1414" t="s">
        <v>7886</v>
      </c>
      <c r="D394" s="1415"/>
      <c r="E394" s="115"/>
      <c r="F394" s="644" t="s">
        <v>5481</v>
      </c>
      <c r="G394" s="47"/>
      <c r="H394" s="292"/>
      <c r="I394" s="292">
        <v>2011</v>
      </c>
      <c r="J394" s="658"/>
      <c r="K394" s="642" t="s">
        <v>9601</v>
      </c>
      <c r="L394" s="802" t="s">
        <v>13998</v>
      </c>
    </row>
    <row r="395" spans="1:12" s="14" customFormat="1" ht="34.5" customHeight="1" x14ac:dyDescent="0.2">
      <c r="A395" s="18" t="s">
        <v>3812</v>
      </c>
      <c r="B395" s="46" t="s">
        <v>3062</v>
      </c>
      <c r="C395" s="1487"/>
      <c r="D395" s="1488"/>
      <c r="E395" s="388"/>
      <c r="F395" s="790"/>
      <c r="G395" s="644" t="s">
        <v>3060</v>
      </c>
      <c r="H395" s="389" t="s">
        <v>3061</v>
      </c>
      <c r="I395" s="1526" t="s">
        <v>3055</v>
      </c>
      <c r="J395" s="390"/>
      <c r="K395" s="642" t="s">
        <v>13820</v>
      </c>
      <c r="L395" s="8" t="s">
        <v>13861</v>
      </c>
    </row>
    <row r="396" spans="1:12" s="14" customFormat="1" ht="33.75" customHeight="1" x14ac:dyDescent="0.2">
      <c r="A396" s="18" t="s">
        <v>3813</v>
      </c>
      <c r="B396" s="46" t="s">
        <v>3063</v>
      </c>
      <c r="C396" s="1487"/>
      <c r="D396" s="1488"/>
      <c r="E396" s="391"/>
      <c r="F396" s="790" t="s">
        <v>5481</v>
      </c>
      <c r="G396" s="644" t="s">
        <v>3074</v>
      </c>
      <c r="H396" s="392">
        <v>7.5</v>
      </c>
      <c r="I396" s="1527"/>
      <c r="J396" s="659"/>
      <c r="K396" s="810" t="s">
        <v>13820</v>
      </c>
      <c r="L396" s="802" t="s">
        <v>13861</v>
      </c>
    </row>
    <row r="397" spans="1:12" s="14" customFormat="1" ht="21.75" customHeight="1" x14ac:dyDescent="0.2">
      <c r="A397" s="18" t="s">
        <v>3814</v>
      </c>
      <c r="B397" s="46" t="s">
        <v>3056</v>
      </c>
      <c r="C397" s="1487"/>
      <c r="D397" s="1488"/>
      <c r="E397" s="391"/>
      <c r="F397" s="644"/>
      <c r="G397" s="644"/>
      <c r="H397" s="389" t="s">
        <v>3064</v>
      </c>
      <c r="I397" s="1527"/>
      <c r="J397" s="659"/>
      <c r="K397" s="642" t="s">
        <v>9601</v>
      </c>
      <c r="L397" s="8" t="s">
        <v>13998</v>
      </c>
    </row>
    <row r="398" spans="1:12" s="14" customFormat="1" ht="21.75" customHeight="1" x14ac:dyDescent="0.2">
      <c r="A398" s="18" t="s">
        <v>3815</v>
      </c>
      <c r="B398" s="46" t="s">
        <v>3057</v>
      </c>
      <c r="C398" s="1487"/>
      <c r="D398" s="1488"/>
      <c r="E398" s="391"/>
      <c r="F398" s="644"/>
      <c r="G398" s="644"/>
      <c r="H398" s="389" t="s">
        <v>3065</v>
      </c>
      <c r="I398" s="1527"/>
      <c r="J398" s="659"/>
      <c r="K398" s="642" t="s">
        <v>9601</v>
      </c>
      <c r="L398" s="802" t="s">
        <v>13998</v>
      </c>
    </row>
    <row r="399" spans="1:12" s="14" customFormat="1" ht="33.75" customHeight="1" x14ac:dyDescent="0.2">
      <c r="A399" s="18" t="s">
        <v>3816</v>
      </c>
      <c r="B399" s="46" t="s">
        <v>13931</v>
      </c>
      <c r="C399" s="1487"/>
      <c r="D399" s="1488"/>
      <c r="E399" s="826"/>
      <c r="F399" s="791"/>
      <c r="G399" s="790" t="s">
        <v>13932</v>
      </c>
      <c r="H399" s="389" t="s">
        <v>9646</v>
      </c>
      <c r="I399" s="1527"/>
      <c r="J399" s="795"/>
      <c r="K399" s="810" t="s">
        <v>13820</v>
      </c>
      <c r="L399" s="802" t="s">
        <v>13861</v>
      </c>
    </row>
    <row r="400" spans="1:12" s="14" customFormat="1" ht="35.25" customHeight="1" x14ac:dyDescent="0.2">
      <c r="A400" s="18" t="s">
        <v>13929</v>
      </c>
      <c r="B400" s="46" t="s">
        <v>13930</v>
      </c>
      <c r="C400" s="1487"/>
      <c r="D400" s="1488"/>
      <c r="E400" s="1293"/>
      <c r="F400" s="1293" t="s">
        <v>9687</v>
      </c>
      <c r="G400" s="644" t="s">
        <v>3067</v>
      </c>
      <c r="H400" s="389" t="s">
        <v>3066</v>
      </c>
      <c r="I400" s="1527"/>
      <c r="J400" s="659"/>
      <c r="K400" s="810" t="s">
        <v>13820</v>
      </c>
      <c r="L400" s="802" t="s">
        <v>13861</v>
      </c>
    </row>
    <row r="401" spans="1:12" s="14" customFormat="1" ht="34.5" customHeight="1" x14ac:dyDescent="0.2">
      <c r="A401" s="1289" t="s">
        <v>3817</v>
      </c>
      <c r="B401" s="1333" t="s">
        <v>13933</v>
      </c>
      <c r="C401" s="1487"/>
      <c r="D401" s="1488"/>
      <c r="E401" s="1294"/>
      <c r="F401" s="1294"/>
      <c r="G401" s="46" t="s">
        <v>9792</v>
      </c>
      <c r="H401" s="389" t="s">
        <v>3069</v>
      </c>
      <c r="I401" s="1527"/>
      <c r="J401" s="659"/>
      <c r="K401" s="810" t="s">
        <v>13820</v>
      </c>
      <c r="L401" s="802" t="s">
        <v>13861</v>
      </c>
    </row>
    <row r="402" spans="1:12" s="14" customFormat="1" ht="33.75" customHeight="1" x14ac:dyDescent="0.2">
      <c r="A402" s="1291"/>
      <c r="B402" s="1335"/>
      <c r="C402" s="1487"/>
      <c r="D402" s="1488"/>
      <c r="E402" s="1295"/>
      <c r="F402" s="1295"/>
      <c r="G402" s="46" t="s">
        <v>3068</v>
      </c>
      <c r="H402" s="393" t="s">
        <v>3070</v>
      </c>
      <c r="I402" s="1527"/>
      <c r="J402" s="659"/>
      <c r="K402" s="810" t="s">
        <v>13820</v>
      </c>
      <c r="L402" s="802" t="s">
        <v>13861</v>
      </c>
    </row>
    <row r="403" spans="1:12" s="14" customFormat="1" ht="35.25" customHeight="1" x14ac:dyDescent="0.2">
      <c r="A403" s="18" t="s">
        <v>3818</v>
      </c>
      <c r="B403" s="46" t="s">
        <v>3072</v>
      </c>
      <c r="C403" s="1487"/>
      <c r="D403" s="1488"/>
      <c r="E403" s="391"/>
      <c r="F403" s="644"/>
      <c r="G403" s="644"/>
      <c r="H403" s="389"/>
      <c r="I403" s="1527"/>
      <c r="J403" s="659"/>
      <c r="K403" s="810" t="s">
        <v>13820</v>
      </c>
      <c r="L403" s="802" t="s">
        <v>13861</v>
      </c>
    </row>
    <row r="404" spans="1:12" s="14" customFormat="1" ht="37.5" customHeight="1" x14ac:dyDescent="0.2">
      <c r="A404" s="18" t="s">
        <v>3819</v>
      </c>
      <c r="B404" s="46" t="s">
        <v>3073</v>
      </c>
      <c r="C404" s="1487"/>
      <c r="D404" s="1488"/>
      <c r="E404" s="391"/>
      <c r="F404" s="644"/>
      <c r="G404" s="644"/>
      <c r="H404" s="389"/>
      <c r="I404" s="1527"/>
      <c r="J404" s="659"/>
      <c r="K404" s="810" t="s">
        <v>13820</v>
      </c>
      <c r="L404" s="802" t="s">
        <v>13861</v>
      </c>
    </row>
    <row r="405" spans="1:12" s="14" customFormat="1" ht="51" customHeight="1" x14ac:dyDescent="0.2">
      <c r="A405" s="18" t="s">
        <v>3820</v>
      </c>
      <c r="B405" s="46" t="s">
        <v>3071</v>
      </c>
      <c r="C405" s="1487"/>
      <c r="D405" s="1488"/>
      <c r="E405" s="391"/>
      <c r="F405" s="644"/>
      <c r="G405" s="644" t="s">
        <v>9791</v>
      </c>
      <c r="H405" s="389"/>
      <c r="I405" s="1527"/>
      <c r="J405" s="659"/>
      <c r="K405" s="642" t="s">
        <v>9601</v>
      </c>
      <c r="L405" s="802" t="s">
        <v>13998</v>
      </c>
    </row>
    <row r="406" spans="1:12" s="14" customFormat="1" ht="21.75" customHeight="1" x14ac:dyDescent="0.2">
      <c r="A406" s="18" t="s">
        <v>3821</v>
      </c>
      <c r="B406" s="46" t="s">
        <v>3058</v>
      </c>
      <c r="C406" s="1487"/>
      <c r="D406" s="1488"/>
      <c r="E406" s="46" t="s">
        <v>3078</v>
      </c>
      <c r="F406" s="644"/>
      <c r="G406" s="644"/>
      <c r="H406" s="389" t="s">
        <v>3075</v>
      </c>
      <c r="I406" s="1527"/>
      <c r="J406" s="659"/>
      <c r="K406" s="642" t="s">
        <v>9601</v>
      </c>
      <c r="L406" s="802" t="s">
        <v>13998</v>
      </c>
    </row>
    <row r="407" spans="1:12" s="14" customFormat="1" ht="27.75" customHeight="1" x14ac:dyDescent="0.2">
      <c r="A407" s="18" t="s">
        <v>3822</v>
      </c>
      <c r="B407" s="46" t="s">
        <v>3059</v>
      </c>
      <c r="C407" s="1487"/>
      <c r="D407" s="1488"/>
      <c r="E407" s="46" t="s">
        <v>3078</v>
      </c>
      <c r="F407" s="644"/>
      <c r="G407" s="644"/>
      <c r="H407" s="389" t="s">
        <v>3076</v>
      </c>
      <c r="I407" s="1527"/>
      <c r="J407" s="659"/>
      <c r="K407" s="642" t="s">
        <v>9601</v>
      </c>
      <c r="L407" s="802" t="s">
        <v>13998</v>
      </c>
    </row>
    <row r="408" spans="1:12" s="14" customFormat="1" ht="24" customHeight="1" x14ac:dyDescent="0.2">
      <c r="A408" s="18" t="s">
        <v>3823</v>
      </c>
      <c r="B408" s="46" t="s">
        <v>3077</v>
      </c>
      <c r="C408" s="1489"/>
      <c r="D408" s="1490"/>
      <c r="E408" s="46" t="s">
        <v>3078</v>
      </c>
      <c r="F408" s="644"/>
      <c r="G408" s="644"/>
      <c r="H408" s="389"/>
      <c r="I408" s="1528"/>
      <c r="J408" s="659"/>
      <c r="K408" s="642" t="s">
        <v>9601</v>
      </c>
      <c r="L408" s="802" t="s">
        <v>13998</v>
      </c>
    </row>
    <row r="409" spans="1:12" s="14" customFormat="1" ht="33.75" x14ac:dyDescent="0.2">
      <c r="A409" s="10" t="s">
        <v>1976</v>
      </c>
      <c r="B409" s="47" t="s">
        <v>9768</v>
      </c>
      <c r="C409" s="1405" t="s">
        <v>9667</v>
      </c>
      <c r="D409" s="1406"/>
      <c r="E409" s="16"/>
      <c r="F409" s="47"/>
      <c r="G409" s="47" t="s">
        <v>2188</v>
      </c>
      <c r="H409" s="292" t="s">
        <v>2187</v>
      </c>
      <c r="I409" s="292">
        <v>2006</v>
      </c>
      <c r="J409" s="40"/>
      <c r="K409" s="92"/>
      <c r="L409" s="47" t="s">
        <v>192</v>
      </c>
    </row>
    <row r="410" spans="1:12" s="19" customFormat="1" ht="26.25" customHeight="1" x14ac:dyDescent="0.2">
      <c r="A410" s="10" t="s">
        <v>1977</v>
      </c>
      <c r="B410" s="17" t="s">
        <v>3646</v>
      </c>
      <c r="C410" s="1403" t="s">
        <v>8235</v>
      </c>
      <c r="D410" s="1404"/>
      <c r="E410" s="92"/>
      <c r="F410" s="17" t="s">
        <v>3680</v>
      </c>
      <c r="G410" s="17" t="s">
        <v>2185</v>
      </c>
      <c r="H410" s="24" t="s">
        <v>2186</v>
      </c>
      <c r="I410" s="24">
        <v>2006</v>
      </c>
      <c r="J410" s="48"/>
      <c r="K410" s="39" t="s">
        <v>3670</v>
      </c>
      <c r="L410" s="39" t="s">
        <v>3670</v>
      </c>
    </row>
    <row r="411" spans="1:12" s="71" customFormat="1" x14ac:dyDescent="0.2">
      <c r="A411" s="1412" t="s">
        <v>1978</v>
      </c>
      <c r="B411" s="18" t="s">
        <v>40</v>
      </c>
      <c r="C411" s="1403" t="s">
        <v>5647</v>
      </c>
      <c r="D411" s="1404"/>
      <c r="E411" s="92"/>
      <c r="F411" s="17"/>
      <c r="G411" s="17"/>
      <c r="H411" s="24"/>
      <c r="I411" s="24">
        <v>2010</v>
      </c>
      <c r="J411" s="48"/>
      <c r="K411" s="18"/>
      <c r="L411" s="18"/>
    </row>
    <row r="412" spans="1:12" s="71" customFormat="1" ht="22.5" x14ac:dyDescent="0.2">
      <c r="A412" s="1413"/>
      <c r="B412" s="94" t="s">
        <v>492</v>
      </c>
      <c r="C412" s="1403" t="s">
        <v>5647</v>
      </c>
      <c r="D412" s="1404"/>
      <c r="E412" s="95"/>
      <c r="F412" s="96"/>
      <c r="G412" s="96"/>
      <c r="H412" s="308"/>
      <c r="I412" s="308">
        <v>2011</v>
      </c>
      <c r="J412" s="97"/>
      <c r="K412" s="18"/>
      <c r="L412" s="18"/>
    </row>
    <row r="413" spans="1:12" s="59" customFormat="1" ht="33.75" customHeight="1" x14ac:dyDescent="0.2">
      <c r="A413" s="17" t="s">
        <v>1979</v>
      </c>
      <c r="B413" s="80" t="s">
        <v>2444</v>
      </c>
      <c r="C413" s="1491" t="s">
        <v>8234</v>
      </c>
      <c r="D413" s="1492"/>
      <c r="E413" s="648"/>
      <c r="F413" s="648"/>
      <c r="G413" s="648" t="s">
        <v>2445</v>
      </c>
      <c r="H413" s="24"/>
      <c r="I413" s="24"/>
      <c r="J413" s="41"/>
      <c r="K413" s="32" t="s">
        <v>5267</v>
      </c>
      <c r="L413" s="32" t="s">
        <v>5603</v>
      </c>
    </row>
    <row r="414" spans="1:12" s="57" customFormat="1" ht="45" customHeight="1" x14ac:dyDescent="0.2">
      <c r="A414" s="642" t="s">
        <v>1980</v>
      </c>
      <c r="B414" s="642" t="s">
        <v>5624</v>
      </c>
      <c r="C414" s="1403" t="s">
        <v>8233</v>
      </c>
      <c r="D414" s="1404"/>
      <c r="E414" s="146" t="s">
        <v>5587</v>
      </c>
      <c r="F414" s="648" t="s">
        <v>5540</v>
      </c>
      <c r="G414" s="648"/>
      <c r="H414" s="299" t="s">
        <v>5472</v>
      </c>
      <c r="I414" s="24" t="s">
        <v>502</v>
      </c>
      <c r="J414" s="41"/>
      <c r="K414" s="1303" t="s">
        <v>486</v>
      </c>
      <c r="L414" s="1303" t="s">
        <v>486</v>
      </c>
    </row>
    <row r="415" spans="1:12" ht="33.75" x14ac:dyDescent="0.2">
      <c r="A415" s="642" t="s">
        <v>3824</v>
      </c>
      <c r="B415" s="642" t="s">
        <v>5621</v>
      </c>
      <c r="C415" s="1403" t="s">
        <v>8233</v>
      </c>
      <c r="D415" s="1404"/>
      <c r="E415" s="648" t="s">
        <v>5615</v>
      </c>
      <c r="F415" s="648" t="s">
        <v>5540</v>
      </c>
      <c r="G415" s="648" t="s">
        <v>2265</v>
      </c>
      <c r="H415" s="299">
        <v>146</v>
      </c>
      <c r="I415" s="24">
        <v>1973</v>
      </c>
      <c r="J415" s="41"/>
      <c r="K415" s="1304"/>
      <c r="L415" s="1304"/>
    </row>
    <row r="416" spans="1:12" ht="33.75" x14ac:dyDescent="0.2">
      <c r="A416" s="642" t="s">
        <v>3825</v>
      </c>
      <c r="B416" s="642" t="s">
        <v>5622</v>
      </c>
      <c r="C416" s="1403" t="s">
        <v>8233</v>
      </c>
      <c r="D416" s="1404"/>
      <c r="E416" s="648" t="s">
        <v>5615</v>
      </c>
      <c r="F416" s="648" t="s">
        <v>5540</v>
      </c>
      <c r="G416" s="648" t="s">
        <v>2256</v>
      </c>
      <c r="H416" s="299">
        <v>117.7</v>
      </c>
      <c r="I416" s="24">
        <v>1973</v>
      </c>
      <c r="J416" s="41"/>
      <c r="K416" s="1305"/>
      <c r="L416" s="1305"/>
    </row>
    <row r="417" spans="1:12" ht="33.75" x14ac:dyDescent="0.2">
      <c r="A417" s="642" t="s">
        <v>5616</v>
      </c>
      <c r="B417" s="642" t="s">
        <v>5623</v>
      </c>
      <c r="C417" s="1403" t="s">
        <v>9677</v>
      </c>
      <c r="D417" s="1404"/>
      <c r="E417" s="648" t="s">
        <v>5615</v>
      </c>
      <c r="F417" s="648" t="s">
        <v>5540</v>
      </c>
      <c r="G417" s="648" t="s">
        <v>2256</v>
      </c>
      <c r="H417" s="299">
        <v>30.9</v>
      </c>
      <c r="I417" s="24" t="s">
        <v>502</v>
      </c>
      <c r="J417" s="41"/>
      <c r="K417" s="639"/>
      <c r="L417" s="639"/>
    </row>
    <row r="418" spans="1:12" ht="84.75" customHeight="1" x14ac:dyDescent="0.2">
      <c r="A418" s="642" t="s">
        <v>9000</v>
      </c>
      <c r="B418" s="642" t="s">
        <v>9003</v>
      </c>
      <c r="C418" s="1403" t="s">
        <v>9677</v>
      </c>
      <c r="D418" s="1404"/>
      <c r="E418" s="648"/>
      <c r="F418" s="648"/>
      <c r="G418" s="648" t="s">
        <v>2265</v>
      </c>
      <c r="H418" s="299">
        <v>10675.7</v>
      </c>
      <c r="I418" s="24" t="s">
        <v>502</v>
      </c>
      <c r="J418" s="41"/>
      <c r="K418" s="643" t="s">
        <v>9005</v>
      </c>
      <c r="L418" s="30" t="s">
        <v>486</v>
      </c>
    </row>
    <row r="419" spans="1:12" ht="84" customHeight="1" x14ac:dyDescent="0.2">
      <c r="A419" s="642" t="s">
        <v>9001</v>
      </c>
      <c r="B419" s="642" t="s">
        <v>9003</v>
      </c>
      <c r="C419" s="1403" t="s">
        <v>9677</v>
      </c>
      <c r="D419" s="1404"/>
      <c r="E419" s="648"/>
      <c r="F419" s="648"/>
      <c r="G419" s="648" t="s">
        <v>2265</v>
      </c>
      <c r="H419" s="299">
        <v>10675.7</v>
      </c>
      <c r="I419" s="24" t="s">
        <v>502</v>
      </c>
      <c r="J419" s="41"/>
      <c r="K419" s="643" t="s">
        <v>9006</v>
      </c>
      <c r="L419" s="30" t="s">
        <v>486</v>
      </c>
    </row>
    <row r="420" spans="1:12" ht="84" customHeight="1" x14ac:dyDescent="0.2">
      <c r="A420" s="642" t="s">
        <v>9002</v>
      </c>
      <c r="B420" s="642" t="s">
        <v>9004</v>
      </c>
      <c r="C420" s="1403" t="s">
        <v>9677</v>
      </c>
      <c r="D420" s="1404"/>
      <c r="E420" s="648"/>
      <c r="F420" s="648"/>
      <c r="G420" s="648" t="s">
        <v>2265</v>
      </c>
      <c r="H420" s="299">
        <v>57.4</v>
      </c>
      <c r="I420" s="24" t="s">
        <v>502</v>
      </c>
      <c r="J420" s="41"/>
      <c r="K420" s="643" t="s">
        <v>9005</v>
      </c>
      <c r="L420" s="30" t="s">
        <v>486</v>
      </c>
    </row>
    <row r="421" spans="1:12" ht="84" customHeight="1" x14ac:dyDescent="0.2">
      <c r="A421" s="642" t="s">
        <v>9007</v>
      </c>
      <c r="B421" s="642" t="s">
        <v>9004</v>
      </c>
      <c r="C421" s="1403" t="s">
        <v>9677</v>
      </c>
      <c r="D421" s="1404"/>
      <c r="E421" s="648"/>
      <c r="F421" s="648"/>
      <c r="G421" s="648" t="s">
        <v>2265</v>
      </c>
      <c r="H421" s="299">
        <v>57.4</v>
      </c>
      <c r="I421" s="24" t="s">
        <v>502</v>
      </c>
      <c r="J421" s="41"/>
      <c r="K421" s="643" t="s">
        <v>9006</v>
      </c>
      <c r="L421" s="30" t="s">
        <v>486</v>
      </c>
    </row>
    <row r="422" spans="1:12" s="57" customFormat="1" ht="39" customHeight="1" x14ac:dyDescent="0.2">
      <c r="A422" s="27" t="s">
        <v>1981</v>
      </c>
      <c r="B422" s="27" t="s">
        <v>3406</v>
      </c>
      <c r="C422" s="1403" t="s">
        <v>9678</v>
      </c>
      <c r="D422" s="1404"/>
      <c r="E422" s="12"/>
      <c r="F422" s="12" t="s">
        <v>5402</v>
      </c>
      <c r="G422" s="12" t="s">
        <v>3682</v>
      </c>
      <c r="H422" s="299" t="s">
        <v>3684</v>
      </c>
      <c r="I422" s="309">
        <v>1996</v>
      </c>
      <c r="J422" s="48"/>
      <c r="K422" s="8" t="s">
        <v>13820</v>
      </c>
      <c r="L422" s="8" t="s">
        <v>13861</v>
      </c>
    </row>
    <row r="423" spans="1:12" s="57" customFormat="1" ht="36.75" customHeight="1" x14ac:dyDescent="0.2">
      <c r="A423" s="27" t="s">
        <v>3102</v>
      </c>
      <c r="B423" s="27" t="s">
        <v>3406</v>
      </c>
      <c r="C423" s="1403" t="s">
        <v>9678</v>
      </c>
      <c r="D423" s="1404"/>
      <c r="E423" s="12"/>
      <c r="F423" s="12" t="s">
        <v>5403</v>
      </c>
      <c r="G423" s="12" t="s">
        <v>3683</v>
      </c>
      <c r="H423" s="299" t="s">
        <v>3685</v>
      </c>
      <c r="I423" s="309">
        <v>1996</v>
      </c>
      <c r="J423" s="48"/>
      <c r="K423" s="802" t="s">
        <v>13820</v>
      </c>
      <c r="L423" s="802" t="s">
        <v>13861</v>
      </c>
    </row>
    <row r="424" spans="1:12" s="57" customFormat="1" ht="61.5" customHeight="1" x14ac:dyDescent="0.2">
      <c r="A424" s="27" t="s">
        <v>2231</v>
      </c>
      <c r="B424" s="27" t="s">
        <v>2443</v>
      </c>
      <c r="C424" s="1403" t="s">
        <v>8236</v>
      </c>
      <c r="D424" s="1404"/>
      <c r="E424" s="12"/>
      <c r="F424" s="12"/>
      <c r="G424" s="12" t="s">
        <v>9443</v>
      </c>
      <c r="H424" s="285"/>
      <c r="I424" s="309">
        <v>1978</v>
      </c>
      <c r="J424" s="48"/>
      <c r="K424" s="32" t="s">
        <v>5151</v>
      </c>
      <c r="L424" s="32" t="s">
        <v>5151</v>
      </c>
    </row>
    <row r="425" spans="1:12" s="83" customFormat="1" ht="36.75" customHeight="1" x14ac:dyDescent="0.2">
      <c r="A425" s="27" t="s">
        <v>3874</v>
      </c>
      <c r="B425" s="27" t="s">
        <v>2443</v>
      </c>
      <c r="C425" s="1485" t="s">
        <v>8237</v>
      </c>
      <c r="D425" s="1486"/>
      <c r="E425" s="1428" t="s">
        <v>3875</v>
      </c>
      <c r="F425" s="1429"/>
      <c r="G425" s="12" t="s">
        <v>3894</v>
      </c>
      <c r="H425" s="285" t="s">
        <v>3897</v>
      </c>
      <c r="I425" s="309">
        <v>2012</v>
      </c>
      <c r="J425" s="48"/>
      <c r="K425" s="1434" t="s">
        <v>3876</v>
      </c>
      <c r="L425" s="27"/>
    </row>
    <row r="426" spans="1:12" s="83" customFormat="1" ht="35.25" customHeight="1" x14ac:dyDescent="0.2">
      <c r="A426" s="27" t="s">
        <v>3877</v>
      </c>
      <c r="B426" s="27" t="s">
        <v>2443</v>
      </c>
      <c r="C426" s="1485" t="s">
        <v>8238</v>
      </c>
      <c r="D426" s="1486"/>
      <c r="E426" s="1428" t="s">
        <v>3875</v>
      </c>
      <c r="F426" s="1429"/>
      <c r="G426" s="108" t="s">
        <v>3895</v>
      </c>
      <c r="H426" s="319" t="s">
        <v>3900</v>
      </c>
      <c r="I426" s="309">
        <v>2012</v>
      </c>
      <c r="J426" s="48"/>
      <c r="K426" s="1497"/>
      <c r="L426" s="27"/>
    </row>
    <row r="427" spans="1:12" s="83" customFormat="1" ht="35.25" customHeight="1" x14ac:dyDescent="0.2">
      <c r="A427" s="27" t="s">
        <v>3878</v>
      </c>
      <c r="B427" s="27" t="s">
        <v>2443</v>
      </c>
      <c r="C427" s="1485" t="s">
        <v>8239</v>
      </c>
      <c r="D427" s="1486"/>
      <c r="E427" s="1428" t="s">
        <v>3875</v>
      </c>
      <c r="F427" s="1429"/>
      <c r="G427" s="108" t="s">
        <v>3895</v>
      </c>
      <c r="H427" s="319" t="s">
        <v>3906</v>
      </c>
      <c r="I427" s="309">
        <v>2012</v>
      </c>
      <c r="J427" s="48"/>
      <c r="K427" s="1497"/>
      <c r="L427" s="27"/>
    </row>
    <row r="428" spans="1:12" s="83" customFormat="1" ht="39.75" customHeight="1" x14ac:dyDescent="0.2">
      <c r="A428" s="27" t="s">
        <v>3879</v>
      </c>
      <c r="B428" s="27" t="s">
        <v>2443</v>
      </c>
      <c r="C428" s="1485" t="s">
        <v>8240</v>
      </c>
      <c r="D428" s="1486"/>
      <c r="E428" s="1428" t="s">
        <v>3875</v>
      </c>
      <c r="F428" s="1429"/>
      <c r="G428" s="108" t="s">
        <v>3891</v>
      </c>
      <c r="H428" s="319" t="s">
        <v>3901</v>
      </c>
      <c r="I428" s="309">
        <v>2012</v>
      </c>
      <c r="J428" s="48"/>
      <c r="K428" s="1435"/>
      <c r="L428" s="27"/>
    </row>
    <row r="429" spans="1:12" s="83" customFormat="1" ht="38.25" customHeight="1" x14ac:dyDescent="0.2">
      <c r="A429" s="27" t="s">
        <v>7724</v>
      </c>
      <c r="B429" s="27" t="s">
        <v>2443</v>
      </c>
      <c r="C429" s="1403" t="s">
        <v>8241</v>
      </c>
      <c r="D429" s="1404"/>
      <c r="E429" s="650"/>
      <c r="F429" s="652"/>
      <c r="G429" s="12" t="s">
        <v>7736</v>
      </c>
      <c r="H429" s="319"/>
      <c r="I429" s="309">
        <v>1978</v>
      </c>
      <c r="J429" s="48"/>
      <c r="K429" s="32" t="s">
        <v>5456</v>
      </c>
      <c r="L429" s="32" t="s">
        <v>5456</v>
      </c>
    </row>
    <row r="430" spans="1:12" s="57" customFormat="1" ht="24.75" customHeight="1" x14ac:dyDescent="0.2">
      <c r="A430" s="27" t="s">
        <v>2232</v>
      </c>
      <c r="B430" s="27" t="s">
        <v>2443</v>
      </c>
      <c r="C430" s="1403" t="s">
        <v>8242</v>
      </c>
      <c r="D430" s="1404"/>
      <c r="E430" s="12"/>
      <c r="F430" s="12"/>
      <c r="G430" s="12"/>
      <c r="H430" s="285"/>
      <c r="I430" s="309">
        <v>1982</v>
      </c>
      <c r="J430" s="48"/>
      <c r="K430" s="27" t="s">
        <v>32</v>
      </c>
      <c r="L430" s="27" t="s">
        <v>32</v>
      </c>
    </row>
    <row r="431" spans="1:12" s="57" customFormat="1" ht="27.75" customHeight="1" x14ac:dyDescent="0.2">
      <c r="A431" s="27" t="s">
        <v>2233</v>
      </c>
      <c r="B431" s="27" t="s">
        <v>2443</v>
      </c>
      <c r="C431" s="1403" t="s">
        <v>8243</v>
      </c>
      <c r="D431" s="1404"/>
      <c r="E431" s="12"/>
      <c r="F431" s="12"/>
      <c r="G431" s="12"/>
      <c r="H431" s="285"/>
      <c r="I431" s="309">
        <v>1979</v>
      </c>
      <c r="J431" s="48"/>
      <c r="K431" s="27" t="s">
        <v>32</v>
      </c>
      <c r="L431" s="27" t="s">
        <v>32</v>
      </c>
    </row>
    <row r="432" spans="1:12" s="57" customFormat="1" ht="45.75" customHeight="1" x14ac:dyDescent="0.2">
      <c r="A432" s="27" t="s">
        <v>3880</v>
      </c>
      <c r="B432" s="27" t="s">
        <v>3881</v>
      </c>
      <c r="C432" s="1403" t="s">
        <v>8244</v>
      </c>
      <c r="D432" s="1404"/>
      <c r="E432" s="1428" t="s">
        <v>3875</v>
      </c>
      <c r="F432" s="1429"/>
      <c r="G432" s="12" t="s">
        <v>3894</v>
      </c>
      <c r="H432" s="285" t="s">
        <v>3902</v>
      </c>
      <c r="I432" s="309">
        <v>2012</v>
      </c>
      <c r="J432" s="48"/>
      <c r="K432" s="27" t="s">
        <v>3876</v>
      </c>
      <c r="L432" s="27"/>
    </row>
    <row r="433" spans="1:12" s="57" customFormat="1" ht="24" customHeight="1" x14ac:dyDescent="0.2">
      <c r="A433" s="27" t="s">
        <v>2234</v>
      </c>
      <c r="B433" s="27" t="s">
        <v>2443</v>
      </c>
      <c r="C433" s="1403" t="s">
        <v>8242</v>
      </c>
      <c r="D433" s="1404"/>
      <c r="E433" s="12"/>
      <c r="F433" s="12"/>
      <c r="G433" s="12"/>
      <c r="H433" s="285"/>
      <c r="I433" s="309">
        <v>1978</v>
      </c>
      <c r="J433" s="48"/>
      <c r="K433" s="27" t="s">
        <v>32</v>
      </c>
      <c r="L433" s="27" t="s">
        <v>32</v>
      </c>
    </row>
    <row r="434" spans="1:12" s="57" customFormat="1" ht="33" customHeight="1" x14ac:dyDescent="0.2">
      <c r="A434" s="27" t="s">
        <v>3890</v>
      </c>
      <c r="B434" s="8" t="s">
        <v>3885</v>
      </c>
      <c r="C434" s="1441" t="s">
        <v>8245</v>
      </c>
      <c r="D434" s="1442"/>
      <c r="E434" s="1428" t="s">
        <v>3875</v>
      </c>
      <c r="F434" s="1429"/>
      <c r="G434" s="12" t="s">
        <v>3896</v>
      </c>
      <c r="H434" s="285" t="s">
        <v>3903</v>
      </c>
      <c r="I434" s="309">
        <v>2012</v>
      </c>
      <c r="J434" s="48"/>
      <c r="K434" s="27" t="s">
        <v>3876</v>
      </c>
      <c r="L434" s="27"/>
    </row>
    <row r="435" spans="1:12" s="57" customFormat="1" ht="18.75" customHeight="1" x14ac:dyDescent="0.2">
      <c r="A435" s="27" t="s">
        <v>2235</v>
      </c>
      <c r="B435" s="27" t="s">
        <v>2501</v>
      </c>
      <c r="C435" s="1403" t="s">
        <v>8246</v>
      </c>
      <c r="D435" s="1404"/>
      <c r="E435" s="12"/>
      <c r="F435" s="12"/>
      <c r="G435" s="12"/>
      <c r="H435" s="285"/>
      <c r="I435" s="309">
        <v>1978</v>
      </c>
      <c r="J435" s="48"/>
      <c r="K435" s="27" t="s">
        <v>32</v>
      </c>
      <c r="L435" s="27" t="s">
        <v>32</v>
      </c>
    </row>
    <row r="436" spans="1:12" s="57" customFormat="1" ht="47.25" customHeight="1" x14ac:dyDescent="0.2">
      <c r="A436" s="27" t="s">
        <v>2236</v>
      </c>
      <c r="B436" s="27" t="s">
        <v>13935</v>
      </c>
      <c r="C436" s="1403" t="s">
        <v>14133</v>
      </c>
      <c r="D436" s="1404"/>
      <c r="E436" s="12"/>
      <c r="F436" s="12" t="s">
        <v>14132</v>
      </c>
      <c r="G436" s="12" t="s">
        <v>13936</v>
      </c>
      <c r="H436" s="285"/>
      <c r="I436" s="309">
        <v>1948</v>
      </c>
      <c r="J436" s="48"/>
      <c r="K436" s="17" t="s">
        <v>13820</v>
      </c>
      <c r="L436" s="17" t="s">
        <v>13919</v>
      </c>
    </row>
    <row r="437" spans="1:12" s="57" customFormat="1" ht="50.25" customHeight="1" x14ac:dyDescent="0.2">
      <c r="A437" s="27" t="s">
        <v>2237</v>
      </c>
      <c r="B437" s="27" t="s">
        <v>13937</v>
      </c>
      <c r="C437" s="1403" t="s">
        <v>14145</v>
      </c>
      <c r="D437" s="1404"/>
      <c r="E437" s="12"/>
      <c r="F437" s="12" t="s">
        <v>14146</v>
      </c>
      <c r="G437" s="804" t="s">
        <v>13938</v>
      </c>
      <c r="H437" s="285"/>
      <c r="I437" s="309">
        <v>1961</v>
      </c>
      <c r="J437" s="48"/>
      <c r="K437" s="17" t="s">
        <v>13820</v>
      </c>
      <c r="L437" s="17" t="s">
        <v>13919</v>
      </c>
    </row>
    <row r="438" spans="1:12" s="57" customFormat="1" ht="26.25" customHeight="1" x14ac:dyDescent="0.2">
      <c r="A438" s="27" t="s">
        <v>2238</v>
      </c>
      <c r="B438" s="27" t="s">
        <v>13939</v>
      </c>
      <c r="C438" s="1403" t="s">
        <v>13934</v>
      </c>
      <c r="D438" s="1404"/>
      <c r="E438" s="12"/>
      <c r="F438" s="12"/>
      <c r="G438" s="804" t="s">
        <v>13938</v>
      </c>
      <c r="H438" s="285"/>
      <c r="I438" s="309">
        <v>1997</v>
      </c>
      <c r="J438" s="48"/>
      <c r="K438" s="17" t="s">
        <v>13820</v>
      </c>
      <c r="L438" s="17" t="s">
        <v>13919</v>
      </c>
    </row>
    <row r="439" spans="1:12" s="57" customFormat="1" ht="33.75" customHeight="1" x14ac:dyDescent="0.2">
      <c r="A439" s="27" t="s">
        <v>2239</v>
      </c>
      <c r="B439" s="27" t="s">
        <v>286</v>
      </c>
      <c r="C439" s="1403" t="s">
        <v>5436</v>
      </c>
      <c r="D439" s="1404"/>
      <c r="E439" s="12"/>
      <c r="F439" s="12"/>
      <c r="G439" s="12"/>
      <c r="H439" s="285"/>
      <c r="I439" s="309">
        <v>1996</v>
      </c>
      <c r="J439" s="48"/>
      <c r="K439" s="17" t="s">
        <v>3671</v>
      </c>
      <c r="L439" s="17" t="s">
        <v>3671</v>
      </c>
    </row>
    <row r="440" spans="1:12" s="5" customFormat="1" ht="18.75" customHeight="1" x14ac:dyDescent="0.2">
      <c r="A440" s="27" t="s">
        <v>2240</v>
      </c>
      <c r="B440" s="27" t="s">
        <v>193</v>
      </c>
      <c r="C440" s="1403" t="s">
        <v>5436</v>
      </c>
      <c r="D440" s="1404"/>
      <c r="E440" s="12"/>
      <c r="F440" s="12"/>
      <c r="G440" s="12"/>
      <c r="H440" s="285"/>
      <c r="I440" s="309">
        <v>1996</v>
      </c>
      <c r="J440" s="48"/>
      <c r="K440" s="27" t="s">
        <v>458</v>
      </c>
      <c r="L440" s="27" t="s">
        <v>458</v>
      </c>
    </row>
    <row r="441" spans="1:12" s="5" customFormat="1" ht="18" customHeight="1" x14ac:dyDescent="0.2">
      <c r="A441" s="27" t="s">
        <v>2241</v>
      </c>
      <c r="B441" s="27" t="s">
        <v>193</v>
      </c>
      <c r="C441" s="1403" t="s">
        <v>5436</v>
      </c>
      <c r="D441" s="1404"/>
      <c r="E441" s="12"/>
      <c r="F441" s="12"/>
      <c r="G441" s="12"/>
      <c r="H441" s="285"/>
      <c r="I441" s="309">
        <v>1996</v>
      </c>
      <c r="J441" s="48"/>
      <c r="K441" s="27" t="s">
        <v>458</v>
      </c>
      <c r="L441" s="27" t="s">
        <v>458</v>
      </c>
    </row>
    <row r="442" spans="1:12" s="5" customFormat="1" ht="19.5" customHeight="1" x14ac:dyDescent="0.2">
      <c r="A442" s="27" t="s">
        <v>2242</v>
      </c>
      <c r="B442" s="27" t="s">
        <v>193</v>
      </c>
      <c r="C442" s="1403" t="s">
        <v>5436</v>
      </c>
      <c r="D442" s="1404"/>
      <c r="E442" s="12"/>
      <c r="F442" s="12"/>
      <c r="G442" s="12"/>
      <c r="H442" s="285"/>
      <c r="I442" s="309">
        <v>1996</v>
      </c>
      <c r="J442" s="48"/>
      <c r="K442" s="27" t="s">
        <v>458</v>
      </c>
      <c r="L442" s="27" t="s">
        <v>458</v>
      </c>
    </row>
    <row r="443" spans="1:12" s="86" customFormat="1" ht="45" customHeight="1" x14ac:dyDescent="0.2">
      <c r="A443" s="27" t="s">
        <v>2243</v>
      </c>
      <c r="B443" s="8" t="s">
        <v>3882</v>
      </c>
      <c r="C443" s="1441" t="s">
        <v>9769</v>
      </c>
      <c r="D443" s="1442"/>
      <c r="E443" s="1428" t="s">
        <v>3875</v>
      </c>
      <c r="F443" s="1429"/>
      <c r="G443" s="12" t="s">
        <v>3891</v>
      </c>
      <c r="H443" s="285" t="s">
        <v>3898</v>
      </c>
      <c r="I443" s="309">
        <v>2012</v>
      </c>
      <c r="J443" s="48"/>
      <c r="K443" s="27" t="s">
        <v>3876</v>
      </c>
      <c r="L443" s="27"/>
    </row>
    <row r="444" spans="1:12" s="86" customFormat="1" ht="33.75" x14ac:dyDescent="0.2">
      <c r="A444" s="27" t="s">
        <v>2244</v>
      </c>
      <c r="B444" s="8" t="s">
        <v>3883</v>
      </c>
      <c r="C444" s="1441" t="s">
        <v>9770</v>
      </c>
      <c r="D444" s="1442"/>
      <c r="E444" s="1428" t="s">
        <v>3875</v>
      </c>
      <c r="F444" s="1429"/>
      <c r="G444" s="12" t="s">
        <v>3892</v>
      </c>
      <c r="H444" s="285" t="s">
        <v>3904</v>
      </c>
      <c r="I444" s="309">
        <v>2012</v>
      </c>
      <c r="J444" s="48"/>
      <c r="K444" s="27" t="s">
        <v>3876</v>
      </c>
      <c r="L444" s="27"/>
    </row>
    <row r="445" spans="1:12" s="86" customFormat="1" ht="45" x14ac:dyDescent="0.2">
      <c r="A445" s="27" t="s">
        <v>2245</v>
      </c>
      <c r="B445" s="27" t="s">
        <v>3884</v>
      </c>
      <c r="C445" s="1441" t="s">
        <v>9771</v>
      </c>
      <c r="D445" s="1442"/>
      <c r="E445" s="1428" t="s">
        <v>3875</v>
      </c>
      <c r="F445" s="1429"/>
      <c r="G445" s="12" t="s">
        <v>3891</v>
      </c>
      <c r="H445" s="285" t="s">
        <v>3905</v>
      </c>
      <c r="I445" s="309">
        <v>2012</v>
      </c>
      <c r="J445" s="48"/>
      <c r="K445" s="27" t="s">
        <v>3876</v>
      </c>
      <c r="L445" s="27"/>
    </row>
    <row r="446" spans="1:12" s="86" customFormat="1" ht="51" customHeight="1" x14ac:dyDescent="0.2">
      <c r="A446" s="27" t="s">
        <v>2246</v>
      </c>
      <c r="B446" s="27" t="s">
        <v>3886</v>
      </c>
      <c r="C446" s="1441" t="s">
        <v>9772</v>
      </c>
      <c r="D446" s="1442"/>
      <c r="E446" s="1428" t="s">
        <v>3875</v>
      </c>
      <c r="F446" s="1429"/>
      <c r="G446" s="12" t="s">
        <v>3893</v>
      </c>
      <c r="H446" s="285" t="s">
        <v>3899</v>
      </c>
      <c r="I446" s="309">
        <v>2012</v>
      </c>
      <c r="J446" s="48"/>
      <c r="K446" s="27" t="s">
        <v>3876</v>
      </c>
      <c r="L446" s="27"/>
    </row>
    <row r="447" spans="1:12" s="5" customFormat="1" ht="33.75" customHeight="1" x14ac:dyDescent="0.2">
      <c r="A447" s="27" t="s">
        <v>2247</v>
      </c>
      <c r="B447" s="17" t="s">
        <v>3256</v>
      </c>
      <c r="C447" s="1403" t="s">
        <v>7887</v>
      </c>
      <c r="D447" s="1404"/>
      <c r="E447" s="12"/>
      <c r="F447" s="12"/>
      <c r="G447" s="12" t="s">
        <v>3060</v>
      </c>
      <c r="H447" s="285" t="s">
        <v>3540</v>
      </c>
      <c r="I447" s="285" t="s">
        <v>3366</v>
      </c>
      <c r="J447" s="62"/>
      <c r="K447" s="18"/>
      <c r="L447" s="18"/>
    </row>
    <row r="448" spans="1:12" ht="40.5" customHeight="1" x14ac:dyDescent="0.2">
      <c r="A448" s="12" t="s">
        <v>4863</v>
      </c>
      <c r="B448" s="8" t="s">
        <v>2859</v>
      </c>
      <c r="C448" s="1441" t="s">
        <v>9708</v>
      </c>
      <c r="D448" s="1442"/>
      <c r="E448" s="12" t="s">
        <v>2653</v>
      </c>
      <c r="F448" s="8" t="s">
        <v>4101</v>
      </c>
      <c r="G448" s="8"/>
      <c r="H448" s="663" t="s">
        <v>3275</v>
      </c>
      <c r="I448" s="663"/>
      <c r="J448" s="20"/>
      <c r="K448" s="251" t="s">
        <v>8074</v>
      </c>
      <c r="L448" s="642" t="s">
        <v>10789</v>
      </c>
    </row>
    <row r="449" spans="1:12" ht="40.5" customHeight="1" x14ac:dyDescent="0.2">
      <c r="A449" s="12" t="s">
        <v>2248</v>
      </c>
      <c r="B449" s="8" t="s">
        <v>2859</v>
      </c>
      <c r="C449" s="1441" t="s">
        <v>9709</v>
      </c>
      <c r="D449" s="1442"/>
      <c r="E449" s="12" t="s">
        <v>2653</v>
      </c>
      <c r="F449" s="8" t="s">
        <v>4100</v>
      </c>
      <c r="G449" s="8"/>
      <c r="H449" s="663" t="s">
        <v>3276</v>
      </c>
      <c r="I449" s="663"/>
      <c r="J449" s="20"/>
      <c r="K449" s="251" t="s">
        <v>8074</v>
      </c>
      <c r="L449" s="642" t="s">
        <v>10789</v>
      </c>
    </row>
    <row r="450" spans="1:12" ht="40.5" customHeight="1" x14ac:dyDescent="0.2">
      <c r="A450" s="12" t="s">
        <v>3887</v>
      </c>
      <c r="B450" s="100" t="s">
        <v>4466</v>
      </c>
      <c r="C450" s="1422" t="s">
        <v>13940</v>
      </c>
      <c r="D450" s="1436"/>
      <c r="E450" s="12"/>
      <c r="F450" s="131" t="s">
        <v>3974</v>
      </c>
      <c r="G450" s="1439" t="s">
        <v>4460</v>
      </c>
      <c r="H450" s="1440"/>
      <c r="I450" s="663"/>
      <c r="J450" s="20"/>
      <c r="K450" s="251" t="s">
        <v>8074</v>
      </c>
      <c r="L450" s="642" t="s">
        <v>10789</v>
      </c>
    </row>
    <row r="451" spans="1:12" ht="34.5" customHeight="1" x14ac:dyDescent="0.2">
      <c r="A451" s="27" t="s">
        <v>4864</v>
      </c>
      <c r="B451" s="8" t="s">
        <v>4478</v>
      </c>
      <c r="C451" s="1495"/>
      <c r="D451" s="1496"/>
      <c r="E451" s="12" t="s">
        <v>5004</v>
      </c>
      <c r="F451" s="132"/>
      <c r="G451" s="8" t="s">
        <v>3988</v>
      </c>
      <c r="H451" s="320">
        <v>81.900000000000006</v>
      </c>
      <c r="I451" s="663"/>
      <c r="J451" s="20"/>
      <c r="K451" s="251" t="s">
        <v>8074</v>
      </c>
      <c r="L451" s="642" t="s">
        <v>10789</v>
      </c>
    </row>
    <row r="452" spans="1:12" ht="35.25" customHeight="1" x14ac:dyDescent="0.2">
      <c r="A452" s="27" t="s">
        <v>4865</v>
      </c>
      <c r="B452" s="8" t="s">
        <v>4479</v>
      </c>
      <c r="C452" s="1437"/>
      <c r="D452" s="1438"/>
      <c r="E452" s="12" t="s">
        <v>5005</v>
      </c>
      <c r="F452" s="133"/>
      <c r="G452" s="8" t="s">
        <v>3989</v>
      </c>
      <c r="H452" s="320">
        <v>37.4</v>
      </c>
      <c r="I452" s="663"/>
      <c r="J452" s="113"/>
      <c r="K452" s="251" t="s">
        <v>8074</v>
      </c>
      <c r="L452" s="642" t="s">
        <v>10789</v>
      </c>
    </row>
    <row r="453" spans="1:12" s="5" customFormat="1" ht="35.25" customHeight="1" x14ac:dyDescent="0.2">
      <c r="A453" s="27" t="s">
        <v>4866</v>
      </c>
      <c r="B453" s="12" t="s">
        <v>9330</v>
      </c>
      <c r="C453" s="1498" t="s">
        <v>13941</v>
      </c>
      <c r="D453" s="1499"/>
      <c r="E453" s="12" t="s">
        <v>4990</v>
      </c>
      <c r="F453" s="128" t="s">
        <v>14128</v>
      </c>
      <c r="G453" s="12" t="s">
        <v>3988</v>
      </c>
      <c r="H453" s="321">
        <v>113</v>
      </c>
      <c r="I453" s="285" t="s">
        <v>163</v>
      </c>
      <c r="J453" s="62"/>
      <c r="K453" s="8" t="s">
        <v>13820</v>
      </c>
      <c r="L453" s="8" t="s">
        <v>13919</v>
      </c>
    </row>
    <row r="454" spans="1:12" s="5" customFormat="1" ht="33.75" customHeight="1" x14ac:dyDescent="0.2">
      <c r="A454" s="27" t="s">
        <v>4867</v>
      </c>
      <c r="B454" s="12" t="s">
        <v>4480</v>
      </c>
      <c r="C454" s="1422" t="s">
        <v>13940</v>
      </c>
      <c r="D454" s="1436"/>
      <c r="E454" s="12" t="s">
        <v>5006</v>
      </c>
      <c r="F454" s="94"/>
      <c r="G454" s="12" t="s">
        <v>3992</v>
      </c>
      <c r="H454" s="285" t="s">
        <v>3993</v>
      </c>
      <c r="I454" s="285"/>
      <c r="J454" s="62"/>
      <c r="K454" s="251" t="s">
        <v>8074</v>
      </c>
      <c r="L454" s="642" t="s">
        <v>10789</v>
      </c>
    </row>
    <row r="455" spans="1:12" s="5" customFormat="1" ht="36" customHeight="1" x14ac:dyDescent="0.2">
      <c r="A455" s="27" t="s">
        <v>4868</v>
      </c>
      <c r="B455" s="12" t="s">
        <v>4481</v>
      </c>
      <c r="C455" s="1495"/>
      <c r="D455" s="1496"/>
      <c r="E455" s="12" t="s">
        <v>5007</v>
      </c>
      <c r="F455" s="128"/>
      <c r="G455" s="12" t="s">
        <v>3992</v>
      </c>
      <c r="H455" s="285" t="s">
        <v>3994</v>
      </c>
      <c r="I455" s="285"/>
      <c r="J455" s="123"/>
      <c r="K455" s="251" t="s">
        <v>8074</v>
      </c>
      <c r="L455" s="642" t="s">
        <v>10789</v>
      </c>
    </row>
    <row r="456" spans="1:12" s="5" customFormat="1" ht="38.25" customHeight="1" x14ac:dyDescent="0.2">
      <c r="A456" s="27" t="s">
        <v>4869</v>
      </c>
      <c r="B456" s="12" t="s">
        <v>4482</v>
      </c>
      <c r="C456" s="1495"/>
      <c r="D456" s="1496"/>
      <c r="E456" s="12" t="s">
        <v>5008</v>
      </c>
      <c r="F456" s="128"/>
      <c r="G456" s="12" t="s">
        <v>3991</v>
      </c>
      <c r="H456" s="322">
        <v>67.2</v>
      </c>
      <c r="I456" s="285" t="s">
        <v>73</v>
      </c>
      <c r="J456" s="62"/>
      <c r="K456" s="8" t="s">
        <v>13820</v>
      </c>
      <c r="L456" s="8" t="s">
        <v>13919</v>
      </c>
    </row>
    <row r="457" spans="1:12" s="5" customFormat="1" ht="41.25" customHeight="1" x14ac:dyDescent="0.2">
      <c r="A457" s="27" t="s">
        <v>4870</v>
      </c>
      <c r="B457" s="199" t="s">
        <v>4483</v>
      </c>
      <c r="C457" s="1495"/>
      <c r="D457" s="1496"/>
      <c r="E457" s="12" t="s">
        <v>5009</v>
      </c>
      <c r="F457" s="128"/>
      <c r="G457" s="199" t="s">
        <v>3990</v>
      </c>
      <c r="H457" s="323">
        <v>844.8</v>
      </c>
      <c r="I457" s="260" t="s">
        <v>36</v>
      </c>
      <c r="J457" s="62"/>
      <c r="K457" s="802" t="s">
        <v>13820</v>
      </c>
      <c r="L457" s="802" t="s">
        <v>13919</v>
      </c>
    </row>
    <row r="458" spans="1:12" ht="22.5" x14ac:dyDescent="0.2">
      <c r="A458" s="27" t="s">
        <v>4871</v>
      </c>
      <c r="B458" s="23" t="s">
        <v>4495</v>
      </c>
      <c r="C458" s="1437"/>
      <c r="D458" s="1438"/>
      <c r="E458" s="199" t="s">
        <v>5010</v>
      </c>
      <c r="F458" s="132"/>
      <c r="G458" s="8" t="s">
        <v>3988</v>
      </c>
      <c r="H458" s="320">
        <v>254.3</v>
      </c>
      <c r="I458" s="261"/>
      <c r="J458" s="20"/>
      <c r="K458" s="17" t="s">
        <v>5439</v>
      </c>
      <c r="L458" s="17" t="s">
        <v>5439</v>
      </c>
    </row>
    <row r="459" spans="1:12" s="801" customFormat="1" ht="22.5" x14ac:dyDescent="0.2">
      <c r="A459" s="27" t="s">
        <v>13942</v>
      </c>
      <c r="B459" s="806" t="s">
        <v>13945</v>
      </c>
      <c r="C459" s="792"/>
      <c r="D459" s="793"/>
      <c r="E459" s="199" t="s">
        <v>13946</v>
      </c>
      <c r="F459" s="133"/>
      <c r="G459" s="802" t="s">
        <v>3988</v>
      </c>
      <c r="H459" s="320">
        <v>432</v>
      </c>
      <c r="I459" s="261"/>
      <c r="J459" s="805"/>
      <c r="K459" s="17"/>
      <c r="L459" s="17"/>
    </row>
    <row r="460" spans="1:12" s="801" customFormat="1" ht="56.25" customHeight="1" x14ac:dyDescent="0.2">
      <c r="A460" s="27" t="s">
        <v>13943</v>
      </c>
      <c r="B460" s="806" t="s">
        <v>13947</v>
      </c>
      <c r="C460" s="1441" t="s">
        <v>13948</v>
      </c>
      <c r="D460" s="1442"/>
      <c r="E460" s="199" t="s">
        <v>13949</v>
      </c>
      <c r="F460" s="132" t="s">
        <v>14129</v>
      </c>
      <c r="G460" s="802" t="s">
        <v>3988</v>
      </c>
      <c r="H460" s="320">
        <v>113</v>
      </c>
      <c r="I460" s="261" t="s">
        <v>163</v>
      </c>
      <c r="J460" s="805"/>
      <c r="K460" s="17" t="s">
        <v>13820</v>
      </c>
      <c r="L460" s="17" t="s">
        <v>13919</v>
      </c>
    </row>
    <row r="461" spans="1:12" s="801" customFormat="1" ht="34.5" customHeight="1" x14ac:dyDescent="0.2">
      <c r="A461" s="27" t="s">
        <v>13944</v>
      </c>
      <c r="B461" s="806" t="s">
        <v>13950</v>
      </c>
      <c r="C461" s="1441" t="s">
        <v>13951</v>
      </c>
      <c r="D461" s="1442"/>
      <c r="E461" s="199"/>
      <c r="F461" s="46" t="s">
        <v>14130</v>
      </c>
      <c r="G461" s="802" t="s">
        <v>3988</v>
      </c>
      <c r="H461" s="320"/>
      <c r="I461" s="261" t="s">
        <v>163</v>
      </c>
      <c r="J461" s="805"/>
      <c r="K461" s="17" t="s">
        <v>13820</v>
      </c>
      <c r="L461" s="17" t="s">
        <v>13919</v>
      </c>
    </row>
    <row r="462" spans="1:12" ht="33.75" customHeight="1" x14ac:dyDescent="0.2">
      <c r="A462" s="27" t="s">
        <v>3888</v>
      </c>
      <c r="B462" s="8" t="s">
        <v>3967</v>
      </c>
      <c r="C462" s="1441" t="s">
        <v>3957</v>
      </c>
      <c r="D462" s="1442"/>
      <c r="E462" s="12" t="s">
        <v>5011</v>
      </c>
      <c r="F462" s="345" t="s">
        <v>3968</v>
      </c>
      <c r="G462" s="8" t="s">
        <v>4511</v>
      </c>
      <c r="H462" s="663" t="s">
        <v>3969</v>
      </c>
      <c r="I462" s="663"/>
      <c r="J462" s="20"/>
      <c r="K462" s="8" t="s">
        <v>9605</v>
      </c>
      <c r="L462" s="642" t="s">
        <v>12012</v>
      </c>
    </row>
    <row r="463" spans="1:12" ht="54" customHeight="1" x14ac:dyDescent="0.2">
      <c r="A463" s="27" t="s">
        <v>3889</v>
      </c>
      <c r="B463" s="8" t="s">
        <v>3966</v>
      </c>
      <c r="C463" s="1441" t="s">
        <v>3957</v>
      </c>
      <c r="D463" s="1442"/>
      <c r="E463" s="12" t="s">
        <v>5012</v>
      </c>
      <c r="F463" s="345" t="s">
        <v>3965</v>
      </c>
      <c r="G463" s="241" t="s">
        <v>4497</v>
      </c>
      <c r="H463" s="320">
        <v>28.3</v>
      </c>
      <c r="I463" s="663"/>
      <c r="J463" s="20"/>
      <c r="K463" s="8" t="s">
        <v>9605</v>
      </c>
      <c r="L463" s="642" t="s">
        <v>12012</v>
      </c>
    </row>
    <row r="464" spans="1:12" ht="37.5" customHeight="1" x14ac:dyDescent="0.2">
      <c r="A464" s="27" t="s">
        <v>3942</v>
      </c>
      <c r="B464" s="8" t="s">
        <v>3964</v>
      </c>
      <c r="C464" s="1441" t="s">
        <v>3957</v>
      </c>
      <c r="D464" s="1442"/>
      <c r="E464" s="12" t="s">
        <v>5013</v>
      </c>
      <c r="F464" s="345" t="s">
        <v>3963</v>
      </c>
      <c r="G464" s="8"/>
      <c r="H464" s="320">
        <v>117.8</v>
      </c>
      <c r="I464" s="663"/>
      <c r="J464" s="20"/>
      <c r="K464" s="8" t="s">
        <v>9605</v>
      </c>
      <c r="L464" s="642" t="s">
        <v>12012</v>
      </c>
    </row>
    <row r="465" spans="1:12" ht="36.75" customHeight="1" x14ac:dyDescent="0.2">
      <c r="A465" s="27" t="s">
        <v>3943</v>
      </c>
      <c r="B465" s="147" t="s">
        <v>4464</v>
      </c>
      <c r="C465" s="1422" t="s">
        <v>4155</v>
      </c>
      <c r="D465" s="1436"/>
      <c r="E465" s="12"/>
      <c r="F465" s="1333" t="s">
        <v>4245</v>
      </c>
      <c r="G465" s="1439" t="s">
        <v>4461</v>
      </c>
      <c r="H465" s="1440"/>
      <c r="I465" s="663"/>
      <c r="J465" s="20"/>
      <c r="K465" s="251" t="s">
        <v>8074</v>
      </c>
      <c r="L465" s="642" t="s">
        <v>10789</v>
      </c>
    </row>
    <row r="466" spans="1:12" ht="27.75" customHeight="1" x14ac:dyDescent="0.2">
      <c r="A466" s="27" t="s">
        <v>4872</v>
      </c>
      <c r="B466" s="23" t="s">
        <v>3256</v>
      </c>
      <c r="C466" s="1495"/>
      <c r="D466" s="1496"/>
      <c r="E466" s="12" t="s">
        <v>5014</v>
      </c>
      <c r="F466" s="1334"/>
      <c r="G466" s="8" t="s">
        <v>181</v>
      </c>
      <c r="H466" s="663" t="s">
        <v>4248</v>
      </c>
      <c r="I466" s="663" t="s">
        <v>3338</v>
      </c>
      <c r="J466" s="20"/>
      <c r="K466" s="251" t="s">
        <v>8074</v>
      </c>
      <c r="L466" s="642" t="s">
        <v>10789</v>
      </c>
    </row>
    <row r="467" spans="1:12" ht="22.5" x14ac:dyDescent="0.2">
      <c r="A467" s="27" t="s">
        <v>4873</v>
      </c>
      <c r="B467" s="23" t="s">
        <v>3256</v>
      </c>
      <c r="C467" s="1495"/>
      <c r="D467" s="1496"/>
      <c r="E467" s="12" t="s">
        <v>4991</v>
      </c>
      <c r="F467" s="1334"/>
      <c r="G467" s="8" t="s">
        <v>181</v>
      </c>
      <c r="H467" s="663" t="s">
        <v>4249</v>
      </c>
      <c r="I467" s="663" t="s">
        <v>521</v>
      </c>
      <c r="J467" s="20"/>
      <c r="K467" s="251" t="s">
        <v>8074</v>
      </c>
      <c r="L467" s="642" t="s">
        <v>10789</v>
      </c>
    </row>
    <row r="468" spans="1:12" ht="24" customHeight="1" x14ac:dyDescent="0.2">
      <c r="A468" s="27" t="s">
        <v>4874</v>
      </c>
      <c r="B468" s="23" t="s">
        <v>3256</v>
      </c>
      <c r="C468" s="1495"/>
      <c r="D468" s="1496"/>
      <c r="E468" s="12" t="s">
        <v>4992</v>
      </c>
      <c r="F468" s="1334"/>
      <c r="G468" s="8" t="s">
        <v>181</v>
      </c>
      <c r="H468" s="663" t="s">
        <v>4250</v>
      </c>
      <c r="I468" s="663" t="s">
        <v>521</v>
      </c>
      <c r="J468" s="20"/>
      <c r="K468" s="251" t="s">
        <v>8074</v>
      </c>
      <c r="L468" s="642" t="s">
        <v>10789</v>
      </c>
    </row>
    <row r="469" spans="1:12" ht="36" customHeight="1" x14ac:dyDescent="0.2">
      <c r="A469" s="27" t="s">
        <v>4875</v>
      </c>
      <c r="B469" s="23" t="s">
        <v>3256</v>
      </c>
      <c r="C469" s="1495"/>
      <c r="D469" s="1496"/>
      <c r="E469" s="12" t="s">
        <v>4993</v>
      </c>
      <c r="F469" s="1334"/>
      <c r="G469" s="8" t="s">
        <v>181</v>
      </c>
      <c r="H469" s="663" t="s">
        <v>4251</v>
      </c>
      <c r="I469" s="663" t="s">
        <v>521</v>
      </c>
      <c r="J469" s="20"/>
      <c r="K469" s="251" t="s">
        <v>8074</v>
      </c>
      <c r="L469" s="642" t="s">
        <v>10789</v>
      </c>
    </row>
    <row r="470" spans="1:12" ht="35.25" customHeight="1" x14ac:dyDescent="0.2">
      <c r="A470" s="27" t="s">
        <v>4876</v>
      </c>
      <c r="B470" s="23" t="s">
        <v>3256</v>
      </c>
      <c r="C470" s="1495"/>
      <c r="D470" s="1496"/>
      <c r="E470" s="12" t="s">
        <v>4994</v>
      </c>
      <c r="F470" s="1334"/>
      <c r="G470" s="8" t="s">
        <v>181</v>
      </c>
      <c r="H470" s="663" t="s">
        <v>4253</v>
      </c>
      <c r="I470" s="663" t="s">
        <v>4252</v>
      </c>
      <c r="J470" s="20"/>
      <c r="K470" s="251" t="s">
        <v>8074</v>
      </c>
      <c r="L470" s="642" t="s">
        <v>10789</v>
      </c>
    </row>
    <row r="471" spans="1:12" ht="35.25" customHeight="1" x14ac:dyDescent="0.2">
      <c r="A471" s="27" t="s">
        <v>4877</v>
      </c>
      <c r="B471" s="23" t="s">
        <v>3256</v>
      </c>
      <c r="C471" s="1495"/>
      <c r="D471" s="1496"/>
      <c r="E471" s="8" t="s">
        <v>4995</v>
      </c>
      <c r="F471" s="1334"/>
      <c r="G471" s="8" t="s">
        <v>181</v>
      </c>
      <c r="H471" s="663" t="s">
        <v>4254</v>
      </c>
      <c r="I471" s="663" t="s">
        <v>3338</v>
      </c>
      <c r="J471" s="20"/>
      <c r="K471" s="251" t="s">
        <v>8074</v>
      </c>
      <c r="L471" s="642" t="s">
        <v>10789</v>
      </c>
    </row>
    <row r="472" spans="1:12" ht="22.5" x14ac:dyDescent="0.2">
      <c r="A472" s="27" t="s">
        <v>4878</v>
      </c>
      <c r="B472" s="23" t="s">
        <v>3256</v>
      </c>
      <c r="C472" s="1495"/>
      <c r="D472" s="1496"/>
      <c r="E472" s="8" t="s">
        <v>4996</v>
      </c>
      <c r="F472" s="1334"/>
      <c r="G472" s="8" t="s">
        <v>181</v>
      </c>
      <c r="H472" s="663" t="s">
        <v>4255</v>
      </c>
      <c r="I472" s="663" t="s">
        <v>4252</v>
      </c>
      <c r="J472" s="20"/>
      <c r="K472" s="251" t="s">
        <v>8074</v>
      </c>
      <c r="L472" s="642" t="s">
        <v>10789</v>
      </c>
    </row>
    <row r="473" spans="1:12" ht="22.5" x14ac:dyDescent="0.2">
      <c r="A473" s="27" t="s">
        <v>4879</v>
      </c>
      <c r="B473" s="23" t="s">
        <v>3256</v>
      </c>
      <c r="C473" s="1495"/>
      <c r="D473" s="1496"/>
      <c r="E473" s="8" t="s">
        <v>4997</v>
      </c>
      <c r="F473" s="1334"/>
      <c r="G473" s="8" t="s">
        <v>181</v>
      </c>
      <c r="H473" s="663" t="s">
        <v>4256</v>
      </c>
      <c r="I473" s="663" t="s">
        <v>3394</v>
      </c>
      <c r="J473" s="20"/>
      <c r="K473" s="251" t="s">
        <v>8074</v>
      </c>
      <c r="L473" s="642" t="s">
        <v>10789</v>
      </c>
    </row>
    <row r="474" spans="1:12" ht="38.25" customHeight="1" x14ac:dyDescent="0.2">
      <c r="A474" s="27" t="s">
        <v>4880</v>
      </c>
      <c r="B474" s="23" t="s">
        <v>3256</v>
      </c>
      <c r="C474" s="1495"/>
      <c r="D474" s="1496"/>
      <c r="E474" s="8" t="s">
        <v>4998</v>
      </c>
      <c r="F474" s="1334"/>
      <c r="G474" s="8" t="s">
        <v>181</v>
      </c>
      <c r="H474" s="663" t="s">
        <v>4257</v>
      </c>
      <c r="I474" s="663" t="s">
        <v>4252</v>
      </c>
      <c r="J474" s="20"/>
      <c r="K474" s="251" t="s">
        <v>8074</v>
      </c>
      <c r="L474" s="642" t="s">
        <v>10789</v>
      </c>
    </row>
    <row r="475" spans="1:12" ht="35.25" customHeight="1" x14ac:dyDescent="0.2">
      <c r="A475" s="27" t="s">
        <v>4881</v>
      </c>
      <c r="B475" s="23" t="s">
        <v>3256</v>
      </c>
      <c r="C475" s="1495"/>
      <c r="D475" s="1496"/>
      <c r="E475" s="8" t="s">
        <v>4999</v>
      </c>
      <c r="F475" s="1334"/>
      <c r="G475" s="8" t="s">
        <v>181</v>
      </c>
      <c r="H475" s="663" t="s">
        <v>4258</v>
      </c>
      <c r="I475" s="663" t="s">
        <v>3477</v>
      </c>
      <c r="J475" s="20"/>
      <c r="K475" s="251" t="s">
        <v>8074</v>
      </c>
      <c r="L475" s="642" t="s">
        <v>10789</v>
      </c>
    </row>
    <row r="476" spans="1:12" ht="22.5" x14ac:dyDescent="0.2">
      <c r="A476" s="27" t="s">
        <v>4882</v>
      </c>
      <c r="B476" s="23" t="s">
        <v>3256</v>
      </c>
      <c r="C476" s="1495"/>
      <c r="D476" s="1496"/>
      <c r="E476" s="8" t="s">
        <v>5000</v>
      </c>
      <c r="F476" s="1334"/>
      <c r="G476" s="8" t="s">
        <v>181</v>
      </c>
      <c r="H476" s="663" t="s">
        <v>4259</v>
      </c>
      <c r="I476" s="663" t="s">
        <v>3477</v>
      </c>
      <c r="J476" s="20"/>
      <c r="K476" s="251" t="s">
        <v>8074</v>
      </c>
      <c r="L476" s="642" t="s">
        <v>10789</v>
      </c>
    </row>
    <row r="477" spans="1:12" ht="35.25" customHeight="1" x14ac:dyDescent="0.2">
      <c r="A477" s="27" t="s">
        <v>4883</v>
      </c>
      <c r="B477" s="23" t="s">
        <v>3256</v>
      </c>
      <c r="C477" s="1495"/>
      <c r="D477" s="1496"/>
      <c r="E477" s="8" t="s">
        <v>5001</v>
      </c>
      <c r="F477" s="1334"/>
      <c r="G477" s="8" t="s">
        <v>181</v>
      </c>
      <c r="H477" s="663" t="s">
        <v>4494</v>
      </c>
      <c r="I477" s="663" t="s">
        <v>3338</v>
      </c>
      <c r="J477" s="20"/>
      <c r="K477" s="251" t="s">
        <v>8074</v>
      </c>
      <c r="L477" s="642" t="s">
        <v>10789</v>
      </c>
    </row>
    <row r="478" spans="1:12" ht="24" customHeight="1" x14ac:dyDescent="0.2">
      <c r="A478" s="27" t="s">
        <v>3944</v>
      </c>
      <c r="B478" s="100" t="s">
        <v>4498</v>
      </c>
      <c r="C478" s="1422" t="s">
        <v>4155</v>
      </c>
      <c r="D478" s="1436"/>
      <c r="E478" s="8"/>
      <c r="F478" s="1298" t="s">
        <v>4287</v>
      </c>
      <c r="G478" s="1524" t="s">
        <v>4293</v>
      </c>
      <c r="H478" s="1525"/>
      <c r="I478" s="663" t="s">
        <v>521</v>
      </c>
      <c r="J478" s="20"/>
      <c r="K478" s="1303" t="s">
        <v>13820</v>
      </c>
      <c r="L478" s="1303" t="s">
        <v>13861</v>
      </c>
    </row>
    <row r="479" spans="1:12" ht="34.5" customHeight="1" x14ac:dyDescent="0.2">
      <c r="A479" s="27" t="s">
        <v>4884</v>
      </c>
      <c r="B479" s="8" t="s">
        <v>4289</v>
      </c>
      <c r="C479" s="1437"/>
      <c r="D479" s="1438"/>
      <c r="E479" s="8" t="s">
        <v>5003</v>
      </c>
      <c r="F479" s="1299"/>
      <c r="G479" s="8" t="s">
        <v>2154</v>
      </c>
      <c r="H479" s="663" t="s">
        <v>4292</v>
      </c>
      <c r="I479" s="663" t="s">
        <v>4252</v>
      </c>
      <c r="J479" s="20"/>
      <c r="K479" s="1305"/>
      <c r="L479" s="1305"/>
    </row>
    <row r="480" spans="1:12" ht="25.5" customHeight="1" x14ac:dyDescent="0.2">
      <c r="A480" s="27" t="s">
        <v>3945</v>
      </c>
      <c r="B480" s="100" t="s">
        <v>4484</v>
      </c>
      <c r="C480" s="1422" t="s">
        <v>4155</v>
      </c>
      <c r="D480" s="1436"/>
      <c r="E480" s="8" t="s">
        <v>5002</v>
      </c>
      <c r="F480" s="1298" t="s">
        <v>4331</v>
      </c>
      <c r="G480" s="1439" t="s">
        <v>4332</v>
      </c>
      <c r="H480" s="1440"/>
      <c r="I480" s="663"/>
      <c r="J480" s="20"/>
      <c r="K480" s="1298" t="s">
        <v>9605</v>
      </c>
      <c r="L480" s="1303" t="s">
        <v>12012</v>
      </c>
    </row>
    <row r="481" spans="1:12" ht="11.25" customHeight="1" x14ac:dyDescent="0.2">
      <c r="A481" s="27" t="s">
        <v>4885</v>
      </c>
      <c r="B481" s="8" t="s">
        <v>4339</v>
      </c>
      <c r="C481" s="1495"/>
      <c r="D481" s="1496"/>
      <c r="E481" s="8" t="s">
        <v>5015</v>
      </c>
      <c r="F481" s="1302"/>
      <c r="G481" s="8" t="s">
        <v>4370</v>
      </c>
      <c r="H481" s="663" t="s">
        <v>4371</v>
      </c>
      <c r="I481" s="663" t="s">
        <v>488</v>
      </c>
      <c r="J481" s="20"/>
      <c r="K481" s="1258"/>
      <c r="L481" s="1304"/>
    </row>
    <row r="482" spans="1:12" ht="12.75" customHeight="1" x14ac:dyDescent="0.2">
      <c r="A482" s="27" t="s">
        <v>4886</v>
      </c>
      <c r="B482" s="8" t="s">
        <v>4340</v>
      </c>
      <c r="C482" s="1495"/>
      <c r="D482" s="1496"/>
      <c r="E482" s="8" t="s">
        <v>5016</v>
      </c>
      <c r="F482" s="1302"/>
      <c r="G482" s="8" t="s">
        <v>4370</v>
      </c>
      <c r="H482" s="663" t="s">
        <v>523</v>
      </c>
      <c r="I482" s="663" t="s">
        <v>488</v>
      </c>
      <c r="J482" s="20"/>
      <c r="K482" s="1258"/>
      <c r="L482" s="1304"/>
    </row>
    <row r="483" spans="1:12" ht="11.25" customHeight="1" x14ac:dyDescent="0.2">
      <c r="A483" s="27" t="s">
        <v>4887</v>
      </c>
      <c r="B483" s="8" t="s">
        <v>3967</v>
      </c>
      <c r="C483" s="1495"/>
      <c r="D483" s="1496"/>
      <c r="E483" s="8" t="s">
        <v>5017</v>
      </c>
      <c r="F483" s="1302"/>
      <c r="G483" s="8" t="s">
        <v>2154</v>
      </c>
      <c r="H483" s="663" t="s">
        <v>4372</v>
      </c>
      <c r="I483" s="663" t="s">
        <v>488</v>
      </c>
      <c r="J483" s="20"/>
      <c r="K483" s="1258"/>
      <c r="L483" s="1304"/>
    </row>
    <row r="484" spans="1:12" ht="11.25" customHeight="1" x14ac:dyDescent="0.2">
      <c r="A484" s="27" t="s">
        <v>4888</v>
      </c>
      <c r="B484" s="8" t="s">
        <v>4373</v>
      </c>
      <c r="C484" s="1495"/>
      <c r="D484" s="1496"/>
      <c r="E484" s="8" t="s">
        <v>5018</v>
      </c>
      <c r="F484" s="1302"/>
      <c r="G484" s="8" t="s">
        <v>4374</v>
      </c>
      <c r="H484" s="663" t="s">
        <v>4375</v>
      </c>
      <c r="I484" s="663" t="s">
        <v>488</v>
      </c>
      <c r="J484" s="20"/>
      <c r="K484" s="1258"/>
      <c r="L484" s="1304"/>
    </row>
    <row r="485" spans="1:12" ht="11.25" customHeight="1" x14ac:dyDescent="0.2">
      <c r="A485" s="27" t="s">
        <v>4889</v>
      </c>
      <c r="B485" s="8" t="s">
        <v>4341</v>
      </c>
      <c r="C485" s="1495"/>
      <c r="D485" s="1496"/>
      <c r="E485" s="8" t="s">
        <v>5019</v>
      </c>
      <c r="F485" s="1302"/>
      <c r="G485" s="8" t="s">
        <v>4370</v>
      </c>
      <c r="H485" s="663" t="s">
        <v>4371</v>
      </c>
      <c r="I485" s="663" t="s">
        <v>488</v>
      </c>
      <c r="J485" s="20"/>
      <c r="K485" s="1258"/>
      <c r="L485" s="1304"/>
    </row>
    <row r="486" spans="1:12" ht="11.25" customHeight="1" x14ac:dyDescent="0.2">
      <c r="A486" s="27" t="s">
        <v>4890</v>
      </c>
      <c r="B486" s="8" t="s">
        <v>4342</v>
      </c>
      <c r="C486" s="1495"/>
      <c r="D486" s="1496"/>
      <c r="E486" s="8" t="s">
        <v>5020</v>
      </c>
      <c r="F486" s="1302"/>
      <c r="G486" s="8" t="s">
        <v>4376</v>
      </c>
      <c r="H486" s="663" t="s">
        <v>4377</v>
      </c>
      <c r="I486" s="663" t="s">
        <v>488</v>
      </c>
      <c r="J486" s="20"/>
      <c r="K486" s="1258"/>
      <c r="L486" s="1304"/>
    </row>
    <row r="487" spans="1:12" ht="11.25" customHeight="1" x14ac:dyDescent="0.2">
      <c r="A487" s="27" t="s">
        <v>4891</v>
      </c>
      <c r="B487" s="8" t="s">
        <v>4343</v>
      </c>
      <c r="C487" s="1495"/>
      <c r="D487" s="1496"/>
      <c r="E487" s="8" t="s">
        <v>5021</v>
      </c>
      <c r="F487" s="1302"/>
      <c r="G487" s="8" t="s">
        <v>4379</v>
      </c>
      <c r="H487" s="663" t="s">
        <v>4378</v>
      </c>
      <c r="I487" s="663" t="s">
        <v>488</v>
      </c>
      <c r="J487" s="20"/>
      <c r="K487" s="1258"/>
      <c r="L487" s="1304"/>
    </row>
    <row r="488" spans="1:12" ht="11.25" customHeight="1" x14ac:dyDescent="0.2">
      <c r="A488" s="27" t="s">
        <v>4892</v>
      </c>
      <c r="B488" s="8" t="s">
        <v>4344</v>
      </c>
      <c r="C488" s="1495"/>
      <c r="D488" s="1496"/>
      <c r="E488" s="8" t="s">
        <v>5022</v>
      </c>
      <c r="F488" s="1302"/>
      <c r="G488" s="8" t="s">
        <v>4370</v>
      </c>
      <c r="H488" s="663" t="s">
        <v>4380</v>
      </c>
      <c r="I488" s="663" t="s">
        <v>488</v>
      </c>
      <c r="J488" s="20"/>
      <c r="K488" s="1258"/>
      <c r="L488" s="1304"/>
    </row>
    <row r="489" spans="1:12" ht="22.5" customHeight="1" x14ac:dyDescent="0.2">
      <c r="A489" s="27" t="s">
        <v>4893</v>
      </c>
      <c r="B489" s="8" t="s">
        <v>4345</v>
      </c>
      <c r="C489" s="1495"/>
      <c r="D489" s="1496"/>
      <c r="E489" s="8" t="s">
        <v>5024</v>
      </c>
      <c r="F489" s="1302"/>
      <c r="G489" s="8" t="s">
        <v>2154</v>
      </c>
      <c r="H489" s="663" t="s">
        <v>4387</v>
      </c>
      <c r="I489" s="663" t="s">
        <v>82</v>
      </c>
      <c r="J489" s="20"/>
      <c r="K489" s="1258"/>
      <c r="L489" s="1304"/>
    </row>
    <row r="490" spans="1:12" ht="22.5" customHeight="1" x14ac:dyDescent="0.2">
      <c r="A490" s="27" t="s">
        <v>4894</v>
      </c>
      <c r="B490" s="8" t="s">
        <v>9154</v>
      </c>
      <c r="C490" s="1495"/>
      <c r="D490" s="1496"/>
      <c r="E490" s="8" t="s">
        <v>5025</v>
      </c>
      <c r="F490" s="1302"/>
      <c r="G490" s="8" t="s">
        <v>2154</v>
      </c>
      <c r="H490" s="663" t="s">
        <v>4381</v>
      </c>
      <c r="I490" s="663" t="s">
        <v>82</v>
      </c>
      <c r="J490" s="20"/>
      <c r="K490" s="1258"/>
      <c r="L490" s="1304"/>
    </row>
    <row r="491" spans="1:12" ht="22.5" customHeight="1" x14ac:dyDescent="0.2">
      <c r="A491" s="27" t="s">
        <v>4895</v>
      </c>
      <c r="B491" s="8" t="s">
        <v>314</v>
      </c>
      <c r="C491" s="1495"/>
      <c r="D491" s="1496"/>
      <c r="E491" s="8" t="s">
        <v>5026</v>
      </c>
      <c r="F491" s="1302"/>
      <c r="G491" s="8" t="s">
        <v>4383</v>
      </c>
      <c r="H491" s="663" t="s">
        <v>4382</v>
      </c>
      <c r="I491" s="663" t="s">
        <v>488</v>
      </c>
      <c r="J491" s="20"/>
      <c r="K491" s="1258"/>
      <c r="L491" s="1304"/>
    </row>
    <row r="492" spans="1:12" ht="11.25" customHeight="1" x14ac:dyDescent="0.2">
      <c r="A492" s="27" t="s">
        <v>4896</v>
      </c>
      <c r="B492" s="8" t="s">
        <v>4346</v>
      </c>
      <c r="C492" s="1495"/>
      <c r="D492" s="1496"/>
      <c r="E492" s="8" t="s">
        <v>5028</v>
      </c>
      <c r="F492" s="1302"/>
      <c r="G492" s="8" t="s">
        <v>181</v>
      </c>
      <c r="H492" s="663" t="s">
        <v>4399</v>
      </c>
      <c r="I492" s="663" t="s">
        <v>82</v>
      </c>
      <c r="J492" s="20"/>
      <c r="K492" s="1258"/>
      <c r="L492" s="1304"/>
    </row>
    <row r="493" spans="1:12" ht="11.25" customHeight="1" x14ac:dyDescent="0.2">
      <c r="A493" s="27" t="s">
        <v>4897</v>
      </c>
      <c r="B493" s="8" t="s">
        <v>2487</v>
      </c>
      <c r="C493" s="1495"/>
      <c r="D493" s="1496"/>
      <c r="E493" s="8" t="s">
        <v>5029</v>
      </c>
      <c r="F493" s="1302"/>
      <c r="G493" s="8" t="s">
        <v>181</v>
      </c>
      <c r="H493" s="663" t="s">
        <v>4400</v>
      </c>
      <c r="I493" s="663" t="s">
        <v>488</v>
      </c>
      <c r="J493" s="20"/>
      <c r="K493" s="1258"/>
      <c r="L493" s="1304"/>
    </row>
    <row r="494" spans="1:12" ht="11.25" customHeight="1" x14ac:dyDescent="0.2">
      <c r="A494" s="27" t="s">
        <v>4898</v>
      </c>
      <c r="B494" s="8" t="s">
        <v>4347</v>
      </c>
      <c r="C494" s="1495"/>
      <c r="D494" s="1496"/>
      <c r="E494" s="8" t="s">
        <v>5030</v>
      </c>
      <c r="F494" s="1302"/>
      <c r="G494" s="8" t="s">
        <v>181</v>
      </c>
      <c r="H494" s="663" t="s">
        <v>4389</v>
      </c>
      <c r="I494" s="663" t="s">
        <v>82</v>
      </c>
      <c r="J494" s="20"/>
      <c r="K494" s="1258"/>
      <c r="L494" s="1304"/>
    </row>
    <row r="495" spans="1:12" ht="11.25" customHeight="1" x14ac:dyDescent="0.2">
      <c r="A495" s="27" t="s">
        <v>4899</v>
      </c>
      <c r="B495" s="8" t="s">
        <v>4348</v>
      </c>
      <c r="C495" s="1495"/>
      <c r="D495" s="1496"/>
      <c r="E495" s="8" t="s">
        <v>5031</v>
      </c>
      <c r="F495" s="1302"/>
      <c r="G495" s="8" t="s">
        <v>4388</v>
      </c>
      <c r="H495" s="663" t="s">
        <v>4390</v>
      </c>
      <c r="I495" s="663" t="s">
        <v>488</v>
      </c>
      <c r="J495" s="20"/>
      <c r="K495" s="1258"/>
      <c r="L495" s="1304"/>
    </row>
    <row r="496" spans="1:12" ht="11.25" customHeight="1" x14ac:dyDescent="0.2">
      <c r="A496" s="27" t="s">
        <v>4900</v>
      </c>
      <c r="B496" s="8" t="s">
        <v>4349</v>
      </c>
      <c r="C496" s="1495"/>
      <c r="D496" s="1496"/>
      <c r="E496" s="8" t="s">
        <v>5032</v>
      </c>
      <c r="F496" s="1302"/>
      <c r="G496" s="8" t="s">
        <v>181</v>
      </c>
      <c r="H496" s="663" t="s">
        <v>4391</v>
      </c>
      <c r="I496" s="663" t="s">
        <v>488</v>
      </c>
      <c r="J496" s="20"/>
      <c r="K496" s="1258"/>
      <c r="L496" s="1304"/>
    </row>
    <row r="497" spans="1:12" ht="11.25" customHeight="1" x14ac:dyDescent="0.2">
      <c r="A497" s="27" t="s">
        <v>4901</v>
      </c>
      <c r="B497" s="8" t="s">
        <v>4350</v>
      </c>
      <c r="C497" s="1495"/>
      <c r="D497" s="1496"/>
      <c r="E497" s="8" t="s">
        <v>5033</v>
      </c>
      <c r="F497" s="1302"/>
      <c r="G497" s="8" t="s">
        <v>181</v>
      </c>
      <c r="H497" s="663" t="s">
        <v>4392</v>
      </c>
      <c r="I497" s="663" t="s">
        <v>3393</v>
      </c>
      <c r="J497" s="20"/>
      <c r="K497" s="1258"/>
      <c r="L497" s="1304"/>
    </row>
    <row r="498" spans="1:12" ht="11.25" customHeight="1" x14ac:dyDescent="0.2">
      <c r="A498" s="27" t="s">
        <v>4902</v>
      </c>
      <c r="B498" s="8" t="s">
        <v>4351</v>
      </c>
      <c r="C498" s="1495"/>
      <c r="D498" s="1496"/>
      <c r="E498" s="8" t="s">
        <v>5034</v>
      </c>
      <c r="F498" s="1302"/>
      <c r="G498" s="8" t="s">
        <v>181</v>
      </c>
      <c r="H498" s="663" t="s">
        <v>4393</v>
      </c>
      <c r="I498" s="663" t="s">
        <v>3338</v>
      </c>
      <c r="J498" s="20"/>
      <c r="K498" s="1258"/>
      <c r="L498" s="1304"/>
    </row>
    <row r="499" spans="1:12" ht="11.25" customHeight="1" x14ac:dyDescent="0.2">
      <c r="A499" s="27" t="s">
        <v>4903</v>
      </c>
      <c r="B499" s="8" t="s">
        <v>4352</v>
      </c>
      <c r="C499" s="1495"/>
      <c r="D499" s="1496"/>
      <c r="E499" s="8" t="s">
        <v>5035</v>
      </c>
      <c r="F499" s="1302"/>
      <c r="G499" s="8" t="s">
        <v>181</v>
      </c>
      <c r="H499" s="663" t="s">
        <v>4394</v>
      </c>
      <c r="I499" s="663" t="s">
        <v>521</v>
      </c>
      <c r="J499" s="20"/>
      <c r="K499" s="1258"/>
      <c r="L499" s="1304"/>
    </row>
    <row r="500" spans="1:12" ht="11.25" customHeight="1" x14ac:dyDescent="0.2">
      <c r="A500" s="27" t="s">
        <v>4904</v>
      </c>
      <c r="B500" s="8" t="s">
        <v>4353</v>
      </c>
      <c r="C500" s="1495"/>
      <c r="D500" s="1496"/>
      <c r="E500" s="8" t="s">
        <v>5036</v>
      </c>
      <c r="F500" s="1302"/>
      <c r="G500" s="8" t="s">
        <v>181</v>
      </c>
      <c r="H500" s="663" t="s">
        <v>4395</v>
      </c>
      <c r="I500" s="663" t="s">
        <v>163</v>
      </c>
      <c r="J500" s="20"/>
      <c r="K500" s="1258"/>
      <c r="L500" s="1304"/>
    </row>
    <row r="501" spans="1:12" ht="11.25" customHeight="1" x14ac:dyDescent="0.2">
      <c r="A501" s="27" t="s">
        <v>4905</v>
      </c>
      <c r="B501" s="8" t="s">
        <v>4354</v>
      </c>
      <c r="C501" s="1495"/>
      <c r="D501" s="1496"/>
      <c r="E501" s="8" t="s">
        <v>5037</v>
      </c>
      <c r="F501" s="1302"/>
      <c r="G501" s="8" t="s">
        <v>181</v>
      </c>
      <c r="H501" s="663" t="s">
        <v>4330</v>
      </c>
      <c r="I501" s="663" t="s">
        <v>3757</v>
      </c>
      <c r="J501" s="20"/>
      <c r="K501" s="1258"/>
      <c r="L501" s="1304"/>
    </row>
    <row r="502" spans="1:12" ht="11.25" customHeight="1" x14ac:dyDescent="0.2">
      <c r="A502" s="27" t="s">
        <v>4906</v>
      </c>
      <c r="B502" s="8" t="s">
        <v>4355</v>
      </c>
      <c r="C502" s="1495"/>
      <c r="D502" s="1496"/>
      <c r="E502" s="8" t="s">
        <v>5038</v>
      </c>
      <c r="F502" s="1302"/>
      <c r="G502" s="8" t="s">
        <v>181</v>
      </c>
      <c r="H502" s="663" t="s">
        <v>4327</v>
      </c>
      <c r="I502" s="663" t="s">
        <v>76</v>
      </c>
      <c r="J502" s="20"/>
      <c r="K502" s="1258"/>
      <c r="L502" s="1304"/>
    </row>
    <row r="503" spans="1:12" ht="11.25" customHeight="1" x14ac:dyDescent="0.2">
      <c r="A503" s="27" t="s">
        <v>4907</v>
      </c>
      <c r="B503" s="8" t="s">
        <v>4356</v>
      </c>
      <c r="C503" s="1495"/>
      <c r="D503" s="1496"/>
      <c r="E503" s="8" t="s">
        <v>5039</v>
      </c>
      <c r="F503" s="1302"/>
      <c r="G503" s="8" t="s">
        <v>181</v>
      </c>
      <c r="H503" s="663" t="s">
        <v>4396</v>
      </c>
      <c r="I503" s="663" t="s">
        <v>521</v>
      </c>
      <c r="J503" s="20"/>
      <c r="K503" s="1258"/>
      <c r="L503" s="1304"/>
    </row>
    <row r="504" spans="1:12" ht="11.25" customHeight="1" x14ac:dyDescent="0.2">
      <c r="A504" s="27" t="s">
        <v>4908</v>
      </c>
      <c r="B504" s="8" t="s">
        <v>4357</v>
      </c>
      <c r="C504" s="1495"/>
      <c r="D504" s="1496"/>
      <c r="E504" s="8" t="s">
        <v>5040</v>
      </c>
      <c r="F504" s="1302"/>
      <c r="G504" s="8" t="s">
        <v>181</v>
      </c>
      <c r="H504" s="663" t="s">
        <v>4330</v>
      </c>
      <c r="I504" s="663" t="s">
        <v>475</v>
      </c>
      <c r="J504" s="20"/>
      <c r="K504" s="1258"/>
      <c r="L504" s="1304"/>
    </row>
    <row r="505" spans="1:12" ht="11.25" customHeight="1" x14ac:dyDescent="0.2">
      <c r="A505" s="27" t="s">
        <v>4909</v>
      </c>
      <c r="B505" s="8" t="s">
        <v>4358</v>
      </c>
      <c r="C505" s="1495"/>
      <c r="D505" s="1496"/>
      <c r="E505" s="8" t="s">
        <v>5041</v>
      </c>
      <c r="F505" s="1302"/>
      <c r="G505" s="8" t="s">
        <v>181</v>
      </c>
      <c r="H505" s="663" t="s">
        <v>3266</v>
      </c>
      <c r="I505" s="663" t="s">
        <v>80</v>
      </c>
      <c r="J505" s="20"/>
      <c r="K505" s="1258"/>
      <c r="L505" s="1304"/>
    </row>
    <row r="506" spans="1:12" ht="11.25" customHeight="1" x14ac:dyDescent="0.2">
      <c r="A506" s="27" t="s">
        <v>4910</v>
      </c>
      <c r="B506" s="8" t="s">
        <v>4353</v>
      </c>
      <c r="C506" s="1495"/>
      <c r="D506" s="1496"/>
      <c r="E506" s="8" t="s">
        <v>5042</v>
      </c>
      <c r="F506" s="1302"/>
      <c r="G506" s="8" t="s">
        <v>181</v>
      </c>
      <c r="H506" s="663" t="s">
        <v>4397</v>
      </c>
      <c r="I506" s="663" t="s">
        <v>2657</v>
      </c>
      <c r="J506" s="20"/>
      <c r="K506" s="1258"/>
      <c r="L506" s="1304"/>
    </row>
    <row r="507" spans="1:12" ht="11.25" customHeight="1" x14ac:dyDescent="0.2">
      <c r="A507" s="27" t="s">
        <v>4911</v>
      </c>
      <c r="B507" s="8" t="s">
        <v>4359</v>
      </c>
      <c r="C507" s="1495"/>
      <c r="D507" s="1496"/>
      <c r="E507" s="8" t="s">
        <v>5043</v>
      </c>
      <c r="F507" s="1302"/>
      <c r="G507" s="8" t="s">
        <v>181</v>
      </c>
      <c r="H507" s="663" t="s">
        <v>4398</v>
      </c>
      <c r="I507" s="663" t="s">
        <v>3393</v>
      </c>
      <c r="J507" s="20"/>
      <c r="K507" s="1258"/>
      <c r="L507" s="1304"/>
    </row>
    <row r="508" spans="1:12" ht="11.25" customHeight="1" x14ac:dyDescent="0.2">
      <c r="A508" s="27" t="s">
        <v>4912</v>
      </c>
      <c r="B508" s="8" t="s">
        <v>4360</v>
      </c>
      <c r="C508" s="1495"/>
      <c r="D508" s="1496"/>
      <c r="E508" s="8" t="s">
        <v>5044</v>
      </c>
      <c r="F508" s="1302"/>
      <c r="G508" s="8" t="s">
        <v>181</v>
      </c>
      <c r="H508" s="663" t="s">
        <v>4401</v>
      </c>
      <c r="I508" s="663" t="s">
        <v>67</v>
      </c>
      <c r="J508" s="20"/>
      <c r="K508" s="1258"/>
      <c r="L508" s="1304"/>
    </row>
    <row r="509" spans="1:12" ht="11.25" customHeight="1" x14ac:dyDescent="0.2">
      <c r="A509" s="27" t="s">
        <v>4913</v>
      </c>
      <c r="B509" s="8" t="s">
        <v>4361</v>
      </c>
      <c r="C509" s="1495"/>
      <c r="D509" s="1496"/>
      <c r="E509" s="8" t="s">
        <v>5045</v>
      </c>
      <c r="F509" s="1302"/>
      <c r="G509" s="8" t="s">
        <v>4370</v>
      </c>
      <c r="H509" s="663" t="s">
        <v>4402</v>
      </c>
      <c r="I509" s="418" t="s">
        <v>4252</v>
      </c>
      <c r="J509" s="20"/>
      <c r="K509" s="1258"/>
      <c r="L509" s="1304"/>
    </row>
    <row r="510" spans="1:12" ht="11.25" customHeight="1" x14ac:dyDescent="0.2">
      <c r="A510" s="27" t="s">
        <v>4914</v>
      </c>
      <c r="B510" s="8" t="s">
        <v>4362</v>
      </c>
      <c r="C510" s="1495"/>
      <c r="D510" s="1496"/>
      <c r="E510" s="8" t="s">
        <v>5046</v>
      </c>
      <c r="F510" s="1302"/>
      <c r="G510" s="8" t="s">
        <v>181</v>
      </c>
      <c r="H510" s="663" t="s">
        <v>4403</v>
      </c>
      <c r="I510" s="663" t="s">
        <v>3393</v>
      </c>
      <c r="J510" s="20"/>
      <c r="K510" s="1258"/>
      <c r="L510" s="1304"/>
    </row>
    <row r="511" spans="1:12" ht="11.25" customHeight="1" x14ac:dyDescent="0.2">
      <c r="A511" s="27" t="s">
        <v>4915</v>
      </c>
      <c r="B511" s="8" t="s">
        <v>4356</v>
      </c>
      <c r="C511" s="1495"/>
      <c r="D511" s="1496"/>
      <c r="E511" s="8" t="s">
        <v>5047</v>
      </c>
      <c r="F511" s="1302"/>
      <c r="G511" s="8" t="s">
        <v>181</v>
      </c>
      <c r="H511" s="663" t="s">
        <v>3264</v>
      </c>
      <c r="I511" s="663" t="s">
        <v>82</v>
      </c>
      <c r="J511" s="20"/>
      <c r="K511" s="1258"/>
      <c r="L511" s="1304"/>
    </row>
    <row r="512" spans="1:12" ht="11.25" customHeight="1" x14ac:dyDescent="0.2">
      <c r="A512" s="27" t="s">
        <v>4916</v>
      </c>
      <c r="B512" s="8" t="s">
        <v>4363</v>
      </c>
      <c r="C512" s="1495"/>
      <c r="D512" s="1496"/>
      <c r="E512" s="8" t="s">
        <v>5048</v>
      </c>
      <c r="F512" s="1302"/>
      <c r="G512" s="8" t="s">
        <v>181</v>
      </c>
      <c r="H512" s="663" t="s">
        <v>3264</v>
      </c>
      <c r="I512" s="663" t="s">
        <v>4096</v>
      </c>
      <c r="J512" s="20"/>
      <c r="K512" s="1258"/>
      <c r="L512" s="1304"/>
    </row>
    <row r="513" spans="1:12" ht="11.25" customHeight="1" x14ac:dyDescent="0.2">
      <c r="A513" s="27" t="s">
        <v>4917</v>
      </c>
      <c r="B513" s="8" t="s">
        <v>4364</v>
      </c>
      <c r="C513" s="1495"/>
      <c r="D513" s="1496"/>
      <c r="E513" s="8" t="s">
        <v>5049</v>
      </c>
      <c r="F513" s="1302"/>
      <c r="G513" s="8" t="s">
        <v>181</v>
      </c>
      <c r="H513" s="663" t="s">
        <v>3266</v>
      </c>
      <c r="I513" s="663" t="s">
        <v>3477</v>
      </c>
      <c r="J513" s="20"/>
      <c r="K513" s="1258"/>
      <c r="L513" s="1304"/>
    </row>
    <row r="514" spans="1:12" ht="11.25" customHeight="1" x14ac:dyDescent="0.2">
      <c r="A514" s="27" t="s">
        <v>4918</v>
      </c>
      <c r="B514" s="8" t="s">
        <v>4365</v>
      </c>
      <c r="C514" s="1495"/>
      <c r="D514" s="1496"/>
      <c r="E514" s="8" t="s">
        <v>5050</v>
      </c>
      <c r="F514" s="1302"/>
      <c r="G514" s="8" t="s">
        <v>181</v>
      </c>
      <c r="H514" s="663" t="s">
        <v>4392</v>
      </c>
      <c r="I514" s="663" t="s">
        <v>4096</v>
      </c>
      <c r="J514" s="20"/>
      <c r="K514" s="1258"/>
      <c r="L514" s="1304"/>
    </row>
    <row r="515" spans="1:12" ht="11.25" customHeight="1" x14ac:dyDescent="0.2">
      <c r="A515" s="27" t="s">
        <v>4919</v>
      </c>
      <c r="B515" s="8" t="s">
        <v>4366</v>
      </c>
      <c r="C515" s="1495"/>
      <c r="D515" s="1496"/>
      <c r="E515" s="8" t="s">
        <v>5051</v>
      </c>
      <c r="F515" s="1302"/>
      <c r="G515" s="8" t="s">
        <v>181</v>
      </c>
      <c r="H515" s="663" t="s">
        <v>3266</v>
      </c>
      <c r="I515" s="663" t="s">
        <v>484</v>
      </c>
      <c r="J515" s="20"/>
      <c r="K515" s="1258"/>
      <c r="L515" s="1304"/>
    </row>
    <row r="516" spans="1:12" ht="11.25" customHeight="1" x14ac:dyDescent="0.2">
      <c r="A516" s="27" t="s">
        <v>4920</v>
      </c>
      <c r="B516" s="8" t="s">
        <v>4367</v>
      </c>
      <c r="C516" s="1495"/>
      <c r="D516" s="1496"/>
      <c r="E516" s="8" t="s">
        <v>5052</v>
      </c>
      <c r="F516" s="1302"/>
      <c r="G516" s="8" t="s">
        <v>181</v>
      </c>
      <c r="H516" s="663" t="s">
        <v>4395</v>
      </c>
      <c r="I516" s="663" t="s">
        <v>3757</v>
      </c>
      <c r="J516" s="20"/>
      <c r="K516" s="1453"/>
      <c r="L516" s="1305"/>
    </row>
    <row r="517" spans="1:12" ht="11.25" customHeight="1" x14ac:dyDescent="0.2">
      <c r="A517" s="27" t="s">
        <v>4921</v>
      </c>
      <c r="B517" s="8" t="s">
        <v>4384</v>
      </c>
      <c r="C517" s="1495"/>
      <c r="D517" s="1496"/>
      <c r="E517" s="8" t="s">
        <v>5027</v>
      </c>
      <c r="F517" s="1302"/>
      <c r="G517" s="8" t="s">
        <v>4437</v>
      </c>
      <c r="H517" s="663" t="s">
        <v>4385</v>
      </c>
      <c r="I517" s="663" t="s">
        <v>62</v>
      </c>
      <c r="J517" s="20"/>
      <c r="K517" s="93"/>
      <c r="L517" s="17"/>
    </row>
    <row r="518" spans="1:12" ht="11.25" customHeight="1" x14ac:dyDescent="0.2">
      <c r="A518" s="27" t="s">
        <v>4922</v>
      </c>
      <c r="B518" s="8" t="s">
        <v>4386</v>
      </c>
      <c r="C518" s="1437"/>
      <c r="D518" s="1438"/>
      <c r="E518" s="8" t="s">
        <v>5023</v>
      </c>
      <c r="F518" s="1299"/>
      <c r="G518" s="8" t="s">
        <v>2154</v>
      </c>
      <c r="H518" s="663" t="s">
        <v>4381</v>
      </c>
      <c r="I518" s="663" t="s">
        <v>82</v>
      </c>
      <c r="J518" s="20"/>
      <c r="K518" s="93"/>
      <c r="L518" s="8"/>
    </row>
    <row r="519" spans="1:12" ht="37.5" customHeight="1" x14ac:dyDescent="0.2">
      <c r="A519" s="27" t="s">
        <v>3946</v>
      </c>
      <c r="B519" s="100" t="s">
        <v>4467</v>
      </c>
      <c r="C519" s="1382" t="s">
        <v>4155</v>
      </c>
      <c r="D519" s="1382"/>
      <c r="E519" s="8" t="s">
        <v>5002</v>
      </c>
      <c r="F519" s="1289" t="s">
        <v>4224</v>
      </c>
      <c r="G519" s="1439" t="s">
        <v>4462</v>
      </c>
      <c r="H519" s="1440"/>
      <c r="I519" s="663"/>
      <c r="J519" s="20"/>
      <c r="K519" s="251" t="s">
        <v>8074</v>
      </c>
      <c r="L519" s="642" t="s">
        <v>10789</v>
      </c>
    </row>
    <row r="520" spans="1:12" ht="22.5" x14ac:dyDescent="0.2">
      <c r="A520" s="27" t="s">
        <v>4512</v>
      </c>
      <c r="B520" s="8" t="s">
        <v>4260</v>
      </c>
      <c r="C520" s="1382"/>
      <c r="D520" s="1382"/>
      <c r="E520" s="8" t="s">
        <v>5053</v>
      </c>
      <c r="F520" s="1290"/>
      <c r="G520" s="8" t="s">
        <v>2153</v>
      </c>
      <c r="H520" s="298" t="s">
        <v>4310</v>
      </c>
      <c r="I520" s="663" t="s">
        <v>165</v>
      </c>
      <c r="J520" s="20"/>
      <c r="K520" s="251" t="s">
        <v>8074</v>
      </c>
      <c r="L520" s="642" t="s">
        <v>10789</v>
      </c>
    </row>
    <row r="521" spans="1:12" ht="22.5" x14ac:dyDescent="0.2">
      <c r="A521" s="27" t="s">
        <v>4513</v>
      </c>
      <c r="B521" s="8" t="s">
        <v>4261</v>
      </c>
      <c r="C521" s="1382"/>
      <c r="D521" s="1382"/>
      <c r="E521" s="8" t="s">
        <v>5054</v>
      </c>
      <c r="F521" s="1290"/>
      <c r="G521" s="8" t="s">
        <v>4463</v>
      </c>
      <c r="H521" s="298" t="s">
        <v>4311</v>
      </c>
      <c r="I521" s="663" t="s">
        <v>82</v>
      </c>
      <c r="J521" s="20"/>
      <c r="K521" s="251" t="s">
        <v>8074</v>
      </c>
      <c r="L521" s="642" t="s">
        <v>10789</v>
      </c>
    </row>
    <row r="522" spans="1:12" ht="22.5" x14ac:dyDescent="0.2">
      <c r="A522" s="27" t="s">
        <v>4514</v>
      </c>
      <c r="B522" s="8" t="s">
        <v>4262</v>
      </c>
      <c r="C522" s="1382"/>
      <c r="D522" s="1382"/>
      <c r="E522" s="8" t="s">
        <v>5055</v>
      </c>
      <c r="F522" s="1290"/>
      <c r="G522" s="8"/>
      <c r="H522" s="298" t="s">
        <v>4312</v>
      </c>
      <c r="I522" s="663" t="s">
        <v>475</v>
      </c>
      <c r="J522" s="20"/>
      <c r="K522" s="251" t="s">
        <v>8074</v>
      </c>
      <c r="L522" s="642" t="s">
        <v>10789</v>
      </c>
    </row>
    <row r="523" spans="1:12" ht="22.5" x14ac:dyDescent="0.2">
      <c r="A523" s="27" t="s">
        <v>4515</v>
      </c>
      <c r="B523" s="8" t="s">
        <v>4263</v>
      </c>
      <c r="C523" s="1382"/>
      <c r="D523" s="1382"/>
      <c r="E523" s="8" t="s">
        <v>5056</v>
      </c>
      <c r="F523" s="1290"/>
      <c r="G523" s="8" t="s">
        <v>2153</v>
      </c>
      <c r="H523" s="298" t="s">
        <v>4313</v>
      </c>
      <c r="I523" s="663" t="s">
        <v>473</v>
      </c>
      <c r="J523" s="20"/>
      <c r="K523" s="251" t="s">
        <v>8074</v>
      </c>
      <c r="L523" s="642" t="s">
        <v>10789</v>
      </c>
    </row>
    <row r="524" spans="1:12" ht="22.5" x14ac:dyDescent="0.2">
      <c r="A524" s="27" t="s">
        <v>4516</v>
      </c>
      <c r="B524" s="8" t="s">
        <v>3126</v>
      </c>
      <c r="C524" s="1382"/>
      <c r="D524" s="1382"/>
      <c r="E524" s="8" t="s">
        <v>5057</v>
      </c>
      <c r="F524" s="1290"/>
      <c r="G524" s="8" t="s">
        <v>2153</v>
      </c>
      <c r="H524" s="298" t="s">
        <v>4313</v>
      </c>
      <c r="I524" s="663" t="s">
        <v>82</v>
      </c>
      <c r="J524" s="20"/>
      <c r="K524" s="251" t="s">
        <v>8074</v>
      </c>
      <c r="L524" s="642" t="s">
        <v>10789</v>
      </c>
    </row>
    <row r="525" spans="1:12" ht="22.5" x14ac:dyDescent="0.2">
      <c r="A525" s="27" t="s">
        <v>4517</v>
      </c>
      <c r="B525" s="8" t="s">
        <v>4264</v>
      </c>
      <c r="C525" s="1382"/>
      <c r="D525" s="1382"/>
      <c r="E525" s="8" t="s">
        <v>5058</v>
      </c>
      <c r="F525" s="1290"/>
      <c r="G525" s="8" t="s">
        <v>2153</v>
      </c>
      <c r="H525" s="298">
        <v>12</v>
      </c>
      <c r="I525" s="663" t="s">
        <v>475</v>
      </c>
      <c r="J525" s="20"/>
      <c r="K525" s="251" t="s">
        <v>8074</v>
      </c>
      <c r="L525" s="642" t="s">
        <v>10789</v>
      </c>
    </row>
    <row r="526" spans="1:12" ht="22.5" x14ac:dyDescent="0.2">
      <c r="A526" s="27" t="s">
        <v>4518</v>
      </c>
      <c r="B526" s="8" t="s">
        <v>4265</v>
      </c>
      <c r="C526" s="1382"/>
      <c r="D526" s="1382"/>
      <c r="E526" s="8" t="s">
        <v>5059</v>
      </c>
      <c r="F526" s="1290"/>
      <c r="G526" s="8" t="s">
        <v>2153</v>
      </c>
      <c r="H526" s="663" t="s">
        <v>4314</v>
      </c>
      <c r="I526" s="663" t="s">
        <v>475</v>
      </c>
      <c r="J526" s="20"/>
      <c r="K526" s="251" t="s">
        <v>8074</v>
      </c>
      <c r="L526" s="642" t="s">
        <v>10789</v>
      </c>
    </row>
    <row r="527" spans="1:12" ht="22.5" x14ac:dyDescent="0.2">
      <c r="A527" s="27" t="s">
        <v>4519</v>
      </c>
      <c r="B527" s="8" t="s">
        <v>4266</v>
      </c>
      <c r="C527" s="1382"/>
      <c r="D527" s="1382"/>
      <c r="E527" s="8" t="s">
        <v>5060</v>
      </c>
      <c r="F527" s="1290"/>
      <c r="G527" s="8" t="s">
        <v>2153</v>
      </c>
      <c r="H527" s="663" t="s">
        <v>4314</v>
      </c>
      <c r="I527" s="663" t="s">
        <v>475</v>
      </c>
      <c r="J527" s="20"/>
      <c r="K527" s="251" t="s">
        <v>8074</v>
      </c>
      <c r="L527" s="642" t="s">
        <v>10789</v>
      </c>
    </row>
    <row r="528" spans="1:12" ht="22.5" x14ac:dyDescent="0.2">
      <c r="A528" s="27" t="s">
        <v>4520</v>
      </c>
      <c r="B528" s="8" t="s">
        <v>4267</v>
      </c>
      <c r="C528" s="1382"/>
      <c r="D528" s="1382"/>
      <c r="E528" s="8" t="s">
        <v>5061</v>
      </c>
      <c r="F528" s="1290"/>
      <c r="G528" s="8" t="s">
        <v>181</v>
      </c>
      <c r="H528" s="663" t="s">
        <v>4315</v>
      </c>
      <c r="I528" s="663" t="s">
        <v>3393</v>
      </c>
      <c r="J528" s="20"/>
      <c r="K528" s="251" t="s">
        <v>8074</v>
      </c>
      <c r="L528" s="642" t="s">
        <v>10789</v>
      </c>
    </row>
    <row r="529" spans="1:12" ht="22.5" x14ac:dyDescent="0.2">
      <c r="A529" s="27" t="s">
        <v>4521</v>
      </c>
      <c r="B529" s="8" t="s">
        <v>4268</v>
      </c>
      <c r="C529" s="1382"/>
      <c r="D529" s="1382"/>
      <c r="E529" s="8" t="s">
        <v>5062</v>
      </c>
      <c r="F529" s="1290"/>
      <c r="G529" s="8" t="s">
        <v>181</v>
      </c>
      <c r="H529" s="663" t="s">
        <v>3264</v>
      </c>
      <c r="I529" s="663" t="s">
        <v>3393</v>
      </c>
      <c r="J529" s="20"/>
      <c r="K529" s="251" t="s">
        <v>8074</v>
      </c>
      <c r="L529" s="642" t="s">
        <v>10789</v>
      </c>
    </row>
    <row r="530" spans="1:12" ht="22.5" x14ac:dyDescent="0.2">
      <c r="A530" s="27" t="s">
        <v>4522</v>
      </c>
      <c r="B530" s="8" t="s">
        <v>4269</v>
      </c>
      <c r="C530" s="1382"/>
      <c r="D530" s="1382"/>
      <c r="E530" s="8" t="s">
        <v>5063</v>
      </c>
      <c r="F530" s="1290"/>
      <c r="G530" s="8" t="s">
        <v>181</v>
      </c>
      <c r="H530" s="663" t="s">
        <v>4317</v>
      </c>
      <c r="I530" s="663" t="s">
        <v>3393</v>
      </c>
      <c r="J530" s="20"/>
      <c r="K530" s="251" t="s">
        <v>8074</v>
      </c>
      <c r="L530" s="642" t="s">
        <v>10789</v>
      </c>
    </row>
    <row r="531" spans="1:12" ht="22.5" x14ac:dyDescent="0.2">
      <c r="A531" s="27" t="s">
        <v>4523</v>
      </c>
      <c r="B531" s="8" t="s">
        <v>4270</v>
      </c>
      <c r="C531" s="1382"/>
      <c r="D531" s="1382"/>
      <c r="E531" s="8" t="s">
        <v>5064</v>
      </c>
      <c r="F531" s="1290"/>
      <c r="G531" s="8" t="s">
        <v>181</v>
      </c>
      <c r="H531" s="663" t="s">
        <v>4316</v>
      </c>
      <c r="I531" s="663" t="s">
        <v>3393</v>
      </c>
      <c r="J531" s="20"/>
      <c r="K531" s="251" t="s">
        <v>8074</v>
      </c>
      <c r="L531" s="642" t="s">
        <v>10789</v>
      </c>
    </row>
    <row r="532" spans="1:12" ht="22.5" x14ac:dyDescent="0.2">
      <c r="A532" s="27" t="s">
        <v>4524</v>
      </c>
      <c r="B532" s="8" t="s">
        <v>3256</v>
      </c>
      <c r="C532" s="1382"/>
      <c r="D532" s="1382"/>
      <c r="E532" s="8" t="s">
        <v>5065</v>
      </c>
      <c r="F532" s="1290"/>
      <c r="G532" s="8" t="s">
        <v>181</v>
      </c>
      <c r="H532" s="663" t="s">
        <v>4318</v>
      </c>
      <c r="I532" s="663" t="s">
        <v>2711</v>
      </c>
      <c r="J532" s="20"/>
      <c r="K532" s="251" t="s">
        <v>8074</v>
      </c>
      <c r="L532" s="642" t="s">
        <v>10789</v>
      </c>
    </row>
    <row r="533" spans="1:12" ht="22.5" x14ac:dyDescent="0.2">
      <c r="A533" s="27" t="s">
        <v>4923</v>
      </c>
      <c r="B533" s="8" t="s">
        <v>4270</v>
      </c>
      <c r="C533" s="1382"/>
      <c r="D533" s="1382"/>
      <c r="E533" s="8" t="s">
        <v>5066</v>
      </c>
      <c r="F533" s="1290"/>
      <c r="G533" s="8" t="s">
        <v>181</v>
      </c>
      <c r="H533" s="663" t="s">
        <v>4319</v>
      </c>
      <c r="I533" s="663" t="s">
        <v>4096</v>
      </c>
      <c r="J533" s="20"/>
      <c r="K533" s="251" t="s">
        <v>8074</v>
      </c>
      <c r="L533" s="642" t="s">
        <v>10789</v>
      </c>
    </row>
    <row r="534" spans="1:12" ht="22.5" x14ac:dyDescent="0.2">
      <c r="A534" s="27" t="s">
        <v>4924</v>
      </c>
      <c r="B534" s="8" t="s">
        <v>4271</v>
      </c>
      <c r="C534" s="1382"/>
      <c r="D534" s="1382"/>
      <c r="E534" s="8" t="s">
        <v>5067</v>
      </c>
      <c r="F534" s="1290"/>
      <c r="G534" s="8" t="s">
        <v>181</v>
      </c>
      <c r="H534" s="663" t="s">
        <v>4320</v>
      </c>
      <c r="I534" s="663" t="s">
        <v>165</v>
      </c>
      <c r="J534" s="20"/>
      <c r="K534" s="251" t="s">
        <v>8074</v>
      </c>
      <c r="L534" s="642" t="s">
        <v>10789</v>
      </c>
    </row>
    <row r="535" spans="1:12" ht="34.5" customHeight="1" x14ac:dyDescent="0.2">
      <c r="A535" s="27" t="s">
        <v>4925</v>
      </c>
      <c r="B535" s="8" t="s">
        <v>4272</v>
      </c>
      <c r="C535" s="1382"/>
      <c r="D535" s="1382"/>
      <c r="E535" s="8" t="s">
        <v>5068</v>
      </c>
      <c r="F535" s="1290"/>
      <c r="G535" s="8" t="s">
        <v>181</v>
      </c>
      <c r="H535" s="663" t="s">
        <v>4321</v>
      </c>
      <c r="I535" s="663" t="s">
        <v>3393</v>
      </c>
      <c r="J535" s="20"/>
      <c r="K535" s="251" t="s">
        <v>8074</v>
      </c>
      <c r="L535" s="642" t="s">
        <v>10789</v>
      </c>
    </row>
    <row r="536" spans="1:12" ht="22.5" x14ac:dyDescent="0.2">
      <c r="A536" s="27" t="s">
        <v>4926</v>
      </c>
      <c r="B536" s="8" t="s">
        <v>3256</v>
      </c>
      <c r="C536" s="1382"/>
      <c r="D536" s="1382"/>
      <c r="E536" s="8" t="s">
        <v>5069</v>
      </c>
      <c r="F536" s="1290"/>
      <c r="G536" s="8" t="s">
        <v>181</v>
      </c>
      <c r="H536" s="663" t="s">
        <v>4322</v>
      </c>
      <c r="I536" s="663" t="s">
        <v>3757</v>
      </c>
      <c r="J536" s="20"/>
      <c r="K536" s="251" t="s">
        <v>8074</v>
      </c>
      <c r="L536" s="642" t="s">
        <v>10789</v>
      </c>
    </row>
    <row r="537" spans="1:12" ht="22.5" x14ac:dyDescent="0.2">
      <c r="A537" s="27" t="s">
        <v>4927</v>
      </c>
      <c r="B537" s="8" t="s">
        <v>4273</v>
      </c>
      <c r="C537" s="1382"/>
      <c r="D537" s="1382"/>
      <c r="E537" s="8" t="s">
        <v>5070</v>
      </c>
      <c r="F537" s="1290"/>
      <c r="G537" s="8" t="s">
        <v>181</v>
      </c>
      <c r="H537" s="663" t="s">
        <v>4318</v>
      </c>
      <c r="I537" s="663" t="s">
        <v>4096</v>
      </c>
      <c r="J537" s="20"/>
      <c r="K537" s="251" t="s">
        <v>8074</v>
      </c>
      <c r="L537" s="642" t="s">
        <v>10789</v>
      </c>
    </row>
    <row r="538" spans="1:12" ht="22.5" x14ac:dyDescent="0.2">
      <c r="A538" s="27" t="s">
        <v>4928</v>
      </c>
      <c r="B538" s="8" t="s">
        <v>3256</v>
      </c>
      <c r="C538" s="1382"/>
      <c r="D538" s="1382"/>
      <c r="E538" s="8" t="s">
        <v>5071</v>
      </c>
      <c r="F538" s="1290"/>
      <c r="G538" s="8" t="s">
        <v>181</v>
      </c>
      <c r="H538" s="663" t="s">
        <v>4323</v>
      </c>
      <c r="I538" s="663" t="s">
        <v>80</v>
      </c>
      <c r="J538" s="20"/>
      <c r="K538" s="251" t="s">
        <v>8074</v>
      </c>
      <c r="L538" s="642" t="s">
        <v>10789</v>
      </c>
    </row>
    <row r="539" spans="1:12" ht="22.5" x14ac:dyDescent="0.2">
      <c r="A539" s="27" t="s">
        <v>4929</v>
      </c>
      <c r="B539" s="8" t="s">
        <v>4274</v>
      </c>
      <c r="C539" s="1382"/>
      <c r="D539" s="1382"/>
      <c r="E539" s="8" t="s">
        <v>5072</v>
      </c>
      <c r="F539" s="1290"/>
      <c r="G539" s="8" t="s">
        <v>181</v>
      </c>
      <c r="H539" s="663" t="s">
        <v>4324</v>
      </c>
      <c r="I539" s="663" t="s">
        <v>502</v>
      </c>
      <c r="J539" s="20"/>
      <c r="K539" s="251" t="s">
        <v>8074</v>
      </c>
      <c r="L539" s="642" t="s">
        <v>10789</v>
      </c>
    </row>
    <row r="540" spans="1:12" ht="22.5" x14ac:dyDescent="0.2">
      <c r="A540" s="27" t="s">
        <v>4930</v>
      </c>
      <c r="B540" s="8" t="s">
        <v>4275</v>
      </c>
      <c r="C540" s="1382"/>
      <c r="D540" s="1382"/>
      <c r="E540" s="8" t="s">
        <v>5073</v>
      </c>
      <c r="F540" s="1290"/>
      <c r="G540" s="8" t="s">
        <v>181</v>
      </c>
      <c r="H540" s="663" t="s">
        <v>4325</v>
      </c>
      <c r="I540" s="663" t="s">
        <v>484</v>
      </c>
      <c r="J540" s="20"/>
      <c r="K540" s="251" t="s">
        <v>8074</v>
      </c>
      <c r="L540" s="642" t="s">
        <v>10789</v>
      </c>
    </row>
    <row r="541" spans="1:12" ht="22.5" x14ac:dyDescent="0.2">
      <c r="A541" s="27" t="s">
        <v>4931</v>
      </c>
      <c r="B541" s="8" t="s">
        <v>4276</v>
      </c>
      <c r="C541" s="1382"/>
      <c r="D541" s="1382"/>
      <c r="E541" s="8" t="s">
        <v>5074</v>
      </c>
      <c r="F541" s="1290"/>
      <c r="G541" s="8" t="s">
        <v>181</v>
      </c>
      <c r="H541" s="663" t="s">
        <v>4326</v>
      </c>
      <c r="I541" s="663" t="s">
        <v>82</v>
      </c>
      <c r="J541" s="20"/>
      <c r="K541" s="251" t="s">
        <v>8074</v>
      </c>
      <c r="L541" s="642" t="s">
        <v>10789</v>
      </c>
    </row>
    <row r="542" spans="1:12" ht="22.5" x14ac:dyDescent="0.2">
      <c r="A542" s="27" t="s">
        <v>4932</v>
      </c>
      <c r="B542" s="8" t="s">
        <v>3256</v>
      </c>
      <c r="C542" s="1382"/>
      <c r="D542" s="1382"/>
      <c r="E542" s="8" t="s">
        <v>5075</v>
      </c>
      <c r="F542" s="1290"/>
      <c r="G542" s="8" t="s">
        <v>181</v>
      </c>
      <c r="H542" s="663" t="s">
        <v>4321</v>
      </c>
      <c r="I542" s="663" t="s">
        <v>475</v>
      </c>
      <c r="J542" s="20"/>
      <c r="K542" s="251" t="s">
        <v>8074</v>
      </c>
      <c r="L542" s="642" t="s">
        <v>10789</v>
      </c>
    </row>
    <row r="543" spans="1:12" ht="22.5" x14ac:dyDescent="0.2">
      <c r="A543" s="27" t="s">
        <v>4933</v>
      </c>
      <c r="B543" s="8" t="s">
        <v>4277</v>
      </c>
      <c r="C543" s="1382"/>
      <c r="D543" s="1382"/>
      <c r="E543" s="8" t="s">
        <v>5076</v>
      </c>
      <c r="F543" s="1290"/>
      <c r="G543" s="8" t="s">
        <v>181</v>
      </c>
      <c r="H543" s="663" t="s">
        <v>4316</v>
      </c>
      <c r="I543" s="663" t="s">
        <v>160</v>
      </c>
      <c r="J543" s="20"/>
      <c r="K543" s="251" t="s">
        <v>8074</v>
      </c>
      <c r="L543" s="642" t="s">
        <v>10789</v>
      </c>
    </row>
    <row r="544" spans="1:12" ht="22.5" x14ac:dyDescent="0.2">
      <c r="A544" s="27" t="s">
        <v>4934</v>
      </c>
      <c r="B544" s="8" t="s">
        <v>3256</v>
      </c>
      <c r="C544" s="1382"/>
      <c r="D544" s="1382"/>
      <c r="E544" s="8" t="s">
        <v>5077</v>
      </c>
      <c r="F544" s="1290"/>
      <c r="G544" s="8" t="s">
        <v>181</v>
      </c>
      <c r="H544" s="663" t="s">
        <v>4327</v>
      </c>
      <c r="I544" s="663" t="s">
        <v>2657</v>
      </c>
      <c r="J544" s="20"/>
      <c r="K544" s="251" t="s">
        <v>8074</v>
      </c>
      <c r="L544" s="642" t="s">
        <v>10789</v>
      </c>
    </row>
    <row r="545" spans="1:12" ht="22.5" x14ac:dyDescent="0.2">
      <c r="A545" s="27" t="s">
        <v>4935</v>
      </c>
      <c r="B545" s="8" t="s">
        <v>4278</v>
      </c>
      <c r="C545" s="1382"/>
      <c r="D545" s="1382"/>
      <c r="E545" s="8" t="s">
        <v>5078</v>
      </c>
      <c r="F545" s="1290"/>
      <c r="G545" s="8" t="s">
        <v>181</v>
      </c>
      <c r="H545" s="663" t="s">
        <v>4327</v>
      </c>
      <c r="I545" s="663" t="s">
        <v>163</v>
      </c>
      <c r="J545" s="20"/>
      <c r="K545" s="251" t="s">
        <v>8074</v>
      </c>
      <c r="L545" s="642" t="s">
        <v>10789</v>
      </c>
    </row>
    <row r="546" spans="1:12" ht="22.5" x14ac:dyDescent="0.2">
      <c r="A546" s="27" t="s">
        <v>4936</v>
      </c>
      <c r="B546" s="8" t="s">
        <v>4279</v>
      </c>
      <c r="C546" s="1382"/>
      <c r="D546" s="1382"/>
      <c r="E546" s="8" t="s">
        <v>5079</v>
      </c>
      <c r="F546" s="1290"/>
      <c r="G546" s="8" t="s">
        <v>181</v>
      </c>
      <c r="H546" s="663" t="s">
        <v>4327</v>
      </c>
      <c r="I546" s="663" t="s">
        <v>163</v>
      </c>
      <c r="J546" s="20"/>
      <c r="K546" s="251" t="s">
        <v>8074</v>
      </c>
      <c r="L546" s="642" t="s">
        <v>10789</v>
      </c>
    </row>
    <row r="547" spans="1:12" ht="22.5" x14ac:dyDescent="0.2">
      <c r="A547" s="27" t="s">
        <v>4937</v>
      </c>
      <c r="B547" s="8" t="s">
        <v>3256</v>
      </c>
      <c r="C547" s="1382"/>
      <c r="D547" s="1382"/>
      <c r="E547" s="8" t="s">
        <v>5080</v>
      </c>
      <c r="F547" s="1290"/>
      <c r="G547" s="8" t="s">
        <v>181</v>
      </c>
      <c r="H547" s="663" t="s">
        <v>4328</v>
      </c>
      <c r="I547" s="663" t="s">
        <v>76</v>
      </c>
      <c r="J547" s="20"/>
      <c r="K547" s="251" t="s">
        <v>8074</v>
      </c>
      <c r="L547" s="642" t="s">
        <v>10789</v>
      </c>
    </row>
    <row r="548" spans="1:12" ht="22.5" x14ac:dyDescent="0.2">
      <c r="A548" s="27" t="s">
        <v>4938</v>
      </c>
      <c r="B548" s="8" t="s">
        <v>4280</v>
      </c>
      <c r="C548" s="1382"/>
      <c r="D548" s="1382"/>
      <c r="E548" s="8" t="s">
        <v>5081</v>
      </c>
      <c r="F548" s="1290"/>
      <c r="G548" s="8" t="s">
        <v>181</v>
      </c>
      <c r="H548" s="663" t="s">
        <v>4329</v>
      </c>
      <c r="I548" s="663" t="s">
        <v>73</v>
      </c>
      <c r="J548" s="20"/>
      <c r="K548" s="251" t="s">
        <v>8074</v>
      </c>
      <c r="L548" s="642" t="s">
        <v>10789</v>
      </c>
    </row>
    <row r="549" spans="1:12" ht="36" customHeight="1" x14ac:dyDescent="0.2">
      <c r="A549" s="27" t="s">
        <v>4939</v>
      </c>
      <c r="B549" s="8" t="s">
        <v>4281</v>
      </c>
      <c r="C549" s="1382"/>
      <c r="D549" s="1382"/>
      <c r="E549" s="8" t="s">
        <v>5082</v>
      </c>
      <c r="F549" s="1291"/>
      <c r="G549" s="8" t="s">
        <v>181</v>
      </c>
      <c r="H549" s="663" t="s">
        <v>4330</v>
      </c>
      <c r="I549" s="663" t="s">
        <v>82</v>
      </c>
      <c r="J549" s="20"/>
      <c r="K549" s="251" t="s">
        <v>8074</v>
      </c>
      <c r="L549" s="642" t="s">
        <v>10789</v>
      </c>
    </row>
    <row r="550" spans="1:12" ht="24.75" customHeight="1" x14ac:dyDescent="0.2">
      <c r="A550" s="27" t="s">
        <v>4486</v>
      </c>
      <c r="B550" s="100" t="s">
        <v>4493</v>
      </c>
      <c r="C550" s="1441" t="s">
        <v>4155</v>
      </c>
      <c r="D550" s="1442"/>
      <c r="E550" s="8"/>
      <c r="F550" s="12" t="s">
        <v>9939</v>
      </c>
      <c r="G550" s="1439" t="s">
        <v>4425</v>
      </c>
      <c r="H550" s="1440"/>
      <c r="I550" s="663"/>
      <c r="J550" s="20"/>
      <c r="K550" s="1298" t="s">
        <v>13820</v>
      </c>
      <c r="L550" s="1286" t="s">
        <v>13861</v>
      </c>
    </row>
    <row r="551" spans="1:12" ht="46.5" customHeight="1" x14ac:dyDescent="0.2">
      <c r="A551" s="27" t="s">
        <v>4525</v>
      </c>
      <c r="B551" s="8" t="s">
        <v>4415</v>
      </c>
      <c r="C551" s="1441" t="s">
        <v>14198</v>
      </c>
      <c r="D551" s="1442"/>
      <c r="E551" s="8" t="s">
        <v>5102</v>
      </c>
      <c r="F551" s="12" t="s">
        <v>14197</v>
      </c>
      <c r="G551" s="8" t="s">
        <v>4431</v>
      </c>
      <c r="H551" s="663" t="s">
        <v>4427</v>
      </c>
      <c r="I551" s="663" t="s">
        <v>36</v>
      </c>
      <c r="J551" s="20"/>
      <c r="K551" s="1302"/>
      <c r="L551" s="1287"/>
    </row>
    <row r="552" spans="1:12" ht="47.25" customHeight="1" x14ac:dyDescent="0.2">
      <c r="A552" s="27" t="s">
        <v>4940</v>
      </c>
      <c r="B552" s="8" t="s">
        <v>4416</v>
      </c>
      <c r="C552" s="1441" t="s">
        <v>14200</v>
      </c>
      <c r="D552" s="1442"/>
      <c r="E552" s="8" t="s">
        <v>5103</v>
      </c>
      <c r="F552" s="12" t="s">
        <v>14199</v>
      </c>
      <c r="G552" s="8" t="s">
        <v>4430</v>
      </c>
      <c r="H552" s="663" t="s">
        <v>4427</v>
      </c>
      <c r="I552" s="663" t="s">
        <v>36</v>
      </c>
      <c r="J552" s="20"/>
      <c r="K552" s="1302"/>
      <c r="L552" s="1287"/>
    </row>
    <row r="553" spans="1:12" ht="45.75" customHeight="1" x14ac:dyDescent="0.2">
      <c r="A553" s="27" t="s">
        <v>4941</v>
      </c>
      <c r="B553" s="8" t="s">
        <v>6386</v>
      </c>
      <c r="C553" s="1441" t="s">
        <v>14201</v>
      </c>
      <c r="D553" s="1442"/>
      <c r="E553" s="8" t="s">
        <v>5104</v>
      </c>
      <c r="F553" s="12" t="s">
        <v>14202</v>
      </c>
      <c r="G553" s="8" t="s">
        <v>4432</v>
      </c>
      <c r="H553" s="663" t="s">
        <v>4428</v>
      </c>
      <c r="I553" s="663" t="s">
        <v>502</v>
      </c>
      <c r="J553" s="20"/>
      <c r="K553" s="1302"/>
      <c r="L553" s="1287"/>
    </row>
    <row r="554" spans="1:12" ht="34.5" customHeight="1" x14ac:dyDescent="0.2">
      <c r="A554" s="27" t="s">
        <v>4942</v>
      </c>
      <c r="B554" s="8" t="s">
        <v>323</v>
      </c>
      <c r="C554" s="1441" t="s">
        <v>13952</v>
      </c>
      <c r="D554" s="1442"/>
      <c r="E554" s="8" t="s">
        <v>5083</v>
      </c>
      <c r="F554" s="12"/>
      <c r="G554" s="8" t="s">
        <v>4439</v>
      </c>
      <c r="H554" s="663" t="s">
        <v>4435</v>
      </c>
      <c r="I554" s="663" t="s">
        <v>165</v>
      </c>
      <c r="J554" s="20"/>
      <c r="K554" s="1302"/>
      <c r="L554" s="1287"/>
    </row>
    <row r="555" spans="1:12" ht="36" customHeight="1" x14ac:dyDescent="0.2">
      <c r="A555" s="27" t="s">
        <v>4943</v>
      </c>
      <c r="B555" s="8" t="s">
        <v>323</v>
      </c>
      <c r="C555" s="1441" t="s">
        <v>13953</v>
      </c>
      <c r="D555" s="1442"/>
      <c r="E555" s="8" t="s">
        <v>5084</v>
      </c>
      <c r="F555" s="12"/>
      <c r="G555" s="8" t="s">
        <v>4440</v>
      </c>
      <c r="H555" s="663" t="s">
        <v>4434</v>
      </c>
      <c r="I555" s="663" t="s">
        <v>521</v>
      </c>
      <c r="J555" s="20"/>
      <c r="K555" s="1302"/>
      <c r="L555" s="1287"/>
    </row>
    <row r="556" spans="1:12" ht="22.5" x14ac:dyDescent="0.2">
      <c r="A556" s="27" t="s">
        <v>4944</v>
      </c>
      <c r="B556" s="8" t="s">
        <v>323</v>
      </c>
      <c r="C556" s="1441" t="s">
        <v>13954</v>
      </c>
      <c r="D556" s="1442"/>
      <c r="E556" s="8" t="s">
        <v>5105</v>
      </c>
      <c r="F556" s="12"/>
      <c r="G556" s="8" t="s">
        <v>4436</v>
      </c>
      <c r="H556" s="663" t="s">
        <v>4329</v>
      </c>
      <c r="I556" s="663" t="s">
        <v>521</v>
      </c>
      <c r="J556" s="20"/>
      <c r="K556" s="1302"/>
      <c r="L556" s="1287"/>
    </row>
    <row r="557" spans="1:12" ht="46.5" customHeight="1" x14ac:dyDescent="0.2">
      <c r="A557" s="27" t="s">
        <v>4945</v>
      </c>
      <c r="B557" s="8" t="s">
        <v>323</v>
      </c>
      <c r="C557" s="1441" t="s">
        <v>14211</v>
      </c>
      <c r="D557" s="1442"/>
      <c r="E557" s="8" t="s">
        <v>5085</v>
      </c>
      <c r="F557" s="12" t="s">
        <v>14213</v>
      </c>
      <c r="G557" s="8" t="s">
        <v>4439</v>
      </c>
      <c r="H557" s="663" t="s">
        <v>4329</v>
      </c>
      <c r="I557" s="663" t="s">
        <v>4252</v>
      </c>
      <c r="J557" s="20"/>
      <c r="K557" s="1302"/>
      <c r="L557" s="1287"/>
    </row>
    <row r="558" spans="1:12" ht="46.5" customHeight="1" x14ac:dyDescent="0.2">
      <c r="A558" s="27" t="s">
        <v>4946</v>
      </c>
      <c r="B558" s="8" t="s">
        <v>4419</v>
      </c>
      <c r="C558" s="1441" t="s">
        <v>14214</v>
      </c>
      <c r="D558" s="1442"/>
      <c r="E558" s="8" t="s">
        <v>5086</v>
      </c>
      <c r="F558" s="12" t="s">
        <v>14215</v>
      </c>
      <c r="G558" s="8" t="s">
        <v>4441</v>
      </c>
      <c r="H558" s="663" t="s">
        <v>4319</v>
      </c>
      <c r="I558" s="663" t="s">
        <v>3338</v>
      </c>
      <c r="J558" s="20"/>
      <c r="K558" s="1302"/>
      <c r="L558" s="1287"/>
    </row>
    <row r="559" spans="1:12" ht="47.25" customHeight="1" x14ac:dyDescent="0.2">
      <c r="A559" s="27" t="s">
        <v>4947</v>
      </c>
      <c r="B559" s="8" t="s">
        <v>323</v>
      </c>
      <c r="C559" s="1441" t="s">
        <v>14216</v>
      </c>
      <c r="D559" s="1442"/>
      <c r="E559" s="8" t="s">
        <v>5087</v>
      </c>
      <c r="F559" s="12" t="s">
        <v>14217</v>
      </c>
      <c r="G559" s="8" t="s">
        <v>4442</v>
      </c>
      <c r="H559" s="663" t="s">
        <v>3266</v>
      </c>
      <c r="I559" s="663" t="s">
        <v>3757</v>
      </c>
      <c r="J559" s="20"/>
      <c r="K559" s="1302"/>
      <c r="L559" s="1287"/>
    </row>
    <row r="560" spans="1:12" ht="48" customHeight="1" x14ac:dyDescent="0.2">
      <c r="A560" s="27" t="s">
        <v>4948</v>
      </c>
      <c r="B560" s="8" t="s">
        <v>323</v>
      </c>
      <c r="C560" s="1441" t="s">
        <v>14230</v>
      </c>
      <c r="D560" s="1442"/>
      <c r="E560" s="8" t="s">
        <v>5106</v>
      </c>
      <c r="F560" s="12" t="s">
        <v>14231</v>
      </c>
      <c r="G560" s="8" t="s">
        <v>4443</v>
      </c>
      <c r="H560" s="663" t="s">
        <v>4323</v>
      </c>
      <c r="I560" s="663" t="s">
        <v>502</v>
      </c>
      <c r="J560" s="20"/>
      <c r="K560" s="1302"/>
      <c r="L560" s="1287"/>
    </row>
    <row r="561" spans="1:12" ht="46.5" customHeight="1" x14ac:dyDescent="0.2">
      <c r="A561" s="27" t="s">
        <v>4949</v>
      </c>
      <c r="B561" s="8" t="s">
        <v>4420</v>
      </c>
      <c r="C561" s="1441" t="s">
        <v>14218</v>
      </c>
      <c r="D561" s="1442"/>
      <c r="E561" s="8" t="s">
        <v>5107</v>
      </c>
      <c r="F561" s="12" t="s">
        <v>14219</v>
      </c>
      <c r="G561" s="8" t="s">
        <v>4445</v>
      </c>
      <c r="H561" s="663" t="s">
        <v>4444</v>
      </c>
      <c r="I561" s="663" t="s">
        <v>4096</v>
      </c>
      <c r="J561" s="20"/>
      <c r="K561" s="1302"/>
      <c r="L561" s="1287"/>
    </row>
    <row r="562" spans="1:12" ht="46.5" customHeight="1" x14ac:dyDescent="0.2">
      <c r="A562" s="27" t="s">
        <v>4950</v>
      </c>
      <c r="B562" s="8" t="s">
        <v>4421</v>
      </c>
      <c r="C562" s="1441" t="s">
        <v>14203</v>
      </c>
      <c r="D562" s="1442"/>
      <c r="E562" s="8" t="s">
        <v>5088</v>
      </c>
      <c r="F562" s="12" t="s">
        <v>14204</v>
      </c>
      <c r="G562" s="8" t="s">
        <v>4447</v>
      </c>
      <c r="H562" s="663" t="s">
        <v>4446</v>
      </c>
      <c r="I562" s="663" t="s">
        <v>4096</v>
      </c>
      <c r="J562" s="20"/>
      <c r="K562" s="1302"/>
      <c r="L562" s="1287"/>
    </row>
    <row r="563" spans="1:12" ht="23.25" customHeight="1" x14ac:dyDescent="0.2">
      <c r="A563" s="27" t="s">
        <v>4951</v>
      </c>
      <c r="B563" s="8" t="s">
        <v>4422</v>
      </c>
      <c r="C563" s="1441" t="s">
        <v>13955</v>
      </c>
      <c r="D563" s="1442"/>
      <c r="E563" s="8" t="s">
        <v>5089</v>
      </c>
      <c r="F563" s="12"/>
      <c r="G563" s="8" t="s">
        <v>4439</v>
      </c>
      <c r="H563" s="663" t="s">
        <v>4448</v>
      </c>
      <c r="I563" s="663" t="s">
        <v>76</v>
      </c>
      <c r="J563" s="20"/>
      <c r="K563" s="1302"/>
      <c r="L563" s="1287"/>
    </row>
    <row r="564" spans="1:12" ht="21.75" customHeight="1" x14ac:dyDescent="0.2">
      <c r="A564" s="27" t="s">
        <v>4952</v>
      </c>
      <c r="B564" s="8" t="s">
        <v>323</v>
      </c>
      <c r="C564" s="1441" t="s">
        <v>13956</v>
      </c>
      <c r="D564" s="1442"/>
      <c r="E564" s="8" t="s">
        <v>5090</v>
      </c>
      <c r="F564" s="12"/>
      <c r="G564" s="8" t="s">
        <v>4447</v>
      </c>
      <c r="H564" s="663" t="s">
        <v>4434</v>
      </c>
      <c r="I564" s="663" t="s">
        <v>3477</v>
      </c>
      <c r="J564" s="20"/>
      <c r="K564" s="1302"/>
      <c r="L564" s="1287"/>
    </row>
    <row r="565" spans="1:12" ht="47.25" customHeight="1" x14ac:dyDescent="0.2">
      <c r="A565" s="27" t="s">
        <v>4953</v>
      </c>
      <c r="B565" s="8" t="s">
        <v>4421</v>
      </c>
      <c r="C565" s="1441" t="s">
        <v>14220</v>
      </c>
      <c r="D565" s="1442"/>
      <c r="E565" s="8" t="s">
        <v>5091</v>
      </c>
      <c r="F565" s="12" t="s">
        <v>14221</v>
      </c>
      <c r="G565" s="8" t="s">
        <v>4449</v>
      </c>
      <c r="H565" s="663" t="s">
        <v>4329</v>
      </c>
      <c r="I565" s="663" t="s">
        <v>3393</v>
      </c>
      <c r="J565" s="20"/>
      <c r="K565" s="1302"/>
      <c r="L565" s="1287"/>
    </row>
    <row r="566" spans="1:12" ht="47.25" customHeight="1" x14ac:dyDescent="0.2">
      <c r="A566" s="27" t="s">
        <v>4954</v>
      </c>
      <c r="B566" s="8" t="s">
        <v>323</v>
      </c>
      <c r="C566" s="1441" t="s">
        <v>14205</v>
      </c>
      <c r="D566" s="1442"/>
      <c r="E566" s="8" t="s">
        <v>5108</v>
      </c>
      <c r="F566" s="12" t="s">
        <v>14206</v>
      </c>
      <c r="G566" s="8" t="s">
        <v>4439</v>
      </c>
      <c r="H566" s="663" t="s">
        <v>4450</v>
      </c>
      <c r="I566" s="663" t="s">
        <v>475</v>
      </c>
      <c r="J566" s="20"/>
      <c r="K566" s="1302"/>
      <c r="L566" s="1287"/>
    </row>
    <row r="567" spans="1:12" ht="46.5" customHeight="1" x14ac:dyDescent="0.2">
      <c r="A567" s="27" t="s">
        <v>4955</v>
      </c>
      <c r="B567" s="8" t="s">
        <v>287</v>
      </c>
      <c r="C567" s="1441" t="s">
        <v>14222</v>
      </c>
      <c r="D567" s="1442"/>
      <c r="E567" s="8" t="s">
        <v>5092</v>
      </c>
      <c r="F567" s="12" t="s">
        <v>14223</v>
      </c>
      <c r="G567" s="8" t="s">
        <v>4449</v>
      </c>
      <c r="H567" s="663" t="s">
        <v>4450</v>
      </c>
      <c r="I567" s="663" t="s">
        <v>484</v>
      </c>
      <c r="J567" s="20"/>
      <c r="K567" s="1302"/>
      <c r="L567" s="1287"/>
    </row>
    <row r="568" spans="1:12" ht="46.5" customHeight="1" x14ac:dyDescent="0.2">
      <c r="A568" s="27" t="s">
        <v>4956</v>
      </c>
      <c r="B568" s="8" t="s">
        <v>323</v>
      </c>
      <c r="C568" s="1441" t="s">
        <v>14224</v>
      </c>
      <c r="D568" s="1442"/>
      <c r="E568" s="8" t="s">
        <v>5093</v>
      </c>
      <c r="F568" s="12" t="s">
        <v>14225</v>
      </c>
      <c r="G568" s="8" t="s">
        <v>4452</v>
      </c>
      <c r="H568" s="663" t="s">
        <v>4451</v>
      </c>
      <c r="I568" s="663" t="s">
        <v>163</v>
      </c>
      <c r="J568" s="20"/>
      <c r="K568" s="1302"/>
      <c r="L568" s="1287"/>
    </row>
    <row r="569" spans="1:12" ht="48" customHeight="1" x14ac:dyDescent="0.2">
      <c r="A569" s="27" t="s">
        <v>4957</v>
      </c>
      <c r="B569" s="8" t="s">
        <v>323</v>
      </c>
      <c r="C569" s="1441" t="s">
        <v>14226</v>
      </c>
      <c r="D569" s="1442"/>
      <c r="E569" s="8" t="s">
        <v>5094</v>
      </c>
      <c r="F569" s="12" t="s">
        <v>14227</v>
      </c>
      <c r="G569" s="8" t="s">
        <v>4452</v>
      </c>
      <c r="H569" s="663" t="s">
        <v>4453</v>
      </c>
      <c r="I569" s="663" t="s">
        <v>73</v>
      </c>
      <c r="J569" s="20"/>
      <c r="K569" s="1302"/>
      <c r="L569" s="1287"/>
    </row>
    <row r="570" spans="1:12" ht="46.5" customHeight="1" x14ac:dyDescent="0.2">
      <c r="A570" s="27" t="s">
        <v>4958</v>
      </c>
      <c r="B570" s="8" t="s">
        <v>323</v>
      </c>
      <c r="C570" s="1441" t="s">
        <v>14228</v>
      </c>
      <c r="D570" s="1442"/>
      <c r="E570" s="8" t="s">
        <v>5095</v>
      </c>
      <c r="F570" s="12" t="s">
        <v>14235</v>
      </c>
      <c r="G570" s="8" t="s">
        <v>4449</v>
      </c>
      <c r="H570" s="663" t="s">
        <v>4392</v>
      </c>
      <c r="I570" s="663" t="s">
        <v>2657</v>
      </c>
      <c r="J570" s="20"/>
      <c r="K570" s="1302"/>
      <c r="L570" s="1287"/>
    </row>
    <row r="571" spans="1:12" ht="21.75" customHeight="1" x14ac:dyDescent="0.2">
      <c r="A571" s="27" t="s">
        <v>4959</v>
      </c>
      <c r="B571" s="8" t="s">
        <v>323</v>
      </c>
      <c r="C571" s="1441" t="s">
        <v>13957</v>
      </c>
      <c r="D571" s="1442"/>
      <c r="E571" s="8" t="s">
        <v>5096</v>
      </c>
      <c r="F571" s="12"/>
      <c r="G571" s="8" t="s">
        <v>4441</v>
      </c>
      <c r="H571" s="663" t="s">
        <v>4454</v>
      </c>
      <c r="I571" s="663" t="s">
        <v>2657</v>
      </c>
      <c r="J571" s="20"/>
      <c r="K571" s="1302"/>
      <c r="L571" s="1287"/>
    </row>
    <row r="572" spans="1:12" ht="48" customHeight="1" x14ac:dyDescent="0.2">
      <c r="A572" s="27" t="s">
        <v>4960</v>
      </c>
      <c r="B572" s="8" t="s">
        <v>323</v>
      </c>
      <c r="C572" s="1441" t="s">
        <v>14232</v>
      </c>
      <c r="D572" s="1442"/>
      <c r="E572" s="8" t="s">
        <v>5097</v>
      </c>
      <c r="F572" s="12" t="s">
        <v>14212</v>
      </c>
      <c r="G572" s="8" t="s">
        <v>4452</v>
      </c>
      <c r="H572" s="663" t="s">
        <v>4446</v>
      </c>
      <c r="I572" s="663" t="s">
        <v>80</v>
      </c>
      <c r="J572" s="20"/>
      <c r="K572" s="1302"/>
      <c r="L572" s="1287"/>
    </row>
    <row r="573" spans="1:12" ht="48" customHeight="1" x14ac:dyDescent="0.2">
      <c r="A573" s="27" t="s">
        <v>4961</v>
      </c>
      <c r="B573" s="8" t="s">
        <v>323</v>
      </c>
      <c r="C573" s="1441" t="s">
        <v>14233</v>
      </c>
      <c r="D573" s="1442"/>
      <c r="E573" s="8" t="s">
        <v>5098</v>
      </c>
      <c r="F573" s="804" t="s">
        <v>14234</v>
      </c>
      <c r="G573" s="8" t="s">
        <v>4452</v>
      </c>
      <c r="H573" s="663" t="s">
        <v>4455</v>
      </c>
      <c r="I573" s="663" t="s">
        <v>475</v>
      </c>
      <c r="J573" s="20"/>
      <c r="K573" s="1302"/>
      <c r="L573" s="1287"/>
    </row>
    <row r="574" spans="1:12" ht="48" customHeight="1" x14ac:dyDescent="0.2">
      <c r="A574" s="27" t="s">
        <v>4962</v>
      </c>
      <c r="B574" s="8" t="s">
        <v>4423</v>
      </c>
      <c r="C574" s="1441" t="s">
        <v>14236</v>
      </c>
      <c r="D574" s="1442"/>
      <c r="E574" s="8" t="s">
        <v>5109</v>
      </c>
      <c r="F574" s="12" t="s">
        <v>14229</v>
      </c>
      <c r="G574" s="8" t="s">
        <v>4457</v>
      </c>
      <c r="H574" s="663" t="s">
        <v>4456</v>
      </c>
      <c r="I574" s="663" t="s">
        <v>4252</v>
      </c>
      <c r="J574" s="20"/>
      <c r="K574" s="1302"/>
      <c r="L574" s="1287"/>
    </row>
    <row r="575" spans="1:12" ht="48" customHeight="1" x14ac:dyDescent="0.2">
      <c r="A575" s="27" t="s">
        <v>4963</v>
      </c>
      <c r="B575" s="8" t="s">
        <v>323</v>
      </c>
      <c r="C575" s="1441" t="s">
        <v>14237</v>
      </c>
      <c r="D575" s="1442"/>
      <c r="E575" s="8" t="s">
        <v>5099</v>
      </c>
      <c r="F575" s="12" t="s">
        <v>14238</v>
      </c>
      <c r="G575" s="8" t="s">
        <v>4452</v>
      </c>
      <c r="H575" s="663" t="s">
        <v>4458</v>
      </c>
      <c r="I575" s="663" t="s">
        <v>521</v>
      </c>
      <c r="J575" s="20"/>
      <c r="K575" s="1302"/>
      <c r="L575" s="1287"/>
    </row>
    <row r="576" spans="1:12" ht="47.25" customHeight="1" x14ac:dyDescent="0.2">
      <c r="A576" s="27" t="s">
        <v>4964</v>
      </c>
      <c r="B576" s="8" t="s">
        <v>4424</v>
      </c>
      <c r="C576" s="1441" t="s">
        <v>14239</v>
      </c>
      <c r="D576" s="1442"/>
      <c r="E576" s="8" t="s">
        <v>5100</v>
      </c>
      <c r="F576" s="804" t="s">
        <v>14240</v>
      </c>
      <c r="G576" s="8" t="s">
        <v>4452</v>
      </c>
      <c r="H576" s="663" t="s">
        <v>3226</v>
      </c>
      <c r="I576" s="663" t="s">
        <v>521</v>
      </c>
      <c r="J576" s="20"/>
      <c r="K576" s="1302"/>
      <c r="L576" s="1287"/>
    </row>
    <row r="577" spans="1:12" ht="47.25" customHeight="1" x14ac:dyDescent="0.2">
      <c r="A577" s="27" t="s">
        <v>4965</v>
      </c>
      <c r="B577" s="8" t="s">
        <v>323</v>
      </c>
      <c r="C577" s="1441" t="s">
        <v>14241</v>
      </c>
      <c r="D577" s="1442"/>
      <c r="E577" s="8" t="s">
        <v>5101</v>
      </c>
      <c r="F577" s="12" t="s">
        <v>14242</v>
      </c>
      <c r="G577" s="8" t="s">
        <v>4441</v>
      </c>
      <c r="H577" s="663" t="s">
        <v>3229</v>
      </c>
      <c r="I577" s="663" t="s">
        <v>521</v>
      </c>
      <c r="J577" s="20"/>
      <c r="K577" s="1302"/>
      <c r="L577" s="1287"/>
    </row>
    <row r="578" spans="1:12" x14ac:dyDescent="0.2">
      <c r="A578" s="27" t="s">
        <v>4966</v>
      </c>
      <c r="B578" s="8" t="s">
        <v>4417</v>
      </c>
      <c r="C578" s="1441" t="s">
        <v>4155</v>
      </c>
      <c r="D578" s="1442"/>
      <c r="E578" s="8"/>
      <c r="F578" s="12" t="s">
        <v>9939</v>
      </c>
      <c r="G578" s="8" t="s">
        <v>3776</v>
      </c>
      <c r="H578" s="663" t="s">
        <v>4429</v>
      </c>
      <c r="I578" s="663" t="s">
        <v>2711</v>
      </c>
      <c r="J578" s="20"/>
      <c r="K578" s="1302"/>
      <c r="L578" s="1287"/>
    </row>
    <row r="579" spans="1:12" ht="22.5" x14ac:dyDescent="0.2">
      <c r="A579" s="27" t="s">
        <v>4967</v>
      </c>
      <c r="B579" s="8" t="s">
        <v>4418</v>
      </c>
      <c r="C579" s="1441" t="s">
        <v>4155</v>
      </c>
      <c r="D579" s="1442"/>
      <c r="E579" s="8"/>
      <c r="F579" s="12" t="s">
        <v>9939</v>
      </c>
      <c r="G579" s="8" t="s">
        <v>4438</v>
      </c>
      <c r="H579" s="663" t="s">
        <v>4433</v>
      </c>
      <c r="I579" s="663" t="s">
        <v>2711</v>
      </c>
      <c r="J579" s="20"/>
      <c r="K579" s="1299"/>
      <c r="L579" s="1288"/>
    </row>
    <row r="580" spans="1:12" ht="24.75" customHeight="1" x14ac:dyDescent="0.2">
      <c r="A580" s="27" t="s">
        <v>4487</v>
      </c>
      <c r="B580" s="100" t="s">
        <v>4465</v>
      </c>
      <c r="C580" s="1422" t="s">
        <v>3956</v>
      </c>
      <c r="D580" s="1423"/>
      <c r="E580" s="8"/>
      <c r="F580" s="1289" t="s">
        <v>3954</v>
      </c>
      <c r="G580" s="1439" t="s">
        <v>4294</v>
      </c>
      <c r="H580" s="1440"/>
      <c r="I580" s="663"/>
      <c r="J580" s="20"/>
      <c r="K580" s="1434" t="s">
        <v>8074</v>
      </c>
      <c r="L580" s="1303" t="s">
        <v>10789</v>
      </c>
    </row>
    <row r="581" spans="1:12" ht="24.75" customHeight="1" x14ac:dyDescent="0.2">
      <c r="A581" s="27" t="s">
        <v>4459</v>
      </c>
      <c r="B581" s="8" t="s">
        <v>4471</v>
      </c>
      <c r="C581" s="1424"/>
      <c r="D581" s="1425"/>
      <c r="E581" s="8" t="s">
        <v>5114</v>
      </c>
      <c r="F581" s="1290"/>
      <c r="G581" s="8" t="s">
        <v>4299</v>
      </c>
      <c r="H581" s="316">
        <v>59.8</v>
      </c>
      <c r="I581" s="663" t="s">
        <v>3104</v>
      </c>
      <c r="J581" s="20"/>
      <c r="K581" s="1497"/>
      <c r="L581" s="1304"/>
    </row>
    <row r="582" spans="1:12" ht="24.75" customHeight="1" x14ac:dyDescent="0.2">
      <c r="A582" s="27" t="s">
        <v>4526</v>
      </c>
      <c r="B582" s="8" t="s">
        <v>4471</v>
      </c>
      <c r="C582" s="1424"/>
      <c r="D582" s="1425"/>
      <c r="E582" s="8" t="s">
        <v>5115</v>
      </c>
      <c r="F582" s="1290"/>
      <c r="G582" s="8" t="s">
        <v>4300</v>
      </c>
      <c r="H582" s="316">
        <v>79.099999999999994</v>
      </c>
      <c r="I582" s="663" t="s">
        <v>67</v>
      </c>
      <c r="J582" s="20"/>
      <c r="K582" s="1497"/>
      <c r="L582" s="1305"/>
    </row>
    <row r="583" spans="1:12" ht="24.75" customHeight="1" x14ac:dyDescent="0.2">
      <c r="A583" s="27" t="s">
        <v>4527</v>
      </c>
      <c r="B583" s="8" t="s">
        <v>4472</v>
      </c>
      <c r="C583" s="1424"/>
      <c r="D583" s="1425"/>
      <c r="E583" s="8" t="s">
        <v>5111</v>
      </c>
      <c r="F583" s="1290"/>
      <c r="G583" s="8" t="s">
        <v>4301</v>
      </c>
      <c r="H583" s="316">
        <v>90</v>
      </c>
      <c r="I583" s="663" t="s">
        <v>3757</v>
      </c>
      <c r="J583" s="20"/>
      <c r="K583" s="1497"/>
      <c r="L583" s="642" t="s">
        <v>10789</v>
      </c>
    </row>
    <row r="584" spans="1:12" ht="24.75" customHeight="1" x14ac:dyDescent="0.2">
      <c r="A584" s="27" t="s">
        <v>4528</v>
      </c>
      <c r="B584" s="8" t="s">
        <v>4473</v>
      </c>
      <c r="C584" s="1424"/>
      <c r="D584" s="1425"/>
      <c r="E584" s="8" t="s">
        <v>5113</v>
      </c>
      <c r="F584" s="1290"/>
      <c r="G584" s="8" t="s">
        <v>4302</v>
      </c>
      <c r="H584" s="316">
        <v>8.6</v>
      </c>
      <c r="I584" s="663" t="s">
        <v>165</v>
      </c>
      <c r="J584" s="20"/>
      <c r="K584" s="1497"/>
      <c r="L584" s="642" t="s">
        <v>10789</v>
      </c>
    </row>
    <row r="585" spans="1:12" ht="24.75" customHeight="1" x14ac:dyDescent="0.2">
      <c r="A585" s="27" t="s">
        <v>4529</v>
      </c>
      <c r="B585" s="8" t="s">
        <v>4474</v>
      </c>
      <c r="C585" s="1424"/>
      <c r="D585" s="1425"/>
      <c r="E585" s="8" t="s">
        <v>5112</v>
      </c>
      <c r="F585" s="1290"/>
      <c r="G585" s="8" t="s">
        <v>4303</v>
      </c>
      <c r="H585" s="316">
        <v>2800</v>
      </c>
      <c r="I585" s="663" t="s">
        <v>76</v>
      </c>
      <c r="J585" s="20"/>
      <c r="K585" s="1497"/>
      <c r="L585" s="642" t="s">
        <v>10789</v>
      </c>
    </row>
    <row r="586" spans="1:12" ht="24.75" customHeight="1" x14ac:dyDescent="0.2">
      <c r="A586" s="27" t="s">
        <v>4530</v>
      </c>
      <c r="B586" s="8" t="s">
        <v>4476</v>
      </c>
      <c r="C586" s="1424"/>
      <c r="D586" s="1425"/>
      <c r="E586" s="8" t="s">
        <v>5117</v>
      </c>
      <c r="F586" s="1290"/>
      <c r="G586" s="8" t="s">
        <v>4304</v>
      </c>
      <c r="H586" s="316">
        <v>50</v>
      </c>
      <c r="I586" s="663" t="s">
        <v>475</v>
      </c>
      <c r="J586" s="20"/>
      <c r="K586" s="1497"/>
      <c r="L586" s="642" t="s">
        <v>10789</v>
      </c>
    </row>
    <row r="587" spans="1:12" ht="24.75" customHeight="1" x14ac:dyDescent="0.2">
      <c r="A587" s="27" t="s">
        <v>4531</v>
      </c>
      <c r="B587" s="8" t="s">
        <v>4476</v>
      </c>
      <c r="C587" s="1424"/>
      <c r="D587" s="1425"/>
      <c r="E587" s="8" t="s">
        <v>5116</v>
      </c>
      <c r="F587" s="1290"/>
      <c r="G587" s="8" t="s">
        <v>4305</v>
      </c>
      <c r="H587" s="316">
        <v>113</v>
      </c>
      <c r="I587" s="663" t="s">
        <v>165</v>
      </c>
      <c r="J587" s="20"/>
      <c r="K587" s="1497"/>
      <c r="L587" s="642" t="s">
        <v>10789</v>
      </c>
    </row>
    <row r="588" spans="1:12" ht="24.75" customHeight="1" x14ac:dyDescent="0.2">
      <c r="A588" s="27" t="s">
        <v>4532</v>
      </c>
      <c r="B588" s="8" t="s">
        <v>4477</v>
      </c>
      <c r="C588" s="1424"/>
      <c r="D588" s="1425"/>
      <c r="E588" s="8" t="s">
        <v>5115</v>
      </c>
      <c r="F588" s="1290"/>
      <c r="G588" s="8" t="s">
        <v>4306</v>
      </c>
      <c r="H588" s="324">
        <v>255</v>
      </c>
      <c r="I588" s="663" t="s">
        <v>488</v>
      </c>
      <c r="J588" s="20"/>
      <c r="K588" s="1435"/>
      <c r="L588" s="642" t="s">
        <v>10789</v>
      </c>
    </row>
    <row r="589" spans="1:12" ht="24.75" customHeight="1" x14ac:dyDescent="0.2">
      <c r="A589" s="27" t="s">
        <v>4533</v>
      </c>
      <c r="B589" s="8" t="s">
        <v>4475</v>
      </c>
      <c r="C589" s="1426"/>
      <c r="D589" s="1427"/>
      <c r="E589" s="8" t="s">
        <v>5110</v>
      </c>
      <c r="F589" s="1291"/>
      <c r="G589" s="8" t="s">
        <v>4303</v>
      </c>
      <c r="H589" s="316">
        <v>2800</v>
      </c>
      <c r="I589" s="663" t="s">
        <v>76</v>
      </c>
      <c r="J589" s="20"/>
      <c r="K589" s="207"/>
      <c r="L589" s="638"/>
    </row>
    <row r="590" spans="1:12" ht="68.25" customHeight="1" x14ac:dyDescent="0.2">
      <c r="A590" s="27" t="s">
        <v>4488</v>
      </c>
      <c r="B590" s="8" t="s">
        <v>9795</v>
      </c>
      <c r="C590" s="1441" t="s">
        <v>13958</v>
      </c>
      <c r="D590" s="1442"/>
      <c r="E590" s="8" t="s">
        <v>5118</v>
      </c>
      <c r="F590" s="648" t="s">
        <v>3953</v>
      </c>
      <c r="G590" s="8" t="s">
        <v>4309</v>
      </c>
      <c r="H590" s="325" t="s">
        <v>3952</v>
      </c>
      <c r="I590" s="663" t="s">
        <v>18</v>
      </c>
      <c r="J590" s="20"/>
      <c r="K590" s="8" t="s">
        <v>13820</v>
      </c>
      <c r="L590" s="8" t="s">
        <v>13861</v>
      </c>
    </row>
    <row r="591" spans="1:12" ht="81" customHeight="1" x14ac:dyDescent="0.2">
      <c r="A591" s="27" t="s">
        <v>4489</v>
      </c>
      <c r="B591" s="8" t="s">
        <v>3950</v>
      </c>
      <c r="C591" s="1441" t="s">
        <v>13959</v>
      </c>
      <c r="D591" s="1442"/>
      <c r="E591" s="8" t="s">
        <v>5119</v>
      </c>
      <c r="F591" s="648" t="s">
        <v>3951</v>
      </c>
      <c r="G591" s="8" t="s">
        <v>4308</v>
      </c>
      <c r="H591" s="325" t="s">
        <v>3948</v>
      </c>
      <c r="I591" s="663" t="s">
        <v>473</v>
      </c>
      <c r="J591" s="20"/>
      <c r="K591" s="802" t="s">
        <v>13820</v>
      </c>
      <c r="L591" s="802" t="s">
        <v>13861</v>
      </c>
    </row>
    <row r="592" spans="1:12" ht="81" customHeight="1" x14ac:dyDescent="0.2">
      <c r="A592" s="27" t="s">
        <v>4490</v>
      </c>
      <c r="B592" s="8" t="s">
        <v>13960</v>
      </c>
      <c r="C592" s="1382" t="s">
        <v>13959</v>
      </c>
      <c r="D592" s="1382"/>
      <c r="E592" s="8" t="s">
        <v>5120</v>
      </c>
      <c r="F592" s="648" t="s">
        <v>3947</v>
      </c>
      <c r="G592" s="8" t="s">
        <v>4307</v>
      </c>
      <c r="H592" s="326" t="s">
        <v>3949</v>
      </c>
      <c r="I592" s="663" t="s">
        <v>4096</v>
      </c>
      <c r="J592" s="20"/>
      <c r="K592" s="802" t="s">
        <v>13820</v>
      </c>
      <c r="L592" s="802" t="s">
        <v>13861</v>
      </c>
    </row>
    <row r="593" spans="1:12" ht="39.75" customHeight="1" x14ac:dyDescent="0.2">
      <c r="A593" s="27" t="s">
        <v>4491</v>
      </c>
      <c r="B593" s="8" t="s">
        <v>9904</v>
      </c>
      <c r="C593" s="1441" t="s">
        <v>4155</v>
      </c>
      <c r="D593" s="1442"/>
      <c r="E593" s="8" t="s">
        <v>5121</v>
      </c>
      <c r="F593" s="648" t="s">
        <v>9900</v>
      </c>
      <c r="G593" s="8"/>
      <c r="H593" s="663" t="s">
        <v>4554</v>
      </c>
      <c r="I593" s="663" t="s">
        <v>76</v>
      </c>
      <c r="J593" s="20"/>
      <c r="K593" s="251" t="s">
        <v>8074</v>
      </c>
      <c r="L593" s="642" t="s">
        <v>10789</v>
      </c>
    </row>
    <row r="594" spans="1:12" ht="39" customHeight="1" x14ac:dyDescent="0.2">
      <c r="A594" s="27" t="s">
        <v>4534</v>
      </c>
      <c r="B594" s="8" t="s">
        <v>9901</v>
      </c>
      <c r="C594" s="1441" t="s">
        <v>4155</v>
      </c>
      <c r="D594" s="1442"/>
      <c r="E594" s="8" t="s">
        <v>5122</v>
      </c>
      <c r="F594" s="648" t="s">
        <v>9902</v>
      </c>
      <c r="G594" s="8"/>
      <c r="H594" s="663" t="s">
        <v>4555</v>
      </c>
      <c r="I594" s="663" t="s">
        <v>82</v>
      </c>
      <c r="J594" s="20"/>
      <c r="K594" s="251" t="s">
        <v>8074</v>
      </c>
      <c r="L594" s="642" t="s">
        <v>10789</v>
      </c>
    </row>
    <row r="595" spans="1:12" ht="21.75" customHeight="1" x14ac:dyDescent="0.2">
      <c r="A595" s="27" t="s">
        <v>4550</v>
      </c>
      <c r="B595" s="100" t="s">
        <v>5601</v>
      </c>
      <c r="C595" s="1498"/>
      <c r="D595" s="1499"/>
      <c r="E595" s="8" t="s">
        <v>5002</v>
      </c>
      <c r="F595" s="180" t="s">
        <v>9938</v>
      </c>
      <c r="G595" s="1439" t="s">
        <v>4541</v>
      </c>
      <c r="H595" s="1440"/>
      <c r="I595" s="663"/>
      <c r="J595" s="20"/>
      <c r="K595" s="1303" t="s">
        <v>13820</v>
      </c>
      <c r="L595" s="1303" t="s">
        <v>13861</v>
      </c>
    </row>
    <row r="596" spans="1:12" ht="47.25" customHeight="1" x14ac:dyDescent="0.2">
      <c r="A596" s="27" t="s">
        <v>4968</v>
      </c>
      <c r="B596" s="8" t="s">
        <v>4547</v>
      </c>
      <c r="C596" s="1441" t="s">
        <v>13981</v>
      </c>
      <c r="D596" s="1442"/>
      <c r="E596" s="8" t="s">
        <v>5123</v>
      </c>
      <c r="F596" s="180" t="s">
        <v>14117</v>
      </c>
      <c r="G596" s="8"/>
      <c r="H596" s="320">
        <v>128.69999999999999</v>
      </c>
      <c r="I596" s="663" t="s">
        <v>62</v>
      </c>
      <c r="J596" s="20"/>
      <c r="K596" s="1304"/>
      <c r="L596" s="1304"/>
    </row>
    <row r="597" spans="1:12" ht="45.75" customHeight="1" x14ac:dyDescent="0.2">
      <c r="A597" s="27" t="s">
        <v>4969</v>
      </c>
      <c r="B597" s="8" t="s">
        <v>4548</v>
      </c>
      <c r="C597" s="1441" t="s">
        <v>13982</v>
      </c>
      <c r="D597" s="1442"/>
      <c r="E597" s="8" t="s">
        <v>5124</v>
      </c>
      <c r="F597" s="180" t="s">
        <v>14115</v>
      </c>
      <c r="G597" s="8"/>
      <c r="H597" s="320">
        <v>104.4</v>
      </c>
      <c r="I597" s="663" t="s">
        <v>484</v>
      </c>
      <c r="J597" s="20"/>
      <c r="K597" s="1304"/>
      <c r="L597" s="1304"/>
    </row>
    <row r="598" spans="1:12" s="801" customFormat="1" ht="45.75" customHeight="1" x14ac:dyDescent="0.2">
      <c r="A598" s="27" t="s">
        <v>13961</v>
      </c>
      <c r="B598" s="802" t="s">
        <v>13962</v>
      </c>
      <c r="C598" s="1441" t="s">
        <v>13986</v>
      </c>
      <c r="D598" s="1442"/>
      <c r="E598" s="802"/>
      <c r="F598" s="180" t="s">
        <v>14116</v>
      </c>
      <c r="G598" s="802"/>
      <c r="H598" s="824"/>
      <c r="I598" s="824" t="s">
        <v>484</v>
      </c>
      <c r="J598" s="805"/>
      <c r="K598" s="1304"/>
      <c r="L598" s="1304"/>
    </row>
    <row r="599" spans="1:12" s="13" customFormat="1" ht="21.75" customHeight="1" x14ac:dyDescent="0.2">
      <c r="A599" s="27" t="s">
        <v>4970</v>
      </c>
      <c r="B599" s="8" t="s">
        <v>13963</v>
      </c>
      <c r="C599" s="1441" t="s">
        <v>3956</v>
      </c>
      <c r="D599" s="1442"/>
      <c r="E599" s="8" t="s">
        <v>5125</v>
      </c>
      <c r="F599" s="180" t="s">
        <v>9938</v>
      </c>
      <c r="G599" s="8"/>
      <c r="H599" s="663"/>
      <c r="I599" s="663" t="s">
        <v>4096</v>
      </c>
      <c r="J599" s="20"/>
      <c r="K599" s="1304"/>
      <c r="L599" s="1304"/>
    </row>
    <row r="600" spans="1:12" s="13" customFormat="1" x14ac:dyDescent="0.2">
      <c r="A600" s="27" t="s">
        <v>4971</v>
      </c>
      <c r="B600" s="8" t="s">
        <v>4546</v>
      </c>
      <c r="C600" s="245"/>
      <c r="D600" s="828"/>
      <c r="E600" s="8" t="s">
        <v>5126</v>
      </c>
      <c r="F600" s="180" t="s">
        <v>9938</v>
      </c>
      <c r="G600" s="8"/>
      <c r="H600" s="663"/>
      <c r="I600" s="663" t="s">
        <v>4096</v>
      </c>
      <c r="J600" s="20"/>
      <c r="K600" s="1305"/>
      <c r="L600" s="1305"/>
    </row>
    <row r="601" spans="1:12" ht="38.25" customHeight="1" x14ac:dyDescent="0.2">
      <c r="A601" s="27" t="s">
        <v>4551</v>
      </c>
      <c r="B601" s="8" t="s">
        <v>6101</v>
      </c>
      <c r="C601" s="1441" t="s">
        <v>3956</v>
      </c>
      <c r="D601" s="1442"/>
      <c r="E601" s="8" t="s">
        <v>5127</v>
      </c>
      <c r="F601" s="648" t="s">
        <v>9903</v>
      </c>
      <c r="G601" s="8"/>
      <c r="H601" s="663" t="s">
        <v>3264</v>
      </c>
      <c r="I601" s="663" t="s">
        <v>73</v>
      </c>
      <c r="J601" s="20"/>
      <c r="K601" s="251" t="s">
        <v>8074</v>
      </c>
      <c r="L601" s="642" t="s">
        <v>10789</v>
      </c>
    </row>
    <row r="602" spans="1:12" ht="37.5" customHeight="1" x14ac:dyDescent="0.2">
      <c r="A602" s="27" t="s">
        <v>4552</v>
      </c>
      <c r="B602" s="8" t="s">
        <v>4561</v>
      </c>
      <c r="C602" s="1441" t="s">
        <v>3956</v>
      </c>
      <c r="D602" s="1442"/>
      <c r="E602" s="8" t="s">
        <v>4652</v>
      </c>
      <c r="F602" s="8"/>
      <c r="H602" s="663"/>
      <c r="I602" s="663" t="s">
        <v>4582</v>
      </c>
      <c r="J602" s="20"/>
      <c r="K602" s="251" t="s">
        <v>8074</v>
      </c>
      <c r="L602" s="642" t="s">
        <v>10789</v>
      </c>
    </row>
    <row r="603" spans="1:12" ht="39.75" customHeight="1" x14ac:dyDescent="0.2">
      <c r="A603" s="27" t="s">
        <v>4553</v>
      </c>
      <c r="B603" s="8" t="s">
        <v>4565</v>
      </c>
      <c r="C603" s="1441" t="s">
        <v>3956</v>
      </c>
      <c r="D603" s="1442"/>
      <c r="E603" s="8" t="s">
        <v>4653</v>
      </c>
      <c r="F603" s="245"/>
      <c r="G603" s="8"/>
      <c r="H603" s="264"/>
      <c r="I603" s="663" t="s">
        <v>4582</v>
      </c>
      <c r="J603" s="20"/>
      <c r="K603" s="251" t="s">
        <v>8074</v>
      </c>
      <c r="L603" s="642" t="s">
        <v>10789</v>
      </c>
    </row>
    <row r="604" spans="1:12" s="5" customFormat="1" ht="28.5" customHeight="1" x14ac:dyDescent="0.2">
      <c r="A604" s="27" t="s">
        <v>4556</v>
      </c>
      <c r="B604" s="12" t="s">
        <v>4580</v>
      </c>
      <c r="C604" s="1428" t="s">
        <v>4155</v>
      </c>
      <c r="D604" s="1429"/>
      <c r="E604" s="12" t="s">
        <v>4654</v>
      </c>
      <c r="F604" s="114"/>
      <c r="G604" s="12"/>
      <c r="H604" s="327"/>
      <c r="I604" s="285" t="s">
        <v>4582</v>
      </c>
      <c r="J604" s="62"/>
      <c r="K604" s="17" t="s">
        <v>5920</v>
      </c>
      <c r="L604" s="17" t="s">
        <v>5920</v>
      </c>
    </row>
    <row r="605" spans="1:12" s="5" customFormat="1" ht="25.5" customHeight="1" x14ac:dyDescent="0.2">
      <c r="A605" s="27" t="s">
        <v>4557</v>
      </c>
      <c r="B605" s="12" t="s">
        <v>4581</v>
      </c>
      <c r="C605" s="1428" t="s">
        <v>4155</v>
      </c>
      <c r="D605" s="1429"/>
      <c r="E605" s="12" t="s">
        <v>4655</v>
      </c>
      <c r="F605" s="114"/>
      <c r="G605" s="12"/>
      <c r="H605" s="327"/>
      <c r="I605" s="285" t="s">
        <v>4582</v>
      </c>
      <c r="J605" s="62"/>
      <c r="K605" s="17" t="s">
        <v>5920</v>
      </c>
      <c r="L605" s="17" t="s">
        <v>5920</v>
      </c>
    </row>
    <row r="606" spans="1:12" ht="38.25" customHeight="1" x14ac:dyDescent="0.2">
      <c r="A606" s="27" t="s">
        <v>4558</v>
      </c>
      <c r="B606" s="8" t="s">
        <v>4585</v>
      </c>
      <c r="C606" s="1441" t="s">
        <v>4155</v>
      </c>
      <c r="D606" s="1442"/>
      <c r="E606" s="8" t="s">
        <v>4656</v>
      </c>
      <c r="F606" s="245" t="s">
        <v>13249</v>
      </c>
      <c r="G606" s="8"/>
      <c r="H606" s="8" t="s">
        <v>13250</v>
      </c>
      <c r="I606" s="742" t="s">
        <v>2657</v>
      </c>
      <c r="J606" s="20"/>
      <c r="K606" s="8" t="s">
        <v>13820</v>
      </c>
      <c r="L606" s="8" t="s">
        <v>13861</v>
      </c>
    </row>
    <row r="607" spans="1:12" ht="36.75" customHeight="1" x14ac:dyDescent="0.2">
      <c r="A607" s="27" t="s">
        <v>4566</v>
      </c>
      <c r="B607" s="8" t="s">
        <v>4583</v>
      </c>
      <c r="C607" s="1441" t="s">
        <v>4155</v>
      </c>
      <c r="D607" s="1442"/>
      <c r="E607" s="8" t="s">
        <v>4657</v>
      </c>
      <c r="F607" s="245"/>
      <c r="G607" s="8"/>
      <c r="H607" s="264"/>
      <c r="I607" s="663" t="s">
        <v>4582</v>
      </c>
      <c r="J607" s="20"/>
      <c r="K607" s="251" t="s">
        <v>8074</v>
      </c>
      <c r="L607" s="642" t="s">
        <v>10789</v>
      </c>
    </row>
    <row r="608" spans="1:12" s="5" customFormat="1" ht="26.25" customHeight="1" x14ac:dyDescent="0.2">
      <c r="A608" s="27" t="s">
        <v>4567</v>
      </c>
      <c r="B608" s="12" t="s">
        <v>4584</v>
      </c>
      <c r="C608" s="1428" t="s">
        <v>4155</v>
      </c>
      <c r="D608" s="1429"/>
      <c r="E608" s="12" t="s">
        <v>4658</v>
      </c>
      <c r="F608" s="114"/>
      <c r="G608" s="12"/>
      <c r="H608" s="327"/>
      <c r="I608" s="285" t="s">
        <v>4582</v>
      </c>
      <c r="J608" s="62"/>
      <c r="K608" s="17" t="s">
        <v>5920</v>
      </c>
      <c r="L608" s="17" t="s">
        <v>5920</v>
      </c>
    </row>
    <row r="609" spans="1:12" ht="34.5" customHeight="1" x14ac:dyDescent="0.2">
      <c r="A609" s="27" t="s">
        <v>2502</v>
      </c>
      <c r="B609" s="8" t="s">
        <v>4586</v>
      </c>
      <c r="C609" s="1441" t="s">
        <v>4155</v>
      </c>
      <c r="D609" s="1442"/>
      <c r="E609" s="8" t="s">
        <v>4659</v>
      </c>
      <c r="F609" s="245"/>
      <c r="G609" s="8"/>
      <c r="H609" s="264"/>
      <c r="I609" s="663" t="s">
        <v>4582</v>
      </c>
      <c r="J609" s="20"/>
      <c r="K609" s="8" t="s">
        <v>13820</v>
      </c>
      <c r="L609" s="8" t="s">
        <v>13861</v>
      </c>
    </row>
    <row r="610" spans="1:12" s="5" customFormat="1" ht="28.5" customHeight="1" x14ac:dyDescent="0.2">
      <c r="A610" s="27" t="s">
        <v>4568</v>
      </c>
      <c r="B610" s="12" t="s">
        <v>4587</v>
      </c>
      <c r="C610" s="1428" t="s">
        <v>4155</v>
      </c>
      <c r="D610" s="1429"/>
      <c r="E610" s="12" t="s">
        <v>4660</v>
      </c>
      <c r="F610" s="114"/>
      <c r="G610" s="12"/>
      <c r="H610" s="327"/>
      <c r="I610" s="285" t="s">
        <v>4582</v>
      </c>
      <c r="J610" s="62"/>
      <c r="K610" s="17" t="s">
        <v>5920</v>
      </c>
      <c r="L610" s="17" t="s">
        <v>5920</v>
      </c>
    </row>
    <row r="611" spans="1:12" ht="36.75" customHeight="1" x14ac:dyDescent="0.2">
      <c r="A611" s="27" t="s">
        <v>4569</v>
      </c>
      <c r="B611" s="8" t="s">
        <v>4588</v>
      </c>
      <c r="C611" s="1441" t="s">
        <v>4155</v>
      </c>
      <c r="D611" s="1442"/>
      <c r="E611" s="8" t="s">
        <v>4661</v>
      </c>
      <c r="F611" s="245"/>
      <c r="G611" s="8"/>
      <c r="H611" s="264"/>
      <c r="I611" s="663" t="s">
        <v>4582</v>
      </c>
      <c r="J611" s="20"/>
      <c r="K611" s="251" t="s">
        <v>8074</v>
      </c>
      <c r="L611" s="642" t="s">
        <v>10789</v>
      </c>
    </row>
    <row r="612" spans="1:12" ht="37.5" customHeight="1" x14ac:dyDescent="0.2">
      <c r="A612" s="27" t="s">
        <v>4570</v>
      </c>
      <c r="B612" s="8" t="s">
        <v>4589</v>
      </c>
      <c r="C612" s="1441" t="s">
        <v>4155</v>
      </c>
      <c r="D612" s="1442"/>
      <c r="E612" s="8" t="s">
        <v>4662</v>
      </c>
      <c r="F612" s="245"/>
      <c r="G612" s="8"/>
      <c r="H612" s="264"/>
      <c r="I612" s="663" t="s">
        <v>4582</v>
      </c>
      <c r="J612" s="20"/>
      <c r="K612" s="251" t="s">
        <v>8074</v>
      </c>
      <c r="L612" s="642" t="s">
        <v>10789</v>
      </c>
    </row>
    <row r="613" spans="1:12" s="5" customFormat="1" ht="26.25" customHeight="1" x14ac:dyDescent="0.2">
      <c r="A613" s="27" t="s">
        <v>4571</v>
      </c>
      <c r="B613" s="12" t="s">
        <v>4422</v>
      </c>
      <c r="C613" s="1428" t="s">
        <v>4155</v>
      </c>
      <c r="D613" s="1429"/>
      <c r="E613" s="12" t="s">
        <v>4663</v>
      </c>
      <c r="F613" s="114"/>
      <c r="G613" s="12"/>
      <c r="H613" s="327"/>
      <c r="I613" s="285" t="s">
        <v>4582</v>
      </c>
      <c r="J613" s="62"/>
      <c r="K613" s="17" t="s">
        <v>5920</v>
      </c>
      <c r="L613" s="17" t="s">
        <v>5920</v>
      </c>
    </row>
    <row r="614" spans="1:12" ht="35.25" customHeight="1" x14ac:dyDescent="0.2">
      <c r="A614" s="27" t="s">
        <v>4572</v>
      </c>
      <c r="B614" s="8" t="s">
        <v>4422</v>
      </c>
      <c r="C614" s="1441" t="s">
        <v>4155</v>
      </c>
      <c r="D614" s="1442"/>
      <c r="E614" s="8" t="s">
        <v>4664</v>
      </c>
      <c r="F614" s="245"/>
      <c r="G614" s="8"/>
      <c r="H614" s="264"/>
      <c r="I614" s="663" t="s">
        <v>4582</v>
      </c>
      <c r="J614" s="20"/>
      <c r="K614" s="8"/>
      <c r="L614" s="8" t="s">
        <v>13999</v>
      </c>
    </row>
    <row r="615" spans="1:12" ht="37.5" customHeight="1" x14ac:dyDescent="0.2">
      <c r="A615" s="27" t="s">
        <v>2856</v>
      </c>
      <c r="B615" s="8" t="s">
        <v>4590</v>
      </c>
      <c r="C615" s="1441" t="s">
        <v>4155</v>
      </c>
      <c r="D615" s="1442"/>
      <c r="E615" s="8" t="s">
        <v>4665</v>
      </c>
      <c r="F615" s="245"/>
      <c r="G615" s="8"/>
      <c r="H615" s="264"/>
      <c r="I615" s="663" t="s">
        <v>4582</v>
      </c>
      <c r="J615" s="20"/>
      <c r="K615" s="8"/>
      <c r="L615" s="802" t="s">
        <v>13999</v>
      </c>
    </row>
    <row r="616" spans="1:12" ht="37.5" customHeight="1" x14ac:dyDescent="0.2">
      <c r="A616" s="27" t="s">
        <v>2857</v>
      </c>
      <c r="B616" s="8" t="s">
        <v>4591</v>
      </c>
      <c r="C616" s="1441" t="s">
        <v>4155</v>
      </c>
      <c r="D616" s="1442"/>
      <c r="E616" s="8" t="s">
        <v>4666</v>
      </c>
      <c r="F616" s="245"/>
      <c r="G616" s="8"/>
      <c r="H616" s="264"/>
      <c r="I616" s="663" t="s">
        <v>4582</v>
      </c>
      <c r="J616" s="20"/>
      <c r="K616" s="8"/>
      <c r="L616" s="802" t="s">
        <v>13999</v>
      </c>
    </row>
    <row r="617" spans="1:12" s="5" customFormat="1" ht="47.25" customHeight="1" x14ac:dyDescent="0.2">
      <c r="A617" s="27" t="s">
        <v>2858</v>
      </c>
      <c r="B617" s="12" t="s">
        <v>13964</v>
      </c>
      <c r="C617" s="1428" t="s">
        <v>14243</v>
      </c>
      <c r="D617" s="1429"/>
      <c r="E617" s="12" t="s">
        <v>4667</v>
      </c>
      <c r="F617" s="114" t="s">
        <v>14244</v>
      </c>
      <c r="G617" s="12"/>
      <c r="H617" s="327"/>
      <c r="I617" s="285" t="s">
        <v>502</v>
      </c>
      <c r="J617" s="62"/>
      <c r="K617" s="17" t="s">
        <v>13820</v>
      </c>
      <c r="L617" s="17" t="s">
        <v>13919</v>
      </c>
    </row>
    <row r="618" spans="1:12" ht="36.75" customHeight="1" x14ac:dyDescent="0.2">
      <c r="A618" s="27" t="s">
        <v>4573</v>
      </c>
      <c r="B618" s="8" t="s">
        <v>4592</v>
      </c>
      <c r="C618" s="1441" t="s">
        <v>4155</v>
      </c>
      <c r="D618" s="1442"/>
      <c r="E618" s="8" t="s">
        <v>4668</v>
      </c>
      <c r="F618" s="245"/>
      <c r="G618" s="8"/>
      <c r="H618" s="264"/>
      <c r="I618" s="663" t="s">
        <v>4582</v>
      </c>
      <c r="J618" s="20"/>
      <c r="K618" s="8"/>
      <c r="L618" s="8" t="s">
        <v>13997</v>
      </c>
    </row>
    <row r="619" spans="1:12" ht="40.5" customHeight="1" x14ac:dyDescent="0.2">
      <c r="A619" s="27" t="s">
        <v>4574</v>
      </c>
      <c r="B619" s="8" t="s">
        <v>9689</v>
      </c>
      <c r="C619" s="1441" t="s">
        <v>4155</v>
      </c>
      <c r="D619" s="1442"/>
      <c r="E619" s="8" t="s">
        <v>4669</v>
      </c>
      <c r="F619" s="245" t="s">
        <v>13965</v>
      </c>
      <c r="G619" s="8"/>
      <c r="H619" s="827" t="s">
        <v>13966</v>
      </c>
      <c r="I619" s="663" t="s">
        <v>4582</v>
      </c>
      <c r="J619" s="20"/>
      <c r="K619" s="8" t="s">
        <v>13820</v>
      </c>
      <c r="L619" s="8" t="s">
        <v>13919</v>
      </c>
    </row>
    <row r="620" spans="1:12" s="5" customFormat="1" ht="37.5" customHeight="1" x14ac:dyDescent="0.2">
      <c r="A620" s="27" t="s">
        <v>4575</v>
      </c>
      <c r="B620" s="12" t="s">
        <v>4593</v>
      </c>
      <c r="C620" s="1428" t="s">
        <v>4155</v>
      </c>
      <c r="D620" s="1429"/>
      <c r="E620" s="12" t="s">
        <v>4670</v>
      </c>
      <c r="F620" s="114"/>
      <c r="G620" s="12"/>
      <c r="H620" s="327"/>
      <c r="I620" s="285" t="s">
        <v>4595</v>
      </c>
      <c r="J620" s="62"/>
      <c r="K620" s="251" t="s">
        <v>8074</v>
      </c>
      <c r="L620" s="642" t="s">
        <v>10789</v>
      </c>
    </row>
    <row r="621" spans="1:12" ht="34.5" customHeight="1" x14ac:dyDescent="0.2">
      <c r="A621" s="27" t="s">
        <v>4576</v>
      </c>
      <c r="B621" s="8" t="s">
        <v>4594</v>
      </c>
      <c r="C621" s="1441" t="s">
        <v>4155</v>
      </c>
      <c r="D621" s="1442"/>
      <c r="E621" s="8" t="s">
        <v>4671</v>
      </c>
      <c r="F621" s="245"/>
      <c r="G621" s="8"/>
      <c r="H621" s="264"/>
      <c r="I621" s="663" t="s">
        <v>4595</v>
      </c>
      <c r="J621" s="20"/>
      <c r="K621" s="251" t="s">
        <v>8074</v>
      </c>
      <c r="L621" s="642" t="s">
        <v>10789</v>
      </c>
    </row>
    <row r="622" spans="1:12" s="5" customFormat="1" ht="38.25" customHeight="1" x14ac:dyDescent="0.2">
      <c r="A622" s="27" t="s">
        <v>4577</v>
      </c>
      <c r="B622" s="12" t="s">
        <v>311</v>
      </c>
      <c r="C622" s="1428" t="s">
        <v>4155</v>
      </c>
      <c r="D622" s="1429"/>
      <c r="E622" s="12" t="s">
        <v>4672</v>
      </c>
      <c r="F622" s="114"/>
      <c r="G622" s="12"/>
      <c r="H622" s="327"/>
      <c r="I622" s="285" t="s">
        <v>165</v>
      </c>
      <c r="J622" s="62"/>
      <c r="K622" s="8"/>
      <c r="L622" s="8" t="s">
        <v>13997</v>
      </c>
    </row>
    <row r="623" spans="1:12" ht="40.5" customHeight="1" x14ac:dyDescent="0.2">
      <c r="A623" s="27" t="s">
        <v>4578</v>
      </c>
      <c r="B623" s="8" t="s">
        <v>4596</v>
      </c>
      <c r="C623" s="1441" t="s">
        <v>4155</v>
      </c>
      <c r="D623" s="1442"/>
      <c r="E623" s="8" t="s">
        <v>4673</v>
      </c>
      <c r="F623" s="245"/>
      <c r="G623" s="8"/>
      <c r="H623" s="264"/>
      <c r="I623" s="663" t="s">
        <v>4595</v>
      </c>
      <c r="J623" s="20"/>
      <c r="K623" s="8" t="s">
        <v>13820</v>
      </c>
      <c r="L623" s="8" t="s">
        <v>13919</v>
      </c>
    </row>
    <row r="624" spans="1:12" ht="40.5" customHeight="1" x14ac:dyDescent="0.2">
      <c r="A624" s="27" t="s">
        <v>4579</v>
      </c>
      <c r="B624" s="8" t="s">
        <v>4597</v>
      </c>
      <c r="C624" s="1441" t="s">
        <v>4155</v>
      </c>
      <c r="D624" s="1442"/>
      <c r="E624" s="8" t="s">
        <v>4674</v>
      </c>
      <c r="F624" s="245"/>
      <c r="G624" s="8"/>
      <c r="H624" s="264"/>
      <c r="I624" s="663" t="s">
        <v>4595</v>
      </c>
      <c r="J624" s="20"/>
      <c r="K624" s="802" t="s">
        <v>13820</v>
      </c>
      <c r="L624" s="8" t="s">
        <v>13919</v>
      </c>
    </row>
    <row r="625" spans="1:12" ht="37.5" customHeight="1" x14ac:dyDescent="0.2">
      <c r="A625" s="27" t="s">
        <v>4605</v>
      </c>
      <c r="B625" s="8" t="s">
        <v>4598</v>
      </c>
      <c r="C625" s="1441" t="s">
        <v>4155</v>
      </c>
      <c r="D625" s="1442"/>
      <c r="E625" s="8" t="s">
        <v>4675</v>
      </c>
      <c r="F625" s="245"/>
      <c r="G625" s="8"/>
      <c r="H625" s="264"/>
      <c r="I625" s="663" t="s">
        <v>4595</v>
      </c>
      <c r="J625" s="20"/>
      <c r="K625" s="802" t="s">
        <v>13820</v>
      </c>
      <c r="L625" s="802" t="s">
        <v>13919</v>
      </c>
    </row>
    <row r="626" spans="1:12" ht="38.25" customHeight="1" x14ac:dyDescent="0.2">
      <c r="A626" s="27" t="s">
        <v>4606</v>
      </c>
      <c r="B626" s="8" t="s">
        <v>13967</v>
      </c>
      <c r="C626" s="1441" t="s">
        <v>4155</v>
      </c>
      <c r="D626" s="1442"/>
      <c r="E626" s="8" t="s">
        <v>4676</v>
      </c>
      <c r="F626" s="245"/>
      <c r="G626" s="8"/>
      <c r="H626" s="264"/>
      <c r="I626" s="663" t="s">
        <v>160</v>
      </c>
      <c r="J626" s="20"/>
      <c r="K626" s="802" t="s">
        <v>13820</v>
      </c>
      <c r="L626" s="802" t="s">
        <v>13919</v>
      </c>
    </row>
    <row r="627" spans="1:12" ht="37.5" customHeight="1" x14ac:dyDescent="0.2">
      <c r="A627" s="823" t="s">
        <v>4607</v>
      </c>
      <c r="B627" s="821" t="s">
        <v>13968</v>
      </c>
      <c r="C627" s="1422" t="s">
        <v>4155</v>
      </c>
      <c r="D627" s="1436"/>
      <c r="E627" s="8" t="s">
        <v>4677</v>
      </c>
      <c r="F627" s="245"/>
      <c r="G627" s="8"/>
      <c r="H627" s="264"/>
      <c r="I627" s="663" t="s">
        <v>73</v>
      </c>
      <c r="J627" s="20"/>
      <c r="K627" s="802" t="s">
        <v>13820</v>
      </c>
      <c r="L627" s="802" t="s">
        <v>13919</v>
      </c>
    </row>
    <row r="628" spans="1:12" s="5" customFormat="1" ht="30" customHeight="1" x14ac:dyDescent="0.2">
      <c r="A628" s="27" t="s">
        <v>4608</v>
      </c>
      <c r="B628" s="12" t="s">
        <v>4599</v>
      </c>
      <c r="C628" s="1428" t="s">
        <v>4155</v>
      </c>
      <c r="D628" s="1429"/>
      <c r="E628" s="12" t="s">
        <v>4678</v>
      </c>
      <c r="F628" s="114"/>
      <c r="G628" s="12"/>
      <c r="H628" s="327"/>
      <c r="I628" s="285" t="s">
        <v>4595</v>
      </c>
      <c r="J628" s="62"/>
      <c r="K628" s="17" t="s">
        <v>5920</v>
      </c>
      <c r="L628" s="17" t="s">
        <v>5920</v>
      </c>
    </row>
    <row r="629" spans="1:12" ht="37.5" customHeight="1" x14ac:dyDescent="0.2">
      <c r="A629" s="27" t="s">
        <v>4609</v>
      </c>
      <c r="B629" s="8" t="s">
        <v>4600</v>
      </c>
      <c r="C629" s="1441" t="s">
        <v>4155</v>
      </c>
      <c r="D629" s="1442"/>
      <c r="E629" s="8" t="s">
        <v>4679</v>
      </c>
      <c r="F629" s="245"/>
      <c r="G629" s="8"/>
      <c r="H629" s="264"/>
      <c r="I629" s="663" t="s">
        <v>4635</v>
      </c>
      <c r="J629" s="20"/>
      <c r="K629" s="8" t="s">
        <v>9605</v>
      </c>
      <c r="L629" s="642" t="s">
        <v>12012</v>
      </c>
    </row>
    <row r="630" spans="1:12" ht="38.25" customHeight="1" x14ac:dyDescent="0.2">
      <c r="A630" s="27" t="s">
        <v>4610</v>
      </c>
      <c r="B630" s="8" t="s">
        <v>4601</v>
      </c>
      <c r="C630" s="1441" t="s">
        <v>4155</v>
      </c>
      <c r="D630" s="1442"/>
      <c r="E630" s="8" t="s">
        <v>4680</v>
      </c>
      <c r="F630" s="245"/>
      <c r="G630" s="8"/>
      <c r="H630" s="264"/>
      <c r="I630" s="663" t="s">
        <v>4595</v>
      </c>
      <c r="J630" s="20"/>
      <c r="K630" s="8" t="s">
        <v>9605</v>
      </c>
      <c r="L630" s="642" t="s">
        <v>12012</v>
      </c>
    </row>
    <row r="631" spans="1:12" ht="38.25" customHeight="1" x14ac:dyDescent="0.2">
      <c r="A631" s="27" t="s">
        <v>4611</v>
      </c>
      <c r="B631" s="8" t="s">
        <v>4602</v>
      </c>
      <c r="C631" s="1441" t="s">
        <v>4155</v>
      </c>
      <c r="D631" s="1442"/>
      <c r="E631" s="8" t="s">
        <v>4681</v>
      </c>
      <c r="F631" s="245"/>
      <c r="G631" s="8"/>
      <c r="H631" s="264"/>
      <c r="I631" s="663" t="s">
        <v>4595</v>
      </c>
      <c r="J631" s="20"/>
      <c r="K631" s="8"/>
      <c r="L631" s="8" t="s">
        <v>13997</v>
      </c>
    </row>
    <row r="632" spans="1:12" ht="36.75" customHeight="1" x14ac:dyDescent="0.2">
      <c r="A632" s="1434" t="s">
        <v>4612</v>
      </c>
      <c r="B632" s="1286" t="s">
        <v>4603</v>
      </c>
      <c r="C632" s="1422" t="s">
        <v>4155</v>
      </c>
      <c r="D632" s="1436"/>
      <c r="E632" s="8" t="s">
        <v>4682</v>
      </c>
      <c r="F632" s="245"/>
      <c r="G632" s="8"/>
      <c r="H632" s="264"/>
      <c r="I632" s="663" t="s">
        <v>4635</v>
      </c>
      <c r="J632" s="20"/>
      <c r="K632" s="251" t="s">
        <v>8074</v>
      </c>
      <c r="L632" s="642" t="s">
        <v>10789</v>
      </c>
    </row>
    <row r="633" spans="1:12" ht="16.5" customHeight="1" x14ac:dyDescent="0.2">
      <c r="A633" s="1435"/>
      <c r="B633" s="1288"/>
      <c r="C633" s="1437"/>
      <c r="D633" s="1438"/>
      <c r="E633" s="1441" t="s">
        <v>9502</v>
      </c>
      <c r="F633" s="1464"/>
      <c r="G633" s="1464"/>
      <c r="H633" s="1442"/>
      <c r="I633" s="663" t="s">
        <v>8262</v>
      </c>
      <c r="J633" s="20"/>
      <c r="K633" s="251"/>
      <c r="L633" s="642"/>
    </row>
    <row r="634" spans="1:12" ht="38.25" customHeight="1" x14ac:dyDescent="0.2">
      <c r="A634" s="27" t="s">
        <v>4613</v>
      </c>
      <c r="B634" s="8" t="s">
        <v>4636</v>
      </c>
      <c r="C634" s="1441" t="s">
        <v>4155</v>
      </c>
      <c r="D634" s="1442"/>
      <c r="E634" s="8" t="s">
        <v>4683</v>
      </c>
      <c r="F634" s="245"/>
      <c r="G634" s="8"/>
      <c r="H634" s="264"/>
      <c r="I634" s="663" t="s">
        <v>4635</v>
      </c>
      <c r="J634" s="20"/>
      <c r="K634" s="8"/>
      <c r="L634" s="8" t="s">
        <v>13997</v>
      </c>
    </row>
    <row r="635" spans="1:12" ht="37.5" customHeight="1" x14ac:dyDescent="0.2">
      <c r="A635" s="27" t="s">
        <v>4614</v>
      </c>
      <c r="B635" s="8" t="s">
        <v>4637</v>
      </c>
      <c r="C635" s="1441" t="s">
        <v>4155</v>
      </c>
      <c r="D635" s="1442"/>
      <c r="E635" s="8" t="s">
        <v>4684</v>
      </c>
      <c r="F635" s="245"/>
      <c r="G635" s="8"/>
      <c r="H635" s="264"/>
      <c r="I635" s="663" t="s">
        <v>4635</v>
      </c>
      <c r="J635" s="20"/>
      <c r="K635" s="8" t="s">
        <v>9605</v>
      </c>
      <c r="L635" s="642" t="s">
        <v>12012</v>
      </c>
    </row>
    <row r="636" spans="1:12" ht="33" customHeight="1" x14ac:dyDescent="0.2">
      <c r="A636" s="27" t="s">
        <v>4615</v>
      </c>
      <c r="B636" s="8" t="s">
        <v>4693</v>
      </c>
      <c r="C636" s="1441" t="s">
        <v>4155</v>
      </c>
      <c r="D636" s="1442"/>
      <c r="E636" s="8" t="s">
        <v>4685</v>
      </c>
      <c r="F636" s="245"/>
      <c r="G636" s="8"/>
      <c r="H636" s="264"/>
      <c r="I636" s="663" t="s">
        <v>4635</v>
      </c>
      <c r="J636" s="20"/>
      <c r="K636" s="251" t="s">
        <v>8074</v>
      </c>
      <c r="L636" s="642" t="s">
        <v>10789</v>
      </c>
    </row>
    <row r="637" spans="1:12" ht="33.75" customHeight="1" x14ac:dyDescent="0.2">
      <c r="A637" s="27" t="s">
        <v>4616</v>
      </c>
      <c r="B637" s="8" t="s">
        <v>4687</v>
      </c>
      <c r="C637" s="1441" t="s">
        <v>4155</v>
      </c>
      <c r="D637" s="1442"/>
      <c r="E637" s="8" t="s">
        <v>4686</v>
      </c>
      <c r="F637" s="245"/>
      <c r="G637" s="8"/>
      <c r="H637" s="264"/>
      <c r="I637" s="663" t="s">
        <v>4635</v>
      </c>
      <c r="J637" s="20"/>
      <c r="K637" s="251" t="s">
        <v>8074</v>
      </c>
      <c r="L637" s="642" t="s">
        <v>10789</v>
      </c>
    </row>
    <row r="638" spans="1:12" ht="33.75" customHeight="1" x14ac:dyDescent="0.2">
      <c r="A638" s="27" t="s">
        <v>4617</v>
      </c>
      <c r="B638" s="8" t="s">
        <v>4604</v>
      </c>
      <c r="C638" s="1441" t="s">
        <v>4155</v>
      </c>
      <c r="D638" s="1442"/>
      <c r="E638" s="8" t="s">
        <v>4688</v>
      </c>
      <c r="F638" s="245"/>
      <c r="G638" s="8"/>
      <c r="H638" s="264"/>
      <c r="I638" s="663" t="s">
        <v>4635</v>
      </c>
      <c r="J638" s="20"/>
      <c r="K638" s="251" t="s">
        <v>8074</v>
      </c>
      <c r="L638" s="642" t="s">
        <v>10789</v>
      </c>
    </row>
    <row r="639" spans="1:12" ht="38.25" customHeight="1" x14ac:dyDescent="0.2">
      <c r="A639" s="27" t="s">
        <v>4618</v>
      </c>
      <c r="B639" s="8" t="s">
        <v>4638</v>
      </c>
      <c r="C639" s="1441" t="s">
        <v>4155</v>
      </c>
      <c r="D639" s="1442"/>
      <c r="E639" s="8" t="s">
        <v>4689</v>
      </c>
      <c r="F639" s="245"/>
      <c r="G639" s="8"/>
      <c r="H639" s="264"/>
      <c r="I639" s="310">
        <v>38353</v>
      </c>
      <c r="J639" s="20"/>
      <c r="K639" s="8"/>
      <c r="L639" s="8" t="s">
        <v>13997</v>
      </c>
    </row>
    <row r="640" spans="1:12" ht="36" customHeight="1" x14ac:dyDescent="0.2">
      <c r="A640" s="27" t="s">
        <v>4619</v>
      </c>
      <c r="B640" s="8" t="s">
        <v>4639</v>
      </c>
      <c r="C640" s="1441" t="s">
        <v>4155</v>
      </c>
      <c r="D640" s="1442"/>
      <c r="E640" s="8" t="s">
        <v>4690</v>
      </c>
      <c r="F640" s="245"/>
      <c r="G640" s="8"/>
      <c r="H640" s="264"/>
      <c r="I640" s="310">
        <v>38261</v>
      </c>
      <c r="J640" s="20"/>
      <c r="K640" s="8"/>
      <c r="L640" s="8" t="s">
        <v>13997</v>
      </c>
    </row>
    <row r="641" spans="1:12" s="5" customFormat="1" ht="22.5" x14ac:dyDescent="0.2">
      <c r="A641" s="27" t="s">
        <v>4620</v>
      </c>
      <c r="B641" s="12" t="s">
        <v>4640</v>
      </c>
      <c r="C641" s="1428" t="s">
        <v>4155</v>
      </c>
      <c r="D641" s="1429"/>
      <c r="E641" s="12" t="s">
        <v>4691</v>
      </c>
      <c r="F641" s="114"/>
      <c r="G641" s="12"/>
      <c r="H641" s="327"/>
      <c r="I641" s="311">
        <v>38261</v>
      </c>
      <c r="J641" s="62"/>
      <c r="K641" s="17" t="s">
        <v>5920</v>
      </c>
      <c r="L641" s="17" t="s">
        <v>5920</v>
      </c>
    </row>
    <row r="642" spans="1:12" ht="22.5" x14ac:dyDescent="0.2">
      <c r="A642" s="27" t="s">
        <v>4621</v>
      </c>
      <c r="B642" s="12" t="s">
        <v>4641</v>
      </c>
      <c r="C642" s="1428" t="s">
        <v>4155</v>
      </c>
      <c r="D642" s="1429"/>
      <c r="E642" s="12" t="s">
        <v>4692</v>
      </c>
      <c r="F642" s="114"/>
      <c r="G642" s="12"/>
      <c r="H642" s="327"/>
      <c r="I642" s="311">
        <v>38261</v>
      </c>
      <c r="J642" s="62"/>
      <c r="K642" s="17" t="s">
        <v>5920</v>
      </c>
      <c r="L642" s="17" t="s">
        <v>5920</v>
      </c>
    </row>
    <row r="643" spans="1:12" ht="22.5" x14ac:dyDescent="0.2">
      <c r="A643" s="27" t="s">
        <v>4622</v>
      </c>
      <c r="B643" s="12" t="s">
        <v>4642</v>
      </c>
      <c r="C643" s="1428" t="s">
        <v>4155</v>
      </c>
      <c r="D643" s="1429"/>
      <c r="E643" s="12" t="s">
        <v>4694</v>
      </c>
      <c r="F643" s="114"/>
      <c r="G643" s="12"/>
      <c r="H643" s="327"/>
      <c r="I643" s="311">
        <v>38261</v>
      </c>
      <c r="J643" s="62"/>
      <c r="K643" s="17" t="s">
        <v>5920</v>
      </c>
      <c r="L643" s="17" t="s">
        <v>5920</v>
      </c>
    </row>
    <row r="644" spans="1:12" ht="22.5" x14ac:dyDescent="0.2">
      <c r="A644" s="27" t="s">
        <v>4623</v>
      </c>
      <c r="B644" s="12" t="s">
        <v>4643</v>
      </c>
      <c r="C644" s="1428" t="s">
        <v>4155</v>
      </c>
      <c r="D644" s="1429"/>
      <c r="E644" s="12" t="s">
        <v>4695</v>
      </c>
      <c r="F644" s="114"/>
      <c r="G644" s="12"/>
      <c r="H644" s="327"/>
      <c r="I644" s="311">
        <v>38261</v>
      </c>
      <c r="J644" s="62"/>
      <c r="K644" s="17" t="s">
        <v>5920</v>
      </c>
      <c r="L644" s="17" t="s">
        <v>5920</v>
      </c>
    </row>
    <row r="645" spans="1:12" ht="22.5" x14ac:dyDescent="0.2">
      <c r="A645" s="27" t="s">
        <v>4624</v>
      </c>
      <c r="B645" s="12" t="s">
        <v>4644</v>
      </c>
      <c r="C645" s="1428" t="s">
        <v>4155</v>
      </c>
      <c r="D645" s="1429"/>
      <c r="E645" s="12" t="s">
        <v>4696</v>
      </c>
      <c r="F645" s="114"/>
      <c r="G645" s="12"/>
      <c r="H645" s="327"/>
      <c r="I645" s="311">
        <v>38261</v>
      </c>
      <c r="J645" s="62"/>
      <c r="K645" s="17" t="s">
        <v>5920</v>
      </c>
      <c r="L645" s="17" t="s">
        <v>5920</v>
      </c>
    </row>
    <row r="646" spans="1:12" ht="22.5" x14ac:dyDescent="0.2">
      <c r="A646" s="27" t="s">
        <v>4625</v>
      </c>
      <c r="B646" s="12" t="s">
        <v>4645</v>
      </c>
      <c r="C646" s="1428" t="s">
        <v>4155</v>
      </c>
      <c r="D646" s="1429"/>
      <c r="E646" s="12" t="s">
        <v>4697</v>
      </c>
      <c r="F646" s="114"/>
      <c r="G646" s="12"/>
      <c r="H646" s="327"/>
      <c r="I646" s="311">
        <v>38261</v>
      </c>
      <c r="J646" s="62"/>
      <c r="K646" s="17" t="s">
        <v>5920</v>
      </c>
      <c r="L646" s="17" t="s">
        <v>5920</v>
      </c>
    </row>
    <row r="647" spans="1:12" ht="33" customHeight="1" x14ac:dyDescent="0.2">
      <c r="A647" s="27" t="s">
        <v>4626</v>
      </c>
      <c r="B647" s="8" t="s">
        <v>4646</v>
      </c>
      <c r="C647" s="1441" t="s">
        <v>4155</v>
      </c>
      <c r="D647" s="1442"/>
      <c r="E647" s="8" t="s">
        <v>4698</v>
      </c>
      <c r="F647" s="8"/>
      <c r="G647" s="8"/>
      <c r="H647" s="663"/>
      <c r="I647" s="310">
        <v>38261</v>
      </c>
      <c r="J647" s="20"/>
      <c r="K647" s="251" t="s">
        <v>8074</v>
      </c>
      <c r="L647" s="642" t="s">
        <v>10794</v>
      </c>
    </row>
    <row r="648" spans="1:12" ht="46.5" customHeight="1" x14ac:dyDescent="0.2">
      <c r="A648" s="27" t="s">
        <v>4627</v>
      </c>
      <c r="B648" s="8" t="s">
        <v>4647</v>
      </c>
      <c r="C648" s="1441" t="s">
        <v>3957</v>
      </c>
      <c r="D648" s="1442"/>
      <c r="E648" s="8" t="s">
        <v>4699</v>
      </c>
      <c r="F648" s="8"/>
      <c r="G648" s="8"/>
      <c r="H648" s="663"/>
      <c r="I648" s="310">
        <v>37288</v>
      </c>
      <c r="J648" s="20"/>
      <c r="K648" s="17" t="s">
        <v>4290</v>
      </c>
      <c r="L648" s="642" t="s">
        <v>10805</v>
      </c>
    </row>
    <row r="649" spans="1:12" ht="37.5" customHeight="1" x14ac:dyDescent="0.2">
      <c r="A649" s="27" t="s">
        <v>4628</v>
      </c>
      <c r="B649" s="8" t="s">
        <v>4353</v>
      </c>
      <c r="C649" s="1441" t="s">
        <v>3957</v>
      </c>
      <c r="D649" s="1442"/>
      <c r="E649" s="8" t="s">
        <v>4700</v>
      </c>
      <c r="F649" s="8"/>
      <c r="G649" s="8"/>
      <c r="H649" s="663"/>
      <c r="I649" s="310">
        <v>37288</v>
      </c>
      <c r="J649" s="20"/>
      <c r="K649" s="8" t="s">
        <v>9605</v>
      </c>
      <c r="L649" s="642" t="s">
        <v>12012</v>
      </c>
    </row>
    <row r="650" spans="1:12" ht="38.25" customHeight="1" x14ac:dyDescent="0.2">
      <c r="A650" s="27" t="s">
        <v>4629</v>
      </c>
      <c r="B650" s="8" t="s">
        <v>4648</v>
      </c>
      <c r="C650" s="1441" t="s">
        <v>3957</v>
      </c>
      <c r="D650" s="1442"/>
      <c r="E650" s="8" t="s">
        <v>8054</v>
      </c>
      <c r="F650" s="8"/>
      <c r="G650" s="8"/>
      <c r="H650" s="663"/>
      <c r="I650" s="310">
        <v>37288</v>
      </c>
      <c r="J650" s="20"/>
      <c r="K650" s="8" t="s">
        <v>9605</v>
      </c>
      <c r="L650" s="642" t="s">
        <v>12012</v>
      </c>
    </row>
    <row r="651" spans="1:12" ht="37.5" customHeight="1" x14ac:dyDescent="0.2">
      <c r="A651" s="27" t="s">
        <v>4630</v>
      </c>
      <c r="B651" s="8" t="s">
        <v>2487</v>
      </c>
      <c r="C651" s="1441" t="s">
        <v>3957</v>
      </c>
      <c r="D651" s="1442"/>
      <c r="E651" s="8" t="s">
        <v>4701</v>
      </c>
      <c r="F651" s="8"/>
      <c r="G651" s="8"/>
      <c r="H651" s="663"/>
      <c r="I651" s="310">
        <v>37288</v>
      </c>
      <c r="J651" s="20"/>
      <c r="K651" s="251" t="s">
        <v>8074</v>
      </c>
      <c r="L651" s="642" t="s">
        <v>10794</v>
      </c>
    </row>
    <row r="652" spans="1:12" ht="37.5" customHeight="1" x14ac:dyDescent="0.2">
      <c r="A652" s="27" t="s">
        <v>4631</v>
      </c>
      <c r="B652" s="804" t="s">
        <v>323</v>
      </c>
      <c r="C652" s="1428" t="s">
        <v>3957</v>
      </c>
      <c r="D652" s="1429"/>
      <c r="E652" s="804" t="s">
        <v>4702</v>
      </c>
      <c r="F652" s="804"/>
      <c r="G652" s="804"/>
      <c r="H652" s="285"/>
      <c r="I652" s="311">
        <v>37288</v>
      </c>
      <c r="J652" s="62"/>
      <c r="K652" s="802" t="s">
        <v>13820</v>
      </c>
      <c r="L652" s="802" t="s">
        <v>13861</v>
      </c>
    </row>
    <row r="653" spans="1:12" ht="36" customHeight="1" x14ac:dyDescent="0.2">
      <c r="A653" s="27" t="s">
        <v>4632</v>
      </c>
      <c r="B653" s="8" t="s">
        <v>4650</v>
      </c>
      <c r="C653" s="1441" t="s">
        <v>3957</v>
      </c>
      <c r="D653" s="1442"/>
      <c r="E653" s="8" t="s">
        <v>4703</v>
      </c>
      <c r="F653" s="802" t="s">
        <v>13243</v>
      </c>
      <c r="G653" s="687"/>
      <c r="H653" s="802" t="s">
        <v>13244</v>
      </c>
      <c r="I653" s="310">
        <v>1973</v>
      </c>
      <c r="J653" s="20"/>
      <c r="K653" s="8" t="s">
        <v>13820</v>
      </c>
      <c r="L653" s="8" t="s">
        <v>13861</v>
      </c>
    </row>
    <row r="654" spans="1:12" ht="38.25" customHeight="1" x14ac:dyDescent="0.2">
      <c r="A654" s="27" t="s">
        <v>4633</v>
      </c>
      <c r="B654" s="8" t="s">
        <v>4649</v>
      </c>
      <c r="C654" s="1441" t="s">
        <v>3957</v>
      </c>
      <c r="D654" s="1442"/>
      <c r="E654" s="8" t="s">
        <v>4704</v>
      </c>
      <c r="F654" s="8"/>
      <c r="G654" s="8"/>
      <c r="H654" s="663"/>
      <c r="I654" s="310">
        <v>37288</v>
      </c>
      <c r="J654" s="20"/>
      <c r="K654" s="251" t="s">
        <v>8074</v>
      </c>
      <c r="L654" s="642" t="s">
        <v>10794</v>
      </c>
    </row>
    <row r="655" spans="1:12" s="801" customFormat="1" ht="38.25" customHeight="1" x14ac:dyDescent="0.2">
      <c r="A655" s="27" t="s">
        <v>13260</v>
      </c>
      <c r="B655" s="802" t="s">
        <v>13261</v>
      </c>
      <c r="C655" s="1441" t="s">
        <v>3957</v>
      </c>
      <c r="D655" s="1442"/>
      <c r="E655" s="802"/>
      <c r="F655" s="802" t="s">
        <v>13262</v>
      </c>
      <c r="G655" s="802" t="s">
        <v>13263</v>
      </c>
      <c r="H655" s="76" t="s">
        <v>13264</v>
      </c>
      <c r="I655" s="310"/>
      <c r="J655" s="805"/>
      <c r="K655" s="251" t="s">
        <v>8074</v>
      </c>
      <c r="L655" s="820"/>
    </row>
    <row r="656" spans="1:12" ht="33" customHeight="1" x14ac:dyDescent="0.2">
      <c r="A656" s="1434" t="s">
        <v>4634</v>
      </c>
      <c r="B656" s="1286" t="s">
        <v>13969</v>
      </c>
      <c r="C656" s="1504" t="s">
        <v>13970</v>
      </c>
      <c r="D656" s="1504"/>
      <c r="E656" s="12"/>
      <c r="F656" s="8" t="s">
        <v>9686</v>
      </c>
      <c r="G656" s="8"/>
      <c r="H656" s="326" t="s">
        <v>9643</v>
      </c>
      <c r="I656" s="310" t="s">
        <v>4182</v>
      </c>
      <c r="J656" s="20"/>
      <c r="K656" s="1303" t="s">
        <v>13820</v>
      </c>
      <c r="L656" s="1303" t="s">
        <v>13861</v>
      </c>
    </row>
    <row r="657" spans="1:12" ht="11.25" customHeight="1" x14ac:dyDescent="0.2">
      <c r="A657" s="1435"/>
      <c r="B657" s="1288"/>
      <c r="C657" s="1505"/>
      <c r="D657" s="1505"/>
      <c r="E657" s="1428" t="s">
        <v>9647</v>
      </c>
      <c r="F657" s="1462"/>
      <c r="G657" s="1429"/>
      <c r="H657" s="326"/>
      <c r="I657" s="320">
        <v>2017</v>
      </c>
      <c r="J657" s="20"/>
      <c r="K657" s="1304"/>
      <c r="L657" s="1304"/>
    </row>
    <row r="658" spans="1:12" ht="12" customHeight="1" x14ac:dyDescent="0.2">
      <c r="A658" s="27" t="s">
        <v>5241</v>
      </c>
      <c r="B658" s="8" t="s">
        <v>9681</v>
      </c>
      <c r="C658" s="1505"/>
      <c r="D658" s="1505"/>
      <c r="E658" s="12"/>
      <c r="F658" s="8" t="s">
        <v>9684</v>
      </c>
      <c r="G658" s="8" t="s">
        <v>3060</v>
      </c>
      <c r="H658" s="299">
        <f>(3*6)</f>
        <v>18</v>
      </c>
      <c r="I658" s="310"/>
      <c r="J658" s="20"/>
      <c r="K658" s="1304"/>
      <c r="L658" s="1304"/>
    </row>
    <row r="659" spans="1:12" ht="10.5" customHeight="1" x14ac:dyDescent="0.2">
      <c r="A659" s="27" t="s">
        <v>5458</v>
      </c>
      <c r="B659" s="8" t="s">
        <v>9682</v>
      </c>
      <c r="C659" s="1505"/>
      <c r="D659" s="1505"/>
      <c r="E659" s="12"/>
      <c r="F659" s="8" t="s">
        <v>9683</v>
      </c>
      <c r="G659" s="8" t="s">
        <v>3060</v>
      </c>
      <c r="H659" s="299">
        <f>3*6</f>
        <v>18</v>
      </c>
      <c r="I659" s="310"/>
      <c r="J659" s="20"/>
      <c r="K659" s="1304"/>
      <c r="L659" s="1304"/>
    </row>
    <row r="660" spans="1:12" x14ac:dyDescent="0.2">
      <c r="A660" s="27" t="s">
        <v>5459</v>
      </c>
      <c r="B660" s="8" t="s">
        <v>9793</v>
      </c>
      <c r="C660" s="1505"/>
      <c r="D660" s="1505"/>
      <c r="E660" s="8"/>
      <c r="F660" s="8" t="s">
        <v>9685</v>
      </c>
      <c r="G660" s="8" t="s">
        <v>4370</v>
      </c>
      <c r="H660" s="386">
        <v>7.8</v>
      </c>
      <c r="I660" s="310"/>
      <c r="J660" s="20"/>
      <c r="K660" s="1304"/>
      <c r="L660" s="1304"/>
    </row>
    <row r="661" spans="1:12" ht="11.25" customHeight="1" x14ac:dyDescent="0.2">
      <c r="A661" s="27" t="s">
        <v>5461</v>
      </c>
      <c r="B661" s="8" t="s">
        <v>3056</v>
      </c>
      <c r="C661" s="1505"/>
      <c r="D661" s="1505"/>
      <c r="E661" s="12"/>
      <c r="F661" s="8"/>
      <c r="G661" s="8" t="s">
        <v>2249</v>
      </c>
      <c r="H661" s="326" t="s">
        <v>5460</v>
      </c>
      <c r="I661" s="310"/>
      <c r="J661" s="20"/>
      <c r="K661" s="1304"/>
      <c r="L661" s="1304"/>
    </row>
    <row r="662" spans="1:12" x14ac:dyDescent="0.2">
      <c r="A662" s="27" t="s">
        <v>5463</v>
      </c>
      <c r="B662" s="8" t="s">
        <v>5462</v>
      </c>
      <c r="C662" s="1505"/>
      <c r="D662" s="1505"/>
      <c r="E662" s="12"/>
      <c r="F662" s="8"/>
      <c r="G662" s="8" t="s">
        <v>3776</v>
      </c>
      <c r="H662" s="326" t="s">
        <v>5460</v>
      </c>
      <c r="I662" s="310"/>
      <c r="J662" s="20"/>
      <c r="K662" s="1304"/>
      <c r="L662" s="1304"/>
    </row>
    <row r="663" spans="1:12" ht="22.5" x14ac:dyDescent="0.2">
      <c r="A663" s="27" t="s">
        <v>5465</v>
      </c>
      <c r="B663" s="8" t="s">
        <v>5464</v>
      </c>
      <c r="C663" s="1505"/>
      <c r="D663" s="1505"/>
      <c r="E663" s="12"/>
      <c r="F663" s="8"/>
      <c r="G663" s="8" t="s">
        <v>5477</v>
      </c>
      <c r="H663" s="663" t="s">
        <v>9644</v>
      </c>
      <c r="I663" s="310"/>
      <c r="J663" s="20"/>
      <c r="K663" s="1304"/>
      <c r="L663" s="1304"/>
    </row>
    <row r="664" spans="1:12" x14ac:dyDescent="0.2">
      <c r="A664" s="27" t="s">
        <v>5467</v>
      </c>
      <c r="B664" s="8" t="s">
        <v>5466</v>
      </c>
      <c r="C664" s="1505"/>
      <c r="D664" s="1505"/>
      <c r="E664" s="12"/>
      <c r="F664" s="8"/>
      <c r="G664" s="8" t="s">
        <v>5478</v>
      </c>
      <c r="H664" s="663" t="s">
        <v>9790</v>
      </c>
      <c r="I664" s="310"/>
      <c r="J664" s="20"/>
      <c r="K664" s="1304"/>
      <c r="L664" s="1304"/>
    </row>
    <row r="665" spans="1:12" x14ac:dyDescent="0.2">
      <c r="A665" s="27" t="s">
        <v>5469</v>
      </c>
      <c r="B665" s="8" t="s">
        <v>5468</v>
      </c>
      <c r="C665" s="1505"/>
      <c r="D665" s="1505"/>
      <c r="E665" s="12"/>
      <c r="F665" s="8"/>
      <c r="G665" s="8" t="s">
        <v>5477</v>
      </c>
      <c r="H665" s="663" t="s">
        <v>9645</v>
      </c>
      <c r="I665" s="310"/>
      <c r="J665" s="20"/>
      <c r="K665" s="1304"/>
      <c r="L665" s="1304"/>
    </row>
    <row r="666" spans="1:12" ht="22.5" x14ac:dyDescent="0.2">
      <c r="A666" s="27" t="s">
        <v>5470</v>
      </c>
      <c r="B666" s="8" t="s">
        <v>13971</v>
      </c>
      <c r="C666" s="1505"/>
      <c r="D666" s="1505"/>
      <c r="E666" s="12"/>
      <c r="F666" s="8"/>
      <c r="G666" s="8"/>
      <c r="H666" s="326"/>
      <c r="I666" s="310"/>
      <c r="J666" s="20"/>
      <c r="K666" s="1304"/>
      <c r="L666" s="1304"/>
    </row>
    <row r="667" spans="1:12" x14ac:dyDescent="0.2">
      <c r="A667" s="27" t="s">
        <v>9680</v>
      </c>
      <c r="B667" s="8" t="s">
        <v>13972</v>
      </c>
      <c r="C667" s="1506"/>
      <c r="D667" s="1506"/>
      <c r="E667" s="12"/>
      <c r="F667" s="8"/>
      <c r="G667" s="8"/>
      <c r="H667" s="326"/>
      <c r="I667" s="310"/>
      <c r="J667" s="20"/>
      <c r="K667" s="1305"/>
      <c r="L667" s="1305"/>
    </row>
    <row r="668" spans="1:12" ht="38.25" customHeight="1" x14ac:dyDescent="0.2">
      <c r="A668" s="653" t="s">
        <v>5244</v>
      </c>
      <c r="B668" s="647" t="s">
        <v>5245</v>
      </c>
      <c r="C668" s="1422" t="s">
        <v>5580</v>
      </c>
      <c r="D668" s="1436"/>
      <c r="E668" s="12"/>
      <c r="F668" s="8"/>
      <c r="G668" s="8" t="s">
        <v>5493</v>
      </c>
      <c r="H668" s="304">
        <v>26</v>
      </c>
      <c r="I668" s="663" t="s">
        <v>4182</v>
      </c>
      <c r="J668" s="20"/>
      <c r="K668" s="12"/>
      <c r="L668" s="8"/>
    </row>
    <row r="669" spans="1:12" ht="58.5" customHeight="1" x14ac:dyDescent="0.2">
      <c r="A669" s="27" t="s">
        <v>5605</v>
      </c>
      <c r="B669" s="8" t="s">
        <v>5606</v>
      </c>
      <c r="C669" s="1441" t="s">
        <v>5607</v>
      </c>
      <c r="D669" s="1442"/>
      <c r="E669" s="12"/>
      <c r="F669" s="8"/>
      <c r="G669" s="8" t="s">
        <v>5610</v>
      </c>
      <c r="H669" s="320">
        <v>4.46</v>
      </c>
      <c r="I669" s="663" t="s">
        <v>5471</v>
      </c>
      <c r="J669" s="20"/>
      <c r="K669" s="12" t="s">
        <v>32</v>
      </c>
      <c r="L669" s="17" t="s">
        <v>3237</v>
      </c>
    </row>
    <row r="670" spans="1:12" ht="84" customHeight="1" x14ac:dyDescent="0.2">
      <c r="A670" s="27" t="s">
        <v>5939</v>
      </c>
      <c r="B670" s="12" t="s">
        <v>5940</v>
      </c>
      <c r="C670" s="1509" t="s">
        <v>8145</v>
      </c>
      <c r="D670" s="1510"/>
      <c r="E670" s="12"/>
      <c r="F670" s="1298" t="s">
        <v>5942</v>
      </c>
      <c r="G670" s="12"/>
      <c r="H670" s="1507">
        <f>315500</f>
        <v>315500</v>
      </c>
      <c r="I670" s="1502" t="s">
        <v>3267</v>
      </c>
      <c r="J670" s="62"/>
      <c r="K670" s="12" t="s">
        <v>6202</v>
      </c>
      <c r="L670" s="12" t="s">
        <v>6202</v>
      </c>
    </row>
    <row r="671" spans="1:12" ht="111" customHeight="1" x14ac:dyDescent="0.2">
      <c r="A671" s="27" t="s">
        <v>6105</v>
      </c>
      <c r="B671" s="12" t="s">
        <v>5940</v>
      </c>
      <c r="C671" s="1511"/>
      <c r="D671" s="1512"/>
      <c r="E671" s="12"/>
      <c r="F671" s="1299"/>
      <c r="G671" s="12"/>
      <c r="H671" s="1508"/>
      <c r="I671" s="1503"/>
      <c r="J671" s="62"/>
      <c r="K671" s="12" t="s">
        <v>6145</v>
      </c>
      <c r="L671" s="12" t="s">
        <v>6145</v>
      </c>
    </row>
    <row r="672" spans="1:12" ht="34.5" customHeight="1" x14ac:dyDescent="0.2">
      <c r="A672" s="12" t="s">
        <v>7851</v>
      </c>
      <c r="B672" s="8" t="s">
        <v>6772</v>
      </c>
      <c r="C672" s="1441" t="s">
        <v>6771</v>
      </c>
      <c r="D672" s="1442"/>
      <c r="E672" s="12"/>
      <c r="F672" s="8" t="s">
        <v>6770</v>
      </c>
      <c r="G672" s="8"/>
      <c r="H672" s="298">
        <v>14</v>
      </c>
      <c r="I672" s="663"/>
      <c r="J672" s="8"/>
      <c r="K672" s="12"/>
      <c r="L672" s="8"/>
    </row>
    <row r="673" spans="1:13" ht="33.75" customHeight="1" x14ac:dyDescent="0.2">
      <c r="A673" s="27" t="s">
        <v>7852</v>
      </c>
      <c r="B673" s="8" t="s">
        <v>7850</v>
      </c>
      <c r="C673" s="1441" t="s">
        <v>7849</v>
      </c>
      <c r="D673" s="1442"/>
      <c r="E673" s="12"/>
      <c r="F673" s="648" t="s">
        <v>8201</v>
      </c>
      <c r="G673" s="8"/>
      <c r="H673" s="298" t="s">
        <v>7853</v>
      </c>
      <c r="I673" s="663" t="s">
        <v>64</v>
      </c>
      <c r="J673" s="8"/>
      <c r="K673" s="12" t="s">
        <v>13820</v>
      </c>
      <c r="L673" s="8" t="s">
        <v>13861</v>
      </c>
    </row>
    <row r="674" spans="1:13" ht="73.5" customHeight="1" x14ac:dyDescent="0.2">
      <c r="A674" s="27" t="s">
        <v>7960</v>
      </c>
      <c r="B674" s="8" t="s">
        <v>7963</v>
      </c>
      <c r="C674" s="1441" t="s">
        <v>7967</v>
      </c>
      <c r="D674" s="1442"/>
      <c r="E674" s="12"/>
      <c r="F674" s="8" t="s">
        <v>7964</v>
      </c>
      <c r="G674" s="8" t="s">
        <v>7966</v>
      </c>
      <c r="H674" s="663" t="s">
        <v>7965</v>
      </c>
      <c r="I674" s="663" t="s">
        <v>3105</v>
      </c>
      <c r="J674" s="8"/>
      <c r="K674" s="12"/>
      <c r="L674" s="8"/>
    </row>
    <row r="675" spans="1:13" ht="47.25" customHeight="1" x14ac:dyDescent="0.2">
      <c r="A675" s="27" t="s">
        <v>7961</v>
      </c>
      <c r="B675" s="8" t="s">
        <v>8143</v>
      </c>
      <c r="C675" s="1441" t="s">
        <v>7022</v>
      </c>
      <c r="D675" s="1442"/>
      <c r="E675" s="12"/>
      <c r="F675" s="8" t="s">
        <v>8142</v>
      </c>
      <c r="G675" s="8"/>
      <c r="H675" s="663" t="s">
        <v>6769</v>
      </c>
      <c r="I675" s="663" t="s">
        <v>4096</v>
      </c>
      <c r="J675" s="8"/>
      <c r="K675" s="12"/>
      <c r="L675" s="8"/>
    </row>
    <row r="676" spans="1:13" ht="23.25" customHeight="1" x14ac:dyDescent="0.2">
      <c r="A676" s="27" t="s">
        <v>7962</v>
      </c>
      <c r="B676" s="10" t="s">
        <v>8264</v>
      </c>
      <c r="C676" s="1407" t="s">
        <v>8266</v>
      </c>
      <c r="D676" s="1408"/>
      <c r="E676" s="12"/>
      <c r="F676" s="8"/>
      <c r="G676" s="8" t="s">
        <v>8267</v>
      </c>
      <c r="H676" s="663" t="s">
        <v>8265</v>
      </c>
      <c r="I676" s="663" t="s">
        <v>4119</v>
      </c>
      <c r="J676" s="8"/>
      <c r="K676" s="12"/>
      <c r="L676" s="8"/>
    </row>
    <row r="677" spans="1:13" ht="27.75" customHeight="1" x14ac:dyDescent="0.2">
      <c r="A677" s="27" t="s">
        <v>7998</v>
      </c>
      <c r="B677" s="10" t="s">
        <v>9491</v>
      </c>
      <c r="C677" s="1407" t="s">
        <v>9473</v>
      </c>
      <c r="D677" s="1408"/>
      <c r="E677" s="12"/>
      <c r="F677" s="8" t="s">
        <v>9494</v>
      </c>
      <c r="G677" s="8" t="s">
        <v>9474</v>
      </c>
      <c r="H677" s="663" t="s">
        <v>3225</v>
      </c>
      <c r="I677" s="663" t="s">
        <v>8262</v>
      </c>
      <c r="J677" s="8"/>
      <c r="K677" s="12"/>
      <c r="L677" s="8"/>
      <c r="M677" s="332"/>
    </row>
    <row r="678" spans="1:13" ht="61.5" customHeight="1" x14ac:dyDescent="0.2">
      <c r="A678" s="27" t="s">
        <v>7999</v>
      </c>
      <c r="B678" s="10" t="s">
        <v>9816</v>
      </c>
      <c r="C678" s="1407" t="s">
        <v>9473</v>
      </c>
      <c r="D678" s="1408"/>
      <c r="E678" s="12"/>
      <c r="F678" s="8"/>
      <c r="G678" s="8"/>
      <c r="H678" s="663" t="s">
        <v>9817</v>
      </c>
      <c r="I678" s="663" t="s">
        <v>8262</v>
      </c>
      <c r="J678" s="8"/>
      <c r="K678" s="642" t="s">
        <v>88</v>
      </c>
      <c r="L678" s="642" t="s">
        <v>88</v>
      </c>
      <c r="M678" s="246"/>
    </row>
    <row r="679" spans="1:13" ht="57.75" customHeight="1" x14ac:dyDescent="0.2">
      <c r="A679" s="11" t="s">
        <v>8000</v>
      </c>
      <c r="B679" s="11" t="s">
        <v>9490</v>
      </c>
      <c r="C679" s="1399" t="s">
        <v>9495</v>
      </c>
      <c r="D679" s="1400"/>
      <c r="E679" s="8"/>
      <c r="F679" s="345" t="s">
        <v>9584</v>
      </c>
      <c r="G679" s="8" t="s">
        <v>9496</v>
      </c>
      <c r="H679" s="148">
        <v>1693</v>
      </c>
      <c r="I679" s="8" t="s">
        <v>481</v>
      </c>
      <c r="J679" s="8"/>
      <c r="K679" s="642" t="s">
        <v>8192</v>
      </c>
      <c r="L679" s="642" t="s">
        <v>8192</v>
      </c>
    </row>
    <row r="680" spans="1:13" ht="57.75" customHeight="1" x14ac:dyDescent="0.2">
      <c r="A680" s="11" t="s">
        <v>12560</v>
      </c>
      <c r="B680" s="11" t="s">
        <v>11551</v>
      </c>
      <c r="C680" s="1399" t="s">
        <v>11552</v>
      </c>
      <c r="D680" s="1400"/>
      <c r="E680" s="8"/>
      <c r="F680" s="345"/>
      <c r="G680" s="8" t="s">
        <v>12561</v>
      </c>
      <c r="H680" s="148">
        <f>30*60</f>
        <v>1800</v>
      </c>
      <c r="I680" s="8" t="s">
        <v>10543</v>
      </c>
      <c r="J680" s="8"/>
      <c r="K680" s="642" t="s">
        <v>8192</v>
      </c>
      <c r="L680" s="642"/>
    </row>
    <row r="681" spans="1:13" ht="57" customHeight="1" x14ac:dyDescent="0.2">
      <c r="A681" s="10" t="s">
        <v>8001</v>
      </c>
      <c r="B681" s="10" t="s">
        <v>9813</v>
      </c>
      <c r="C681" s="1407" t="s">
        <v>9829</v>
      </c>
      <c r="D681" s="1408"/>
      <c r="E681" s="12"/>
      <c r="F681" s="8"/>
      <c r="G681" s="8" t="s">
        <v>9814</v>
      </c>
      <c r="H681" s="663" t="s">
        <v>9815</v>
      </c>
      <c r="I681" s="663" t="s">
        <v>3366</v>
      </c>
      <c r="J681" s="8"/>
      <c r="K681" s="642" t="s">
        <v>3774</v>
      </c>
      <c r="L681" s="8"/>
    </row>
    <row r="682" spans="1:13" ht="59.25" customHeight="1" x14ac:dyDescent="0.2">
      <c r="A682" s="27" t="s">
        <v>8002</v>
      </c>
      <c r="B682" s="10" t="s">
        <v>9830</v>
      </c>
      <c r="C682" s="1407" t="s">
        <v>6209</v>
      </c>
      <c r="D682" s="1408"/>
      <c r="E682" s="12"/>
      <c r="F682" s="648" t="s">
        <v>9882</v>
      </c>
      <c r="G682" s="8" t="s">
        <v>9814</v>
      </c>
      <c r="H682" s="304">
        <f>5.82*2.8</f>
        <v>16.295999999999999</v>
      </c>
      <c r="I682" s="663" t="s">
        <v>3366</v>
      </c>
      <c r="J682" s="8"/>
      <c r="K682" s="642" t="s">
        <v>87</v>
      </c>
      <c r="L682" s="8" t="s">
        <v>10205</v>
      </c>
    </row>
    <row r="683" spans="1:13" ht="58.5" customHeight="1" x14ac:dyDescent="0.2">
      <c r="A683" s="27" t="s">
        <v>8003</v>
      </c>
      <c r="B683" s="10" t="s">
        <v>9831</v>
      </c>
      <c r="C683" s="1407" t="s">
        <v>9828</v>
      </c>
      <c r="D683" s="1408"/>
      <c r="E683" s="12"/>
      <c r="F683" s="648" t="s">
        <v>9880</v>
      </c>
      <c r="G683" s="8"/>
      <c r="H683" s="304">
        <f>5.82*2.8</f>
        <v>16.295999999999999</v>
      </c>
      <c r="I683" s="663">
        <v>2013</v>
      </c>
      <c r="J683" s="8"/>
      <c r="K683" s="642" t="s">
        <v>87</v>
      </c>
      <c r="L683" s="8" t="s">
        <v>10205</v>
      </c>
    </row>
    <row r="684" spans="1:13" ht="52.5" customHeight="1" x14ac:dyDescent="0.2">
      <c r="A684" s="10" t="s">
        <v>8004</v>
      </c>
      <c r="B684" s="10" t="s">
        <v>9804</v>
      </c>
      <c r="C684" s="1407" t="s">
        <v>9801</v>
      </c>
      <c r="D684" s="1408"/>
      <c r="E684" s="12"/>
      <c r="F684" s="8" t="s">
        <v>9802</v>
      </c>
      <c r="G684" s="8"/>
      <c r="H684" s="663" t="s">
        <v>9803</v>
      </c>
      <c r="I684" s="663" t="s">
        <v>5423</v>
      </c>
      <c r="J684" s="20"/>
      <c r="K684" s="12"/>
      <c r="L684" s="8"/>
    </row>
    <row r="685" spans="1:13" s="5" customFormat="1" ht="39" customHeight="1" x14ac:dyDescent="0.2">
      <c r="A685" s="27" t="s">
        <v>9812</v>
      </c>
      <c r="B685" s="10" t="s">
        <v>9919</v>
      </c>
      <c r="C685" s="1428" t="s">
        <v>9923</v>
      </c>
      <c r="D685" s="1429"/>
      <c r="E685" s="12"/>
      <c r="F685" s="648" t="s">
        <v>9954</v>
      </c>
      <c r="G685" s="12" t="s">
        <v>9833</v>
      </c>
      <c r="H685" s="321">
        <v>5</v>
      </c>
      <c r="I685" s="285"/>
      <c r="J685" s="62"/>
      <c r="K685" s="12"/>
      <c r="L685" s="12"/>
    </row>
    <row r="686" spans="1:13" ht="57" customHeight="1" x14ac:dyDescent="0.2">
      <c r="A686" s="10" t="s">
        <v>10146</v>
      </c>
      <c r="B686" s="10" t="s">
        <v>10147</v>
      </c>
      <c r="C686" s="1407" t="s">
        <v>5228</v>
      </c>
      <c r="D686" s="1408"/>
      <c r="E686" s="12"/>
      <c r="F686" s="648" t="s">
        <v>10148</v>
      </c>
      <c r="G686" s="8" t="s">
        <v>10149</v>
      </c>
      <c r="H686" s="385">
        <v>4081</v>
      </c>
      <c r="I686" s="320">
        <v>1980</v>
      </c>
      <c r="J686" s="148"/>
      <c r="K686" s="8" t="s">
        <v>3046</v>
      </c>
      <c r="L686" s="642" t="s">
        <v>10206</v>
      </c>
    </row>
    <row r="687" spans="1:13" ht="56.25" x14ac:dyDescent="0.2">
      <c r="A687" s="27" t="s">
        <v>10150</v>
      </c>
      <c r="B687" s="10" t="s">
        <v>10151</v>
      </c>
      <c r="C687" s="1428" t="s">
        <v>10152</v>
      </c>
      <c r="D687" s="1429"/>
      <c r="E687" s="12"/>
      <c r="F687" s="648" t="s">
        <v>10153</v>
      </c>
      <c r="G687" s="12"/>
      <c r="H687" s="385">
        <v>365</v>
      </c>
      <c r="I687" s="518"/>
      <c r="J687" s="385"/>
      <c r="K687" s="251" t="s">
        <v>8074</v>
      </c>
      <c r="L687" s="642" t="s">
        <v>10803</v>
      </c>
    </row>
    <row r="688" spans="1:13" ht="38.25" customHeight="1" x14ac:dyDescent="0.2">
      <c r="A688" s="10" t="s">
        <v>10154</v>
      </c>
      <c r="B688" s="10" t="s">
        <v>10155</v>
      </c>
      <c r="C688" s="1428" t="s">
        <v>10156</v>
      </c>
      <c r="D688" s="1429"/>
      <c r="E688" s="12"/>
      <c r="F688" s="648" t="s">
        <v>10157</v>
      </c>
      <c r="G688" s="12"/>
      <c r="H688" s="519">
        <v>18.100000000000001</v>
      </c>
      <c r="I688" s="322">
        <v>1953</v>
      </c>
      <c r="J688" s="385"/>
      <c r="K688" s="251" t="s">
        <v>8074</v>
      </c>
      <c r="L688" s="642" t="s">
        <v>10803</v>
      </c>
    </row>
    <row r="689" spans="1:12" ht="35.25" customHeight="1" x14ac:dyDescent="0.2">
      <c r="A689" s="27" t="s">
        <v>10158</v>
      </c>
      <c r="B689" s="10" t="s">
        <v>10155</v>
      </c>
      <c r="C689" s="1428" t="s">
        <v>10156</v>
      </c>
      <c r="D689" s="1429"/>
      <c r="E689" s="12"/>
      <c r="F689" s="648" t="s">
        <v>10159</v>
      </c>
      <c r="G689" s="12"/>
      <c r="H689" s="519">
        <v>84.3</v>
      </c>
      <c r="I689" s="322">
        <v>1953</v>
      </c>
      <c r="J689" s="385"/>
      <c r="K689" s="251" t="s">
        <v>8074</v>
      </c>
      <c r="L689" s="642" t="s">
        <v>10803</v>
      </c>
    </row>
    <row r="690" spans="1:12" ht="33.75" x14ac:dyDescent="0.2">
      <c r="A690" s="10" t="s">
        <v>10160</v>
      </c>
      <c r="B690" s="10" t="s">
        <v>9492</v>
      </c>
      <c r="C690" s="1407" t="s">
        <v>9489</v>
      </c>
      <c r="D690" s="1408"/>
      <c r="E690" s="12"/>
      <c r="F690" s="648" t="s">
        <v>9500</v>
      </c>
      <c r="G690" s="8" t="s">
        <v>9498</v>
      </c>
      <c r="H690" s="8" t="s">
        <v>9493</v>
      </c>
      <c r="I690" s="663" t="s">
        <v>159</v>
      </c>
      <c r="J690" s="344"/>
      <c r="K690" s="251" t="s">
        <v>8074</v>
      </c>
      <c r="L690" s="8"/>
    </row>
    <row r="691" spans="1:12" x14ac:dyDescent="0.2">
      <c r="A691" s="27" t="s">
        <v>10161</v>
      </c>
      <c r="B691" s="10" t="s">
        <v>10162</v>
      </c>
      <c r="C691" s="1407" t="s">
        <v>10163</v>
      </c>
      <c r="D691" s="1408"/>
      <c r="E691" s="12"/>
      <c r="F691" s="648" t="s">
        <v>10164</v>
      </c>
      <c r="G691" s="8"/>
      <c r="H691" s="8" t="s">
        <v>10165</v>
      </c>
      <c r="I691" s="663">
        <v>1985</v>
      </c>
      <c r="J691" s="344"/>
      <c r="K691" s="344"/>
      <c r="L691" s="20"/>
    </row>
    <row r="692" spans="1:12" ht="22.5" x14ac:dyDescent="0.2">
      <c r="A692" s="27" t="s">
        <v>10166</v>
      </c>
      <c r="B692" s="10" t="s">
        <v>10167</v>
      </c>
      <c r="C692" s="1407" t="s">
        <v>10163</v>
      </c>
      <c r="D692" s="1408"/>
      <c r="E692" s="12"/>
      <c r="F692" s="648" t="s">
        <v>10168</v>
      </c>
      <c r="G692" s="8"/>
      <c r="H692" s="8" t="s">
        <v>10165</v>
      </c>
      <c r="I692" s="663" t="s">
        <v>76</v>
      </c>
      <c r="J692" s="344"/>
      <c r="K692" s="344"/>
      <c r="L692" s="20"/>
    </row>
    <row r="693" spans="1:12" x14ac:dyDescent="0.2">
      <c r="A693" s="27" t="s">
        <v>10169</v>
      </c>
      <c r="B693" s="10" t="s">
        <v>10170</v>
      </c>
      <c r="C693" s="1407" t="s">
        <v>10163</v>
      </c>
      <c r="D693" s="1408"/>
      <c r="E693" s="12"/>
      <c r="F693" s="648" t="s">
        <v>10171</v>
      </c>
      <c r="G693" s="8"/>
      <c r="H693" s="8" t="s">
        <v>10172</v>
      </c>
      <c r="I693" s="663" t="s">
        <v>2658</v>
      </c>
      <c r="J693" s="344"/>
      <c r="K693" s="344"/>
      <c r="L693" s="20"/>
    </row>
    <row r="694" spans="1:12" x14ac:dyDescent="0.2">
      <c r="A694" s="27" t="s">
        <v>10173</v>
      </c>
      <c r="B694" s="10" t="s">
        <v>10174</v>
      </c>
      <c r="C694" s="1407" t="s">
        <v>10163</v>
      </c>
      <c r="D694" s="1408"/>
      <c r="E694" s="12"/>
      <c r="F694" s="648" t="s">
        <v>10175</v>
      </c>
      <c r="G694" s="8"/>
      <c r="H694" s="8" t="s">
        <v>10176</v>
      </c>
      <c r="I694" s="663" t="s">
        <v>3393</v>
      </c>
      <c r="J694" s="344"/>
      <c r="K694" s="344"/>
      <c r="L694" s="20"/>
    </row>
    <row r="695" spans="1:12" x14ac:dyDescent="0.2">
      <c r="A695" s="27" t="s">
        <v>10177</v>
      </c>
      <c r="B695" s="10" t="s">
        <v>10178</v>
      </c>
      <c r="C695" s="1407" t="s">
        <v>10163</v>
      </c>
      <c r="D695" s="1408"/>
      <c r="E695" s="12"/>
      <c r="F695" s="648" t="s">
        <v>10179</v>
      </c>
      <c r="G695" s="8"/>
      <c r="H695" s="8" t="s">
        <v>3161</v>
      </c>
      <c r="I695" s="663" t="s">
        <v>64</v>
      </c>
      <c r="J695" s="344"/>
      <c r="K695" s="344"/>
      <c r="L695" s="20"/>
    </row>
    <row r="696" spans="1:12" x14ac:dyDescent="0.2">
      <c r="A696" s="27" t="s">
        <v>10180</v>
      </c>
      <c r="B696" s="10" t="s">
        <v>10181</v>
      </c>
      <c r="C696" s="1407" t="s">
        <v>10163</v>
      </c>
      <c r="D696" s="1408"/>
      <c r="E696" s="12"/>
      <c r="F696" s="648" t="s">
        <v>10182</v>
      </c>
      <c r="G696" s="8"/>
      <c r="H696" s="8" t="s">
        <v>10183</v>
      </c>
      <c r="I696" s="663" t="s">
        <v>82</v>
      </c>
      <c r="J696" s="344"/>
      <c r="K696" s="344"/>
      <c r="L696" s="20"/>
    </row>
    <row r="697" spans="1:12" x14ac:dyDescent="0.2">
      <c r="A697" s="27" t="s">
        <v>10184</v>
      </c>
      <c r="B697" s="10" t="s">
        <v>10185</v>
      </c>
      <c r="C697" s="1407" t="s">
        <v>10163</v>
      </c>
      <c r="D697" s="1408"/>
      <c r="E697" s="12"/>
      <c r="F697" s="648" t="s">
        <v>10186</v>
      </c>
      <c r="G697" s="8"/>
      <c r="H697" s="8" t="s">
        <v>3161</v>
      </c>
      <c r="I697" s="663" t="s">
        <v>2711</v>
      </c>
      <c r="J697" s="344"/>
      <c r="K697" s="344"/>
      <c r="L697" s="20"/>
    </row>
    <row r="698" spans="1:12" x14ac:dyDescent="0.2">
      <c r="A698" s="27" t="s">
        <v>10187</v>
      </c>
      <c r="B698" s="10" t="s">
        <v>10188</v>
      </c>
      <c r="C698" s="1407" t="s">
        <v>10163</v>
      </c>
      <c r="D698" s="1408"/>
      <c r="E698" s="12"/>
      <c r="F698" s="648" t="s">
        <v>10189</v>
      </c>
      <c r="G698" s="8"/>
      <c r="H698" s="8" t="s">
        <v>10190</v>
      </c>
      <c r="I698" s="663" t="s">
        <v>488</v>
      </c>
      <c r="J698" s="344"/>
      <c r="K698" s="344"/>
      <c r="L698" s="20"/>
    </row>
    <row r="699" spans="1:12" x14ac:dyDescent="0.2">
      <c r="A699" s="27" t="s">
        <v>10191</v>
      </c>
      <c r="B699" s="10" t="s">
        <v>10192</v>
      </c>
      <c r="C699" s="1407" t="s">
        <v>10163</v>
      </c>
      <c r="D699" s="1408"/>
      <c r="E699" s="12"/>
      <c r="F699" s="648" t="s">
        <v>10193</v>
      </c>
      <c r="G699" s="8"/>
      <c r="H699" s="8" t="s">
        <v>10194</v>
      </c>
      <c r="I699" s="663" t="s">
        <v>2657</v>
      </c>
      <c r="J699" s="344"/>
      <c r="K699" s="344"/>
      <c r="L699" s="20"/>
    </row>
    <row r="700" spans="1:12" x14ac:dyDescent="0.2">
      <c r="A700" s="27" t="s">
        <v>10195</v>
      </c>
      <c r="B700" s="10" t="s">
        <v>10196</v>
      </c>
      <c r="C700" s="1407" t="s">
        <v>10163</v>
      </c>
      <c r="D700" s="1408"/>
      <c r="E700" s="12"/>
      <c r="F700" s="648" t="s">
        <v>10197</v>
      </c>
      <c r="G700" s="8"/>
      <c r="H700" s="8" t="s">
        <v>10165</v>
      </c>
      <c r="I700" s="663" t="s">
        <v>76</v>
      </c>
      <c r="J700" s="344"/>
      <c r="K700" s="344"/>
      <c r="L700" s="20"/>
    </row>
    <row r="701" spans="1:12" x14ac:dyDescent="0.2">
      <c r="A701" s="27" t="s">
        <v>10198</v>
      </c>
      <c r="B701" s="10" t="s">
        <v>10199</v>
      </c>
      <c r="C701" s="1407" t="s">
        <v>10163</v>
      </c>
      <c r="D701" s="1408"/>
      <c r="E701" s="12"/>
      <c r="F701" s="648" t="s">
        <v>10200</v>
      </c>
      <c r="G701" s="8"/>
      <c r="H701" s="8" t="s">
        <v>10201</v>
      </c>
      <c r="I701" s="663" t="s">
        <v>62</v>
      </c>
      <c r="J701" s="344"/>
      <c r="K701" s="344"/>
      <c r="L701" s="20"/>
    </row>
    <row r="702" spans="1:12" x14ac:dyDescent="0.2">
      <c r="A702" s="27" t="s">
        <v>10202</v>
      </c>
      <c r="B702" s="10" t="s">
        <v>10203</v>
      </c>
      <c r="C702" s="1407" t="s">
        <v>10163</v>
      </c>
      <c r="D702" s="1408"/>
      <c r="E702" s="12"/>
      <c r="F702" s="648" t="s">
        <v>10204</v>
      </c>
      <c r="G702" s="8"/>
      <c r="H702" s="8" t="s">
        <v>3161</v>
      </c>
      <c r="I702" s="663" t="s">
        <v>76</v>
      </c>
      <c r="J702" s="344"/>
      <c r="K702" s="344"/>
      <c r="L702" s="20"/>
    </row>
    <row r="703" spans="1:12" ht="48" customHeight="1" x14ac:dyDescent="0.2">
      <c r="A703" s="27" t="s">
        <v>10960</v>
      </c>
      <c r="B703" s="10" t="s">
        <v>10961</v>
      </c>
      <c r="C703" s="1407" t="s">
        <v>10962</v>
      </c>
      <c r="D703" s="1408"/>
      <c r="E703" s="12"/>
      <c r="F703" s="8"/>
      <c r="G703" s="8"/>
      <c r="H703" s="663"/>
      <c r="I703" s="663"/>
      <c r="J703" s="8"/>
      <c r="K703" s="1303" t="s">
        <v>3774</v>
      </c>
      <c r="L703" s="8"/>
    </row>
    <row r="704" spans="1:12" ht="27" customHeight="1" x14ac:dyDescent="0.2">
      <c r="A704" s="27" t="s">
        <v>10963</v>
      </c>
      <c r="B704" s="10" t="s">
        <v>10964</v>
      </c>
      <c r="C704" s="1407" t="s">
        <v>5994</v>
      </c>
      <c r="D704" s="1408"/>
      <c r="E704" s="12"/>
      <c r="F704" s="8"/>
      <c r="G704" s="8"/>
      <c r="H704" s="663"/>
      <c r="I704" s="663"/>
      <c r="J704" s="8"/>
      <c r="K704" s="1305"/>
      <c r="L704" s="8"/>
    </row>
    <row r="705" spans="1:12" ht="25.5" customHeight="1" x14ac:dyDescent="0.2">
      <c r="A705" s="686" t="s">
        <v>13227</v>
      </c>
      <c r="B705" s="11" t="s">
        <v>13228</v>
      </c>
      <c r="C705" s="1399" t="s">
        <v>5227</v>
      </c>
      <c r="D705" s="1400"/>
      <c r="E705" s="8"/>
      <c r="F705" s="345"/>
      <c r="G705" s="8"/>
      <c r="H705" s="8" t="s">
        <v>4393</v>
      </c>
      <c r="I705" s="8" t="s">
        <v>13238</v>
      </c>
      <c r="J705" s="706">
        <v>599940</v>
      </c>
      <c r="K705" s="12"/>
      <c r="L705" s="8"/>
    </row>
    <row r="706" spans="1:12" ht="24" customHeight="1" x14ac:dyDescent="0.2">
      <c r="A706" s="686" t="s">
        <v>13229</v>
      </c>
      <c r="B706" s="11" t="s">
        <v>13230</v>
      </c>
      <c r="C706" s="1399" t="s">
        <v>8145</v>
      </c>
      <c r="D706" s="1400"/>
      <c r="E706" s="8"/>
      <c r="F706" s="345"/>
      <c r="G706" s="8"/>
      <c r="H706" s="8"/>
      <c r="I706" s="8" t="s">
        <v>8262</v>
      </c>
      <c r="J706" s="706">
        <v>997983</v>
      </c>
      <c r="K706" s="12"/>
      <c r="L706" s="8"/>
    </row>
    <row r="707" spans="1:12" s="801" customFormat="1" ht="48" customHeight="1" x14ac:dyDescent="0.2">
      <c r="A707" s="686" t="s">
        <v>13231</v>
      </c>
      <c r="B707" s="11" t="s">
        <v>13232</v>
      </c>
      <c r="C707" s="1399" t="s">
        <v>13233</v>
      </c>
      <c r="D707" s="1400"/>
      <c r="E707" s="802"/>
      <c r="F707" s="345" t="s">
        <v>13254</v>
      </c>
      <c r="G707" s="802"/>
      <c r="H707" s="829">
        <v>57.6</v>
      </c>
      <c r="I707" s="824"/>
      <c r="J707" s="802"/>
      <c r="K707" s="251" t="s">
        <v>8074</v>
      </c>
      <c r="L707" s="802" t="s">
        <v>13979</v>
      </c>
    </row>
    <row r="708" spans="1:12" s="801" customFormat="1" ht="48.75" customHeight="1" x14ac:dyDescent="0.2">
      <c r="A708" s="686" t="s">
        <v>13234</v>
      </c>
      <c r="B708" s="11" t="s">
        <v>13235</v>
      </c>
      <c r="C708" s="1399" t="s">
        <v>13236</v>
      </c>
      <c r="D708" s="1400"/>
      <c r="E708" s="802"/>
      <c r="F708" s="345" t="s">
        <v>13255</v>
      </c>
      <c r="G708" s="802"/>
      <c r="H708" s="802" t="s">
        <v>13237</v>
      </c>
      <c r="I708" s="824"/>
      <c r="J708" s="802"/>
      <c r="K708" s="251" t="s">
        <v>8074</v>
      </c>
      <c r="L708" s="802"/>
    </row>
    <row r="709" spans="1:12" ht="47.25" customHeight="1" x14ac:dyDescent="0.2">
      <c r="A709" s="686" t="s">
        <v>13973</v>
      </c>
      <c r="B709" s="11" t="s">
        <v>13974</v>
      </c>
      <c r="C709" s="1399" t="s">
        <v>13975</v>
      </c>
      <c r="D709" s="1400"/>
      <c r="E709" s="802"/>
      <c r="F709" s="345" t="s">
        <v>13976</v>
      </c>
      <c r="G709" s="802"/>
      <c r="H709" s="802" t="s">
        <v>13237</v>
      </c>
      <c r="I709" s="824" t="s">
        <v>13977</v>
      </c>
      <c r="J709" s="802"/>
      <c r="K709" s="251" t="s">
        <v>13978</v>
      </c>
      <c r="L709" s="802"/>
    </row>
    <row r="710" spans="1:12" ht="56.25" customHeight="1" x14ac:dyDescent="0.2">
      <c r="A710" s="1133" t="s">
        <v>15338</v>
      </c>
      <c r="B710" s="869" t="s">
        <v>15342</v>
      </c>
      <c r="C710" s="1395" t="s">
        <v>15346</v>
      </c>
      <c r="D710" s="1396"/>
      <c r="E710" s="804"/>
      <c r="F710" s="869" t="s">
        <v>15350</v>
      </c>
      <c r="G710" s="802"/>
      <c r="H710" s="1124"/>
      <c r="I710" s="1124"/>
      <c r="J710" s="802"/>
      <c r="K710" s="804"/>
      <c r="L710" s="802"/>
    </row>
    <row r="711" spans="1:12" ht="67.5" customHeight="1" x14ac:dyDescent="0.2">
      <c r="A711" s="1125" t="s">
        <v>15339</v>
      </c>
      <c r="B711" s="869" t="s">
        <v>15343</v>
      </c>
      <c r="C711" s="1395" t="s">
        <v>15347</v>
      </c>
      <c r="D711" s="1396"/>
      <c r="E711" s="804"/>
      <c r="F711" s="869" t="s">
        <v>15351</v>
      </c>
      <c r="G711" s="802"/>
      <c r="H711" s="1124" t="s">
        <v>15364</v>
      </c>
      <c r="I711" s="1124"/>
      <c r="J711" s="1531" t="s">
        <v>15365</v>
      </c>
      <c r="K711" s="804" t="s">
        <v>13820</v>
      </c>
      <c r="L711" s="802"/>
    </row>
    <row r="712" spans="1:12" ht="67.5" customHeight="1" x14ac:dyDescent="0.2">
      <c r="A712" s="1133" t="s">
        <v>15340</v>
      </c>
      <c r="B712" s="1134" t="s">
        <v>15344</v>
      </c>
      <c r="C712" s="1397" t="s">
        <v>15348</v>
      </c>
      <c r="D712" s="1398"/>
      <c r="E712" s="804"/>
      <c r="F712" s="869" t="s">
        <v>15352</v>
      </c>
      <c r="G712" s="802"/>
      <c r="H712" s="1124" t="s">
        <v>15363</v>
      </c>
      <c r="I712" s="1124"/>
      <c r="J712" s="802"/>
      <c r="K712" s="804"/>
      <c r="L712" s="802"/>
    </row>
    <row r="713" spans="1:12" ht="96" customHeight="1" x14ac:dyDescent="0.2">
      <c r="A713" s="1133" t="s">
        <v>15367</v>
      </c>
      <c r="B713" s="1134" t="s">
        <v>15366</v>
      </c>
      <c r="C713" s="1498" t="s">
        <v>15368</v>
      </c>
      <c r="D713" s="1499"/>
      <c r="E713" s="804"/>
      <c r="F713" s="869" t="s">
        <v>15369</v>
      </c>
      <c r="G713" s="802"/>
      <c r="H713" s="872" t="s">
        <v>15370</v>
      </c>
      <c r="I713" s="1124" t="s">
        <v>15371</v>
      </c>
      <c r="J713" s="802"/>
      <c r="K713" s="804"/>
      <c r="L713" s="802"/>
    </row>
    <row r="714" spans="1:12" x14ac:dyDescent="0.2">
      <c r="A714" s="1533"/>
      <c r="B714" s="1134"/>
      <c r="C714" s="1397"/>
      <c r="D714" s="1398"/>
      <c r="E714" s="804"/>
      <c r="F714" s="869"/>
      <c r="G714" s="802"/>
      <c r="H714" s="1124"/>
      <c r="I714" s="1124"/>
      <c r="J714" s="802"/>
      <c r="K714" s="804"/>
      <c r="L714" s="802"/>
    </row>
    <row r="715" spans="1:12" s="801" customFormat="1" x14ac:dyDescent="0.2">
      <c r="A715" s="1533"/>
      <c r="B715" s="1134"/>
      <c r="C715" s="1397"/>
      <c r="D715" s="1398"/>
      <c r="E715" s="804"/>
      <c r="F715" s="869"/>
      <c r="G715" s="802"/>
      <c r="H715" s="1144"/>
      <c r="I715" s="1144"/>
      <c r="J715" s="802"/>
      <c r="K715" s="804"/>
      <c r="L715" s="802"/>
    </row>
    <row r="716" spans="1:12" s="801" customFormat="1" x14ac:dyDescent="0.2">
      <c r="A716" s="1533"/>
      <c r="B716" s="1134"/>
      <c r="C716" s="1397"/>
      <c r="D716" s="1398"/>
      <c r="E716" s="804"/>
      <c r="F716" s="869"/>
      <c r="G716" s="802"/>
      <c r="H716" s="1144"/>
      <c r="I716" s="1144"/>
      <c r="J716" s="802"/>
      <c r="K716" s="804"/>
      <c r="L716" s="802"/>
    </row>
    <row r="717" spans="1:12" s="801" customFormat="1" x14ac:dyDescent="0.2">
      <c r="A717" s="802"/>
      <c r="B717" s="802"/>
      <c r="C717" s="1498"/>
      <c r="D717" s="1499"/>
      <c r="E717" s="804"/>
      <c r="F717" s="802"/>
      <c r="G717" s="802"/>
      <c r="H717" s="1144"/>
      <c r="I717" s="1144"/>
      <c r="J717" s="802"/>
      <c r="K717" s="804"/>
      <c r="L717" s="802"/>
    </row>
    <row r="718" spans="1:12" s="801" customFormat="1" x14ac:dyDescent="0.2">
      <c r="A718" s="802"/>
      <c r="B718" s="802"/>
      <c r="C718" s="1498"/>
      <c r="D718" s="1499"/>
      <c r="E718" s="804"/>
      <c r="F718" s="802"/>
      <c r="G718" s="802"/>
      <c r="H718" s="1144"/>
      <c r="I718" s="1144"/>
      <c r="J718" s="802"/>
      <c r="K718" s="804"/>
      <c r="L718" s="802"/>
    </row>
  </sheetData>
  <sheetProtection selectLockedCells="1" selectUnlockedCells="1"/>
  <mergeCells count="727">
    <mergeCell ref="C713:D713"/>
    <mergeCell ref="C714:D714"/>
    <mergeCell ref="C715:D715"/>
    <mergeCell ref="C716:D716"/>
    <mergeCell ref="C717:D717"/>
    <mergeCell ref="C718:D718"/>
    <mergeCell ref="E445:F445"/>
    <mergeCell ref="G465:H465"/>
    <mergeCell ref="F478:F479"/>
    <mergeCell ref="G480:H480"/>
    <mergeCell ref="G478:H478"/>
    <mergeCell ref="A401:A402"/>
    <mergeCell ref="C442:D442"/>
    <mergeCell ref="K425:K428"/>
    <mergeCell ref="I395:I408"/>
    <mergeCell ref="C450:D452"/>
    <mergeCell ref="C453:D453"/>
    <mergeCell ref="C454:D458"/>
    <mergeCell ref="C460:D460"/>
    <mergeCell ref="C448:D448"/>
    <mergeCell ref="C461:D461"/>
    <mergeCell ref="K478:K479"/>
    <mergeCell ref="E446:F446"/>
    <mergeCell ref="E444:F444"/>
    <mergeCell ref="C417:D417"/>
    <mergeCell ref="C424:D424"/>
    <mergeCell ref="C419:D419"/>
    <mergeCell ref="C441:D441"/>
    <mergeCell ref="A411:A412"/>
    <mergeCell ref="E153:G153"/>
    <mergeCell ref="A154:A155"/>
    <mergeCell ref="E155:G155"/>
    <mergeCell ref="B154:B155"/>
    <mergeCell ref="C154:D155"/>
    <mergeCell ref="E154:G154"/>
    <mergeCell ref="C152:D153"/>
    <mergeCell ref="C165:D165"/>
    <mergeCell ref="C439:D439"/>
    <mergeCell ref="C378:D380"/>
    <mergeCell ref="C298:D299"/>
    <mergeCell ref="E313:F313"/>
    <mergeCell ref="C286:D286"/>
    <mergeCell ref="A281:A282"/>
    <mergeCell ref="C204:D204"/>
    <mergeCell ref="C200:D200"/>
    <mergeCell ref="C276:D276"/>
    <mergeCell ref="C260:D260"/>
    <mergeCell ref="E369:F369"/>
    <mergeCell ref="A252:A253"/>
    <mergeCell ref="A250:A251"/>
    <mergeCell ref="C221:D221"/>
    <mergeCell ref="C232:D232"/>
    <mergeCell ref="C219:D219"/>
    <mergeCell ref="L550:L579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C561:D561"/>
    <mergeCell ref="C562:D562"/>
    <mergeCell ref="C563:D563"/>
    <mergeCell ref="C577:D577"/>
    <mergeCell ref="K550:K579"/>
    <mergeCell ref="C564:D564"/>
    <mergeCell ref="C565:D565"/>
    <mergeCell ref="C566:D566"/>
    <mergeCell ref="C572:D572"/>
    <mergeCell ref="C578:D578"/>
    <mergeCell ref="C579:D579"/>
    <mergeCell ref="C705:D705"/>
    <mergeCell ref="C706:D706"/>
    <mergeCell ref="C707:D707"/>
    <mergeCell ref="C708:D708"/>
    <mergeCell ref="C703:D703"/>
    <mergeCell ref="C704:D704"/>
    <mergeCell ref="K703:K704"/>
    <mergeCell ref="C689:D689"/>
    <mergeCell ref="C690:D690"/>
    <mergeCell ref="C691:D691"/>
    <mergeCell ref="C699:D699"/>
    <mergeCell ref="C700:D700"/>
    <mergeCell ref="C701:D701"/>
    <mergeCell ref="C702:D702"/>
    <mergeCell ref="C698:D698"/>
    <mergeCell ref="C697:D697"/>
    <mergeCell ref="C688:D688"/>
    <mergeCell ref="C683:D683"/>
    <mergeCell ref="C677:D677"/>
    <mergeCell ref="C684:D684"/>
    <mergeCell ref="C681:D681"/>
    <mergeCell ref="C678:D678"/>
    <mergeCell ref="C682:D682"/>
    <mergeCell ref="C679:D679"/>
    <mergeCell ref="C680:D680"/>
    <mergeCell ref="C685:D685"/>
    <mergeCell ref="C686:D686"/>
    <mergeCell ref="C687:D687"/>
    <mergeCell ref="C674:D674"/>
    <mergeCell ref="C675:D675"/>
    <mergeCell ref="C676:D676"/>
    <mergeCell ref="C638:D638"/>
    <mergeCell ref="C650:D650"/>
    <mergeCell ref="C651:D651"/>
    <mergeCell ref="C647:D647"/>
    <mergeCell ref="C630:D630"/>
    <mergeCell ref="C673:D673"/>
    <mergeCell ref="C648:D648"/>
    <mergeCell ref="C645:D645"/>
    <mergeCell ref="C672:D672"/>
    <mergeCell ref="I670:I671"/>
    <mergeCell ref="C652:D652"/>
    <mergeCell ref="C656:D667"/>
    <mergeCell ref="C653:D653"/>
    <mergeCell ref="C654:D654"/>
    <mergeCell ref="C669:D669"/>
    <mergeCell ref="C649:D649"/>
    <mergeCell ref="F670:F671"/>
    <mergeCell ref="C668:D668"/>
    <mergeCell ref="H670:H671"/>
    <mergeCell ref="C670:D671"/>
    <mergeCell ref="E657:G657"/>
    <mergeCell ref="C655:D655"/>
    <mergeCell ref="F519:F549"/>
    <mergeCell ref="C644:D644"/>
    <mergeCell ref="K595:K600"/>
    <mergeCell ref="E425:F425"/>
    <mergeCell ref="C426:D426"/>
    <mergeCell ref="C432:D432"/>
    <mergeCell ref="K480:K516"/>
    <mergeCell ref="C604:D604"/>
    <mergeCell ref="C598:D598"/>
    <mergeCell ref="C599:D599"/>
    <mergeCell ref="C627:D627"/>
    <mergeCell ref="C631:D631"/>
    <mergeCell ref="C634:D634"/>
    <mergeCell ref="C602:D602"/>
    <mergeCell ref="C607:D607"/>
    <mergeCell ref="C608:D608"/>
    <mergeCell ref="C444:D444"/>
    <mergeCell ref="C446:D446"/>
    <mergeCell ref="C478:D479"/>
    <mergeCell ref="C616:D616"/>
    <mergeCell ref="C445:D445"/>
    <mergeCell ref="C447:D447"/>
    <mergeCell ref="C438:D438"/>
    <mergeCell ref="C601:D601"/>
    <mergeCell ref="C635:D635"/>
    <mergeCell ref="C636:D636"/>
    <mergeCell ref="C637:D637"/>
    <mergeCell ref="C620:D620"/>
    <mergeCell ref="C621:D621"/>
    <mergeCell ref="B281:B282"/>
    <mergeCell ref="C281:D282"/>
    <mergeCell ref="C333:D333"/>
    <mergeCell ref="C332:D332"/>
    <mergeCell ref="C420:D420"/>
    <mergeCell ref="C386:D386"/>
    <mergeCell ref="C437:D437"/>
    <mergeCell ref="C287:D287"/>
    <mergeCell ref="C288:D288"/>
    <mergeCell ref="C443:D443"/>
    <mergeCell ref="C615:D615"/>
    <mergeCell ref="C603:D603"/>
    <mergeCell ref="C375:D375"/>
    <mergeCell ref="C376:D376"/>
    <mergeCell ref="C383:D383"/>
    <mergeCell ref="C411:D411"/>
    <mergeCell ref="C297:D297"/>
    <mergeCell ref="E299:F299"/>
    <mergeCell ref="E312:F312"/>
    <mergeCell ref="F308:F310"/>
    <mergeCell ref="C321:D321"/>
    <mergeCell ref="C311:D313"/>
    <mergeCell ref="C330:D330"/>
    <mergeCell ref="C328:D329"/>
    <mergeCell ref="E302:F302"/>
    <mergeCell ref="C317:D317"/>
    <mergeCell ref="C306:D306"/>
    <mergeCell ref="C323:D323"/>
    <mergeCell ref="C314:D314"/>
    <mergeCell ref="C305:D305"/>
    <mergeCell ref="C301:D301"/>
    <mergeCell ref="L366:L367"/>
    <mergeCell ref="C327:D327"/>
    <mergeCell ref="C325:D325"/>
    <mergeCell ref="C326:D326"/>
    <mergeCell ref="C324:D324"/>
    <mergeCell ref="C322:D322"/>
    <mergeCell ref="C318:D318"/>
    <mergeCell ref="C315:D315"/>
    <mergeCell ref="K342:K343"/>
    <mergeCell ref="C354:D354"/>
    <mergeCell ref="C363:D363"/>
    <mergeCell ref="E330:F330"/>
    <mergeCell ref="L480:L516"/>
    <mergeCell ref="L342:L343"/>
    <mergeCell ref="K345:K346"/>
    <mergeCell ref="L345:L346"/>
    <mergeCell ref="L580:L582"/>
    <mergeCell ref="C382:D382"/>
    <mergeCell ref="C377:D377"/>
    <mergeCell ref="C430:D430"/>
    <mergeCell ref="C431:D431"/>
    <mergeCell ref="C434:D434"/>
    <mergeCell ref="L374:L377"/>
    <mergeCell ref="C440:D440"/>
    <mergeCell ref="E428:F428"/>
    <mergeCell ref="C433:D433"/>
    <mergeCell ref="E432:F432"/>
    <mergeCell ref="C425:D425"/>
    <mergeCell ref="C410:D410"/>
    <mergeCell ref="E368:F368"/>
    <mergeCell ref="J368:J369"/>
    <mergeCell ref="L378:L380"/>
    <mergeCell ref="G519:H519"/>
    <mergeCell ref="E434:F434"/>
    <mergeCell ref="C422:D422"/>
    <mergeCell ref="C416:D416"/>
    <mergeCell ref="E380:F380"/>
    <mergeCell ref="C412:D412"/>
    <mergeCell ref="C387:D387"/>
    <mergeCell ref="C385:D385"/>
    <mergeCell ref="L595:L600"/>
    <mergeCell ref="L478:L479"/>
    <mergeCell ref="F480:F518"/>
    <mergeCell ref="G450:H450"/>
    <mergeCell ref="C449:D449"/>
    <mergeCell ref="C465:D477"/>
    <mergeCell ref="C480:D518"/>
    <mergeCell ref="K580:K588"/>
    <mergeCell ref="G550:H550"/>
    <mergeCell ref="C592:D592"/>
    <mergeCell ref="C591:D591"/>
    <mergeCell ref="F465:F477"/>
    <mergeCell ref="C462:D462"/>
    <mergeCell ref="C464:D464"/>
    <mergeCell ref="C463:D463"/>
    <mergeCell ref="C573:D573"/>
    <mergeCell ref="C574:D574"/>
    <mergeCell ref="C575:D575"/>
    <mergeCell ref="C576:D576"/>
    <mergeCell ref="C595:D595"/>
    <mergeCell ref="L414:L416"/>
    <mergeCell ref="E426:F426"/>
    <mergeCell ref="C423:D423"/>
    <mergeCell ref="C428:D428"/>
    <mergeCell ref="C394:D408"/>
    <mergeCell ref="C413:D413"/>
    <mergeCell ref="C389:D389"/>
    <mergeCell ref="C414:D414"/>
    <mergeCell ref="C415:D415"/>
    <mergeCell ref="C418:D418"/>
    <mergeCell ref="C421:D421"/>
    <mergeCell ref="C391:D391"/>
    <mergeCell ref="E427:F427"/>
    <mergeCell ref="F400:F402"/>
    <mergeCell ref="E400:E402"/>
    <mergeCell ref="C390:D390"/>
    <mergeCell ref="C427:D427"/>
    <mergeCell ref="K414:K416"/>
    <mergeCell ref="A112:A113"/>
    <mergeCell ref="A119:A120"/>
    <mergeCell ref="C151:D151"/>
    <mergeCell ref="C102:D102"/>
    <mergeCell ref="C104:D104"/>
    <mergeCell ref="C199:D199"/>
    <mergeCell ref="C211:D211"/>
    <mergeCell ref="C208:D208"/>
    <mergeCell ref="A152:A153"/>
    <mergeCell ref="C170:D170"/>
    <mergeCell ref="C164:D164"/>
    <mergeCell ref="C158:D161"/>
    <mergeCell ref="C166:D166"/>
    <mergeCell ref="C118:D118"/>
    <mergeCell ref="A140:A142"/>
    <mergeCell ref="B140:B142"/>
    <mergeCell ref="C140:D142"/>
    <mergeCell ref="C106:D106"/>
    <mergeCell ref="C108:D108"/>
    <mergeCell ref="C210:D210"/>
    <mergeCell ref="C193:D193"/>
    <mergeCell ref="B152:B153"/>
    <mergeCell ref="C184:D184"/>
    <mergeCell ref="C189:D189"/>
    <mergeCell ref="C125:D125"/>
    <mergeCell ref="C79:D79"/>
    <mergeCell ref="A71:A72"/>
    <mergeCell ref="B71:B72"/>
    <mergeCell ref="A100:A101"/>
    <mergeCell ref="B100:B101"/>
    <mergeCell ref="C76:D76"/>
    <mergeCell ref="C71:D72"/>
    <mergeCell ref="C75:D75"/>
    <mergeCell ref="C94:D94"/>
    <mergeCell ref="C98:D98"/>
    <mergeCell ref="C93:D93"/>
    <mergeCell ref="C74:D74"/>
    <mergeCell ref="C92:D92"/>
    <mergeCell ref="C99:D99"/>
    <mergeCell ref="C97:D97"/>
    <mergeCell ref="C77:D77"/>
    <mergeCell ref="C82:D82"/>
    <mergeCell ref="C96:D96"/>
    <mergeCell ref="C100:D101"/>
    <mergeCell ref="C83:D83"/>
    <mergeCell ref="C84:D84"/>
    <mergeCell ref="C85:D85"/>
    <mergeCell ref="C87:D87"/>
    <mergeCell ref="C12:D12"/>
    <mergeCell ref="C24:D24"/>
    <mergeCell ref="L112:L117"/>
    <mergeCell ref="C91:D91"/>
    <mergeCell ref="C45:D45"/>
    <mergeCell ref="C48:D48"/>
    <mergeCell ref="C47:D47"/>
    <mergeCell ref="K140:K141"/>
    <mergeCell ref="C144:D144"/>
    <mergeCell ref="C126:D126"/>
    <mergeCell ref="C111:D111"/>
    <mergeCell ref="K137:K138"/>
    <mergeCell ref="L140:L152"/>
    <mergeCell ref="C135:D135"/>
    <mergeCell ref="C136:D136"/>
    <mergeCell ref="C107:D107"/>
    <mergeCell ref="C130:D130"/>
    <mergeCell ref="C127:D127"/>
    <mergeCell ref="L137:L138"/>
    <mergeCell ref="C139:D139"/>
    <mergeCell ref="C68:D68"/>
    <mergeCell ref="C73:D73"/>
    <mergeCell ref="C89:D89"/>
    <mergeCell ref="C112:D112"/>
    <mergeCell ref="C43:D43"/>
    <mergeCell ref="C33:D33"/>
    <mergeCell ref="C39:D39"/>
    <mergeCell ref="C21:D21"/>
    <mergeCell ref="C28:D28"/>
    <mergeCell ref="C36:D36"/>
    <mergeCell ref="C41:D41"/>
    <mergeCell ref="C42:D42"/>
    <mergeCell ref="C14:D14"/>
    <mergeCell ref="C18:D18"/>
    <mergeCell ref="C53:D53"/>
    <mergeCell ref="C80:D80"/>
    <mergeCell ref="C78:D78"/>
    <mergeCell ref="C88:D88"/>
    <mergeCell ref="C90:D90"/>
    <mergeCell ref="B6:E6"/>
    <mergeCell ref="C27:D27"/>
    <mergeCell ref="C29:D29"/>
    <mergeCell ref="C30:D30"/>
    <mergeCell ref="C35:D35"/>
    <mergeCell ref="C31:D31"/>
    <mergeCell ref="C32:D32"/>
    <mergeCell ref="C15:D15"/>
    <mergeCell ref="C7:D7"/>
    <mergeCell ref="C16:D16"/>
    <mergeCell ref="C17:D17"/>
    <mergeCell ref="C19:D19"/>
    <mergeCell ref="C20:D20"/>
    <mergeCell ref="C8:D8"/>
    <mergeCell ref="E22:H22"/>
    <mergeCell ref="E23:H23"/>
    <mergeCell ref="B22:B23"/>
    <mergeCell ref="C10:D10"/>
    <mergeCell ref="C11:D11"/>
    <mergeCell ref="E33:F33"/>
    <mergeCell ref="C25:D25"/>
    <mergeCell ref="C26:D26"/>
    <mergeCell ref="C34:D34"/>
    <mergeCell ref="C9:D9"/>
    <mergeCell ref="C13:D13"/>
    <mergeCell ref="C4:E4"/>
    <mergeCell ref="E282:G282"/>
    <mergeCell ref="E268:F268"/>
    <mergeCell ref="E178:F178"/>
    <mergeCell ref="E251:F251"/>
    <mergeCell ref="E175:F175"/>
    <mergeCell ref="E72:F72"/>
    <mergeCell ref="E101:F101"/>
    <mergeCell ref="E151:F151"/>
    <mergeCell ref="C49:D49"/>
    <mergeCell ref="C54:D54"/>
    <mergeCell ref="C55:D55"/>
    <mergeCell ref="C197:D197"/>
    <mergeCell ref="C37:D37"/>
    <mergeCell ref="C38:D38"/>
    <mergeCell ref="C40:D40"/>
    <mergeCell ref="C22:D23"/>
    <mergeCell ref="C44:D44"/>
    <mergeCell ref="C5:E5"/>
    <mergeCell ref="C188:D188"/>
    <mergeCell ref="C191:D191"/>
    <mergeCell ref="C179:D179"/>
    <mergeCell ref="C190:D190"/>
    <mergeCell ref="C183:D183"/>
    <mergeCell ref="L186:L187"/>
    <mergeCell ref="E269:F269"/>
    <mergeCell ref="E270:F270"/>
    <mergeCell ref="E266:F266"/>
    <mergeCell ref="E177:F177"/>
    <mergeCell ref="L252:L253"/>
    <mergeCell ref="E253:F253"/>
    <mergeCell ref="K252:K253"/>
    <mergeCell ref="E187:F187"/>
    <mergeCell ref="K186:K187"/>
    <mergeCell ref="E214:E217"/>
    <mergeCell ref="L189:L193"/>
    <mergeCell ref="L220:L221"/>
    <mergeCell ref="E138:H138"/>
    <mergeCell ref="C163:D163"/>
    <mergeCell ref="C168:D169"/>
    <mergeCell ref="E142:G142"/>
    <mergeCell ref="C143:D143"/>
    <mergeCell ref="C162:D162"/>
    <mergeCell ref="C185:D185"/>
    <mergeCell ref="C174:D176"/>
    <mergeCell ref="C195:D195"/>
    <mergeCell ref="C196:D196"/>
    <mergeCell ref="C156:D156"/>
    <mergeCell ref="E156:G156"/>
    <mergeCell ref="C194:D194"/>
    <mergeCell ref="C186:D187"/>
    <mergeCell ref="C180:D180"/>
    <mergeCell ref="C181:D181"/>
    <mergeCell ref="C157:D157"/>
    <mergeCell ref="C50:D50"/>
    <mergeCell ref="L278:L279"/>
    <mergeCell ref="E120:F120"/>
    <mergeCell ref="K119:K120"/>
    <mergeCell ref="E152:F152"/>
    <mergeCell ref="E159:F159"/>
    <mergeCell ref="E160:F160"/>
    <mergeCell ref="C123:D123"/>
    <mergeCell ref="E113:F113"/>
    <mergeCell ref="C117:D117"/>
    <mergeCell ref="C110:D110"/>
    <mergeCell ref="C115:D115"/>
    <mergeCell ref="C150:D150"/>
    <mergeCell ref="C119:D120"/>
    <mergeCell ref="C114:D114"/>
    <mergeCell ref="E141:G141"/>
    <mergeCell ref="L119:L120"/>
    <mergeCell ref="E176:F176"/>
    <mergeCell ref="C198:D198"/>
    <mergeCell ref="C205:D205"/>
    <mergeCell ref="C207:D207"/>
    <mergeCell ref="C177:D178"/>
    <mergeCell ref="K220:K221"/>
    <mergeCell ref="E161:F161"/>
    <mergeCell ref="C243:D243"/>
    <mergeCell ref="C245:D245"/>
    <mergeCell ref="C262:D262"/>
    <mergeCell ref="C246:D246"/>
    <mergeCell ref="C291:D291"/>
    <mergeCell ref="C295:D295"/>
    <mergeCell ref="C292:D292"/>
    <mergeCell ref="C277:D277"/>
    <mergeCell ref="C271:D275"/>
    <mergeCell ref="C264:D264"/>
    <mergeCell ref="C255:D255"/>
    <mergeCell ref="C279:D279"/>
    <mergeCell ref="C256:D256"/>
    <mergeCell ref="C244:D244"/>
    <mergeCell ref="C289:D289"/>
    <mergeCell ref="C283:D283"/>
    <mergeCell ref="C284:D284"/>
    <mergeCell ref="C280:D280"/>
    <mergeCell ref="C261:D261"/>
    <mergeCell ref="C278:D278"/>
    <mergeCell ref="C263:D263"/>
    <mergeCell ref="C267:D270"/>
    <mergeCell ref="C265:D266"/>
    <mergeCell ref="L656:L667"/>
    <mergeCell ref="K656:K667"/>
    <mergeCell ref="C316:D316"/>
    <mergeCell ref="C302:D302"/>
    <mergeCell ref="C296:D296"/>
    <mergeCell ref="C338:D338"/>
    <mergeCell ref="C352:D352"/>
    <mergeCell ref="C331:D331"/>
    <mergeCell ref="C335:D335"/>
    <mergeCell ref="C334:D334"/>
    <mergeCell ref="E320:F320"/>
    <mergeCell ref="E329:F329"/>
    <mergeCell ref="E346:F346"/>
    <mergeCell ref="E350:F350"/>
    <mergeCell ref="E359:F359"/>
    <mergeCell ref="E355:H355"/>
    <mergeCell ref="E343:G343"/>
    <mergeCell ref="C353:D353"/>
    <mergeCell ref="C597:D597"/>
    <mergeCell ref="C590:D590"/>
    <mergeCell ref="E633:H633"/>
    <mergeCell ref="C374:D374"/>
    <mergeCell ref="C361:D361"/>
    <mergeCell ref="C362:D362"/>
    <mergeCell ref="L281:L282"/>
    <mergeCell ref="K378:K380"/>
    <mergeCell ref="C355:D355"/>
    <mergeCell ref="C358:D358"/>
    <mergeCell ref="C356:D356"/>
    <mergeCell ref="C351:D351"/>
    <mergeCell ref="C429:D429"/>
    <mergeCell ref="A265:A266"/>
    <mergeCell ref="B265:B266"/>
    <mergeCell ref="A311:A313"/>
    <mergeCell ref="B311:B313"/>
    <mergeCell ref="C303:D303"/>
    <mergeCell ref="C304:D304"/>
    <mergeCell ref="C285:D285"/>
    <mergeCell ref="B298:B299"/>
    <mergeCell ref="C290:D290"/>
    <mergeCell ref="C293:D293"/>
    <mergeCell ref="C310:D310"/>
    <mergeCell ref="C309:D309"/>
    <mergeCell ref="C308:D308"/>
    <mergeCell ref="A298:A299"/>
    <mergeCell ref="C307:D307"/>
    <mergeCell ref="C300:D300"/>
    <mergeCell ref="C294:D294"/>
    <mergeCell ref="A137:A138"/>
    <mergeCell ref="B137:B138"/>
    <mergeCell ref="C137:D138"/>
    <mergeCell ref="C236:D236"/>
    <mergeCell ref="C248:D248"/>
    <mergeCell ref="C209:D209"/>
    <mergeCell ref="C258:D258"/>
    <mergeCell ref="C259:D259"/>
    <mergeCell ref="C201:D201"/>
    <mergeCell ref="C202:D202"/>
    <mergeCell ref="C223:D223"/>
    <mergeCell ref="C229:D229"/>
    <mergeCell ref="C220:D220"/>
    <mergeCell ref="B250:B251"/>
    <mergeCell ref="C212:D212"/>
    <mergeCell ref="C257:D257"/>
    <mergeCell ref="C254:D254"/>
    <mergeCell ref="C214:D217"/>
    <mergeCell ref="C226:D226"/>
    <mergeCell ref="C235:D235"/>
    <mergeCell ref="C240:D240"/>
    <mergeCell ref="B252:B253"/>
    <mergeCell ref="B177:B178"/>
    <mergeCell ref="B158:B161"/>
    <mergeCell ref="A186:A187"/>
    <mergeCell ref="B174:B176"/>
    <mergeCell ref="A158:A161"/>
    <mergeCell ref="B186:B187"/>
    <mergeCell ref="C192:D192"/>
    <mergeCell ref="A174:A176"/>
    <mergeCell ref="A177:A178"/>
    <mergeCell ref="C252:D253"/>
    <mergeCell ref="C239:D239"/>
    <mergeCell ref="C213:D213"/>
    <mergeCell ref="C167:D167"/>
    <mergeCell ref="C171:D171"/>
    <mergeCell ref="C172:D172"/>
    <mergeCell ref="C173:D173"/>
    <mergeCell ref="C182:D182"/>
    <mergeCell ref="C247:D247"/>
    <mergeCell ref="C233:D233"/>
    <mergeCell ref="C238:D238"/>
    <mergeCell ref="C242:D242"/>
    <mergeCell ref="C218:D218"/>
    <mergeCell ref="C206:D206"/>
    <mergeCell ref="C237:D237"/>
    <mergeCell ref="C203:D203"/>
    <mergeCell ref="C231:D231"/>
    <mergeCell ref="A328:A329"/>
    <mergeCell ref="B328:B329"/>
    <mergeCell ref="C336:D336"/>
    <mergeCell ref="A349:A350"/>
    <mergeCell ref="A319:A320"/>
    <mergeCell ref="B319:B320"/>
    <mergeCell ref="C319:D320"/>
    <mergeCell ref="C368:D368"/>
    <mergeCell ref="C373:D373"/>
    <mergeCell ref="A345:A346"/>
    <mergeCell ref="B345:B346"/>
    <mergeCell ref="C350:D350"/>
    <mergeCell ref="C342:D346"/>
    <mergeCell ref="C337:D337"/>
    <mergeCell ref="C339:D339"/>
    <mergeCell ref="A342:A343"/>
    <mergeCell ref="B342:B343"/>
    <mergeCell ref="C347:D347"/>
    <mergeCell ref="C349:D349"/>
    <mergeCell ref="C340:D340"/>
    <mergeCell ref="C348:D348"/>
    <mergeCell ref="C341:D341"/>
    <mergeCell ref="C357:D357"/>
    <mergeCell ref="A267:A270"/>
    <mergeCell ref="B267:B270"/>
    <mergeCell ref="A656:A657"/>
    <mergeCell ref="C435:D435"/>
    <mergeCell ref="B656:B657"/>
    <mergeCell ref="C606:D606"/>
    <mergeCell ref="C642:D642"/>
    <mergeCell ref="C639:D639"/>
    <mergeCell ref="C640:D640"/>
    <mergeCell ref="C641:D641"/>
    <mergeCell ref="C646:D646"/>
    <mergeCell ref="C643:D643"/>
    <mergeCell ref="C519:D549"/>
    <mergeCell ref="C622:D622"/>
    <mergeCell ref="C623:D623"/>
    <mergeCell ref="C624:D624"/>
    <mergeCell ref="C625:D625"/>
    <mergeCell ref="C594:D594"/>
    <mergeCell ref="C567:D567"/>
    <mergeCell ref="C568:D568"/>
    <mergeCell ref="C569:D569"/>
    <mergeCell ref="C570:D570"/>
    <mergeCell ref="C571:D571"/>
    <mergeCell ref="C596:D596"/>
    <mergeCell ref="A632:A633"/>
    <mergeCell ref="B632:B633"/>
    <mergeCell ref="C632:D633"/>
    <mergeCell ref="G595:H595"/>
    <mergeCell ref="C626:D626"/>
    <mergeCell ref="C628:D628"/>
    <mergeCell ref="C629:D629"/>
    <mergeCell ref="G580:H580"/>
    <mergeCell ref="C610:D610"/>
    <mergeCell ref="C613:D613"/>
    <mergeCell ref="C605:D605"/>
    <mergeCell ref="C609:D609"/>
    <mergeCell ref="C617:D617"/>
    <mergeCell ref="C612:D612"/>
    <mergeCell ref="C614:D614"/>
    <mergeCell ref="C611:D611"/>
    <mergeCell ref="C593:D593"/>
    <mergeCell ref="C618:D618"/>
    <mergeCell ref="C619:D619"/>
    <mergeCell ref="C241:D241"/>
    <mergeCell ref="C131:D131"/>
    <mergeCell ref="C132:D132"/>
    <mergeCell ref="C133:D133"/>
    <mergeCell ref="C134:D134"/>
    <mergeCell ref="C147:D147"/>
    <mergeCell ref="C148:D148"/>
    <mergeCell ref="F580:F589"/>
    <mergeCell ref="C580:D589"/>
    <mergeCell ref="C436:D436"/>
    <mergeCell ref="E443:F443"/>
    <mergeCell ref="C392:D392"/>
    <mergeCell ref="C393:D393"/>
    <mergeCell ref="C388:D388"/>
    <mergeCell ref="C384:D384"/>
    <mergeCell ref="C409:D409"/>
    <mergeCell ref="C227:D227"/>
    <mergeCell ref="C228:D228"/>
    <mergeCell ref="C224:D224"/>
    <mergeCell ref="C222:D222"/>
    <mergeCell ref="C230:D230"/>
    <mergeCell ref="C225:D225"/>
    <mergeCell ref="C234:D234"/>
    <mergeCell ref="C250:D251"/>
    <mergeCell ref="A379:A380"/>
    <mergeCell ref="A365:A366"/>
    <mergeCell ref="A367:A368"/>
    <mergeCell ref="C370:D370"/>
    <mergeCell ref="B401:B402"/>
    <mergeCell ref="C371:D371"/>
    <mergeCell ref="C372:D372"/>
    <mergeCell ref="C366:D366"/>
    <mergeCell ref="C364:D364"/>
    <mergeCell ref="C365:D365"/>
    <mergeCell ref="C367:D367"/>
    <mergeCell ref="C381:D381"/>
    <mergeCell ref="B379:B380"/>
    <mergeCell ref="B2:E2"/>
    <mergeCell ref="C692:D692"/>
    <mergeCell ref="C693:D693"/>
    <mergeCell ref="C694:D694"/>
    <mergeCell ref="C695:D695"/>
    <mergeCell ref="C696:D696"/>
    <mergeCell ref="C46:D46"/>
    <mergeCell ref="C52:D52"/>
    <mergeCell ref="C56:D56"/>
    <mergeCell ref="C60:D60"/>
    <mergeCell ref="C67:D67"/>
    <mergeCell ref="C63:D63"/>
    <mergeCell ref="C58:D58"/>
    <mergeCell ref="C61:D61"/>
    <mergeCell ref="C62:D62"/>
    <mergeCell ref="C57:D57"/>
    <mergeCell ref="C66:D66"/>
    <mergeCell ref="C64:D64"/>
    <mergeCell ref="C65:D65"/>
    <mergeCell ref="C59:D59"/>
    <mergeCell ref="B119:B120"/>
    <mergeCell ref="C109:D109"/>
    <mergeCell ref="C95:D95"/>
    <mergeCell ref="C103:D103"/>
    <mergeCell ref="C710:D710"/>
    <mergeCell ref="C711:D711"/>
    <mergeCell ref="C712:D712"/>
    <mergeCell ref="C51:D51"/>
    <mergeCell ref="C359:D359"/>
    <mergeCell ref="C369:D369"/>
    <mergeCell ref="C145:D145"/>
    <mergeCell ref="C146:D146"/>
    <mergeCell ref="C149:D149"/>
    <mergeCell ref="C709:D709"/>
    <mergeCell ref="C105:D105"/>
    <mergeCell ref="C113:D113"/>
    <mergeCell ref="C116:D116"/>
    <mergeCell ref="C69:D69"/>
    <mergeCell ref="C70:D70"/>
    <mergeCell ref="C81:D81"/>
    <mergeCell ref="C86:D86"/>
    <mergeCell ref="C121:D121"/>
    <mergeCell ref="C129:D129"/>
    <mergeCell ref="C122:D122"/>
    <mergeCell ref="C124:D124"/>
    <mergeCell ref="C128:D128"/>
    <mergeCell ref="C249:D249"/>
    <mergeCell ref="C360:D360"/>
  </mergeCells>
  <hyperlinks>
    <hyperlink ref="B550" r:id="rId1" display="C:\Documents and Settings\kalinin_dm\Local Settings\СКАНЫ свидетельств\Шерегеш\42АА846383.tif" xr:uid="{00000000-0004-0000-0400-000000000000}"/>
  </hyperlinks>
  <pageMargins left="0.70866141732283472" right="0.70866141732283472" top="0.74803149606299213" bottom="0.74803149606299213" header="0.31496062992125984" footer="0.31496062992125984"/>
  <pageSetup scale="70" orientation="landscape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487"/>
  <sheetViews>
    <sheetView tabSelected="1" topLeftCell="A1412" workbookViewId="0">
      <selection activeCell="J1422" sqref="J1422"/>
    </sheetView>
  </sheetViews>
  <sheetFormatPr defaultColWidth="14.85546875" defaultRowHeight="11.25" x14ac:dyDescent="0.2"/>
  <cols>
    <col min="1" max="1" width="14.85546875" style="5"/>
    <col min="2" max="2" width="35.42578125" style="5" customWidth="1"/>
    <col min="3" max="3" width="34.28515625" style="5" customWidth="1"/>
    <col min="4" max="4" width="14.85546875" style="5"/>
    <col min="5" max="5" width="36.85546875" style="5" customWidth="1"/>
    <col min="6" max="7" width="14.85546875" style="5"/>
    <col min="8" max="8" width="17" style="181" customWidth="1"/>
    <col min="9" max="9" width="22.140625" style="181" customWidth="1"/>
    <col min="10" max="16384" width="14.85546875" style="5"/>
  </cols>
  <sheetData>
    <row r="1" spans="1:35" x14ac:dyDescent="0.2">
      <c r="G1" s="22"/>
    </row>
    <row r="2" spans="1:35" ht="18" customHeight="1" x14ac:dyDescent="0.2">
      <c r="A2" s="929"/>
      <c r="B2" s="1530" t="s">
        <v>10095</v>
      </c>
      <c r="C2" s="1530"/>
      <c r="D2" s="1530"/>
      <c r="E2" s="1530"/>
      <c r="F2" s="1530"/>
      <c r="G2" s="1530"/>
      <c r="H2" s="5"/>
      <c r="I2" s="5"/>
    </row>
    <row r="3" spans="1:35" ht="9" customHeight="1" x14ac:dyDescent="0.2">
      <c r="A3" s="930"/>
      <c r="B3" s="930"/>
      <c r="C3" s="930"/>
      <c r="H3" s="5" t="s">
        <v>361</v>
      </c>
      <c r="I3" s="5"/>
    </row>
    <row r="4" spans="1:35" ht="126.75" customHeight="1" x14ac:dyDescent="0.2">
      <c r="A4" s="931" t="s">
        <v>10097</v>
      </c>
      <c r="B4" s="931" t="s">
        <v>10098</v>
      </c>
      <c r="C4" s="932" t="s">
        <v>10099</v>
      </c>
      <c r="D4" s="931" t="s">
        <v>14432</v>
      </c>
      <c r="E4" s="931" t="s">
        <v>10108</v>
      </c>
      <c r="F4" s="931" t="s">
        <v>14584</v>
      </c>
      <c r="G4" s="931" t="s">
        <v>14585</v>
      </c>
      <c r="H4" s="931" t="s">
        <v>10107</v>
      </c>
      <c r="I4" s="931" t="s">
        <v>14433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85">
        <v>1</v>
      </c>
      <c r="B5" s="285">
        <v>2</v>
      </c>
      <c r="C5" s="915">
        <v>3</v>
      </c>
      <c r="D5" s="285">
        <v>4</v>
      </c>
      <c r="E5" s="285">
        <v>5</v>
      </c>
      <c r="F5" s="285" t="s">
        <v>448</v>
      </c>
      <c r="G5" s="285" t="s">
        <v>5177</v>
      </c>
      <c r="H5" s="285" t="s">
        <v>10093</v>
      </c>
      <c r="I5" s="285" t="s">
        <v>10093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s="57" customFormat="1" ht="67.5" x14ac:dyDescent="0.2">
      <c r="A6" s="804" t="s">
        <v>10965</v>
      </c>
      <c r="B6" s="804" t="s">
        <v>10966</v>
      </c>
      <c r="C6" s="383" t="s">
        <v>2646</v>
      </c>
      <c r="D6" s="513" t="s">
        <v>10967</v>
      </c>
      <c r="E6" s="199" t="s">
        <v>6550</v>
      </c>
      <c r="F6" s="125">
        <v>34354.9</v>
      </c>
      <c r="G6" s="55">
        <v>14013020.16</v>
      </c>
      <c r="H6" s="957"/>
      <c r="I6" s="804" t="s">
        <v>14590</v>
      </c>
      <c r="J6" s="933"/>
      <c r="K6" s="934"/>
      <c r="L6" s="935"/>
      <c r="M6" s="940"/>
      <c r="N6" s="937"/>
      <c r="O6" s="937"/>
      <c r="P6" s="938"/>
      <c r="Q6" s="939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</row>
    <row r="7" spans="1:35" s="57" customFormat="1" ht="67.5" x14ac:dyDescent="0.2">
      <c r="A7" s="804" t="s">
        <v>10968</v>
      </c>
      <c r="B7" s="804" t="s">
        <v>10969</v>
      </c>
      <c r="C7" s="383" t="s">
        <v>2646</v>
      </c>
      <c r="D7" s="513" t="s">
        <v>10970</v>
      </c>
      <c r="E7" s="199" t="s">
        <v>6550</v>
      </c>
      <c r="F7" s="125">
        <v>12500</v>
      </c>
      <c r="G7" s="55">
        <v>4363375</v>
      </c>
      <c r="H7" s="957"/>
      <c r="I7" s="804" t="s">
        <v>14590</v>
      </c>
      <c r="J7" s="933"/>
      <c r="K7" s="934"/>
      <c r="L7" s="22"/>
      <c r="M7" s="936"/>
      <c r="N7" s="937"/>
      <c r="O7" s="937"/>
      <c r="P7" s="938"/>
      <c r="Q7" s="939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</row>
    <row r="8" spans="1:35" ht="33.75" x14ac:dyDescent="0.2">
      <c r="A8" s="850" t="s">
        <v>528</v>
      </c>
      <c r="B8" s="850" t="s">
        <v>4470</v>
      </c>
      <c r="C8" s="958" t="s">
        <v>6181</v>
      </c>
      <c r="D8" s="959" t="s">
        <v>6289</v>
      </c>
      <c r="E8" s="850" t="s">
        <v>6551</v>
      </c>
      <c r="F8" s="960">
        <v>1490</v>
      </c>
      <c r="G8" s="921">
        <v>224677.1</v>
      </c>
      <c r="H8" s="961"/>
      <c r="I8" s="804" t="s">
        <v>14586</v>
      </c>
      <c r="J8" s="941"/>
      <c r="K8" s="942"/>
      <c r="L8" s="943"/>
      <c r="M8" s="944"/>
      <c r="N8" s="945"/>
      <c r="O8" s="945"/>
      <c r="P8" s="946"/>
      <c r="Q8" s="947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ht="33.75" x14ac:dyDescent="0.2">
      <c r="A9" s="850" t="s">
        <v>529</v>
      </c>
      <c r="B9" s="850" t="s">
        <v>14434</v>
      </c>
      <c r="C9" s="958" t="s">
        <v>21</v>
      </c>
      <c r="D9" s="959" t="s">
        <v>6290</v>
      </c>
      <c r="E9" s="850" t="s">
        <v>6552</v>
      </c>
      <c r="F9" s="960">
        <v>676.3</v>
      </c>
      <c r="G9" s="921">
        <v>2244173.0499999998</v>
      </c>
      <c r="H9" s="962" t="s">
        <v>13991</v>
      </c>
      <c r="I9" s="804"/>
      <c r="J9" s="941"/>
      <c r="K9" s="942"/>
      <c r="L9" s="943"/>
      <c r="M9" s="944"/>
      <c r="N9" s="945"/>
      <c r="O9" s="945"/>
      <c r="P9" s="946"/>
      <c r="Q9" s="947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ht="33.75" x14ac:dyDescent="0.2">
      <c r="A10" s="804" t="s">
        <v>6017</v>
      </c>
      <c r="B10" s="804" t="s">
        <v>14435</v>
      </c>
      <c r="C10" s="383" t="s">
        <v>6102</v>
      </c>
      <c r="D10" s="963" t="s">
        <v>6015</v>
      </c>
      <c r="E10" s="850" t="s">
        <v>6552</v>
      </c>
      <c r="F10" s="125">
        <v>764</v>
      </c>
      <c r="G10" s="55">
        <v>116884.36</v>
      </c>
      <c r="H10" s="962" t="s">
        <v>13991</v>
      </c>
      <c r="I10" s="804"/>
      <c r="J10" s="90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ht="33.75" x14ac:dyDescent="0.2">
      <c r="A11" s="804" t="s">
        <v>6018</v>
      </c>
      <c r="B11" s="804" t="s">
        <v>3995</v>
      </c>
      <c r="C11" s="383" t="s">
        <v>6103</v>
      </c>
      <c r="D11" s="963" t="s">
        <v>6016</v>
      </c>
      <c r="E11" s="850" t="s">
        <v>6552</v>
      </c>
      <c r="F11" s="125">
        <v>13118</v>
      </c>
      <c r="G11" s="55">
        <v>43433359.590000004</v>
      </c>
      <c r="H11" s="962" t="s">
        <v>13991</v>
      </c>
      <c r="I11" s="804"/>
      <c r="J11" s="905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ht="33.75" x14ac:dyDescent="0.2">
      <c r="A12" s="804" t="s">
        <v>5611</v>
      </c>
      <c r="B12" s="804" t="s">
        <v>5613</v>
      </c>
      <c r="C12" s="383" t="s">
        <v>2637</v>
      </c>
      <c r="D12" s="963" t="s">
        <v>5612</v>
      </c>
      <c r="E12" s="850" t="s">
        <v>6552</v>
      </c>
      <c r="F12" s="125">
        <v>36</v>
      </c>
      <c r="G12" s="921">
        <v>11310.48</v>
      </c>
      <c r="H12" s="962" t="s">
        <v>13991</v>
      </c>
      <c r="I12" s="804"/>
      <c r="J12" s="905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ht="22.5" x14ac:dyDescent="0.2">
      <c r="A13" s="804" t="s">
        <v>530</v>
      </c>
      <c r="B13" s="804" t="s">
        <v>3996</v>
      </c>
      <c r="C13" s="383" t="s">
        <v>2637</v>
      </c>
      <c r="D13" s="963" t="s">
        <v>6291</v>
      </c>
      <c r="E13" s="850" t="s">
        <v>6552</v>
      </c>
      <c r="F13" s="125">
        <v>1032</v>
      </c>
      <c r="G13" s="921">
        <v>370508.64</v>
      </c>
      <c r="H13" s="962" t="s">
        <v>13991</v>
      </c>
      <c r="I13" s="804"/>
      <c r="J13" s="948"/>
    </row>
    <row r="14" spans="1:35" ht="56.25" x14ac:dyDescent="0.2">
      <c r="A14" s="804" t="s">
        <v>531</v>
      </c>
      <c r="B14" s="804" t="s">
        <v>7848</v>
      </c>
      <c r="C14" s="383" t="s">
        <v>14436</v>
      </c>
      <c r="D14" s="963" t="s">
        <v>6292</v>
      </c>
      <c r="E14" s="804" t="s">
        <v>6552</v>
      </c>
      <c r="F14" s="125">
        <v>13020.7</v>
      </c>
      <c r="G14" s="55">
        <v>9333237.7599999998</v>
      </c>
      <c r="H14" s="964" t="s">
        <v>13991</v>
      </c>
      <c r="I14" s="804"/>
      <c r="J14" s="948"/>
    </row>
    <row r="15" spans="1:35" ht="33.75" x14ac:dyDescent="0.2">
      <c r="A15" s="804" t="s">
        <v>532</v>
      </c>
      <c r="B15" s="804" t="s">
        <v>7384</v>
      </c>
      <c r="C15" s="383" t="s">
        <v>2637</v>
      </c>
      <c r="D15" s="963" t="s">
        <v>6293</v>
      </c>
      <c r="E15" s="850" t="s">
        <v>6552</v>
      </c>
      <c r="F15" s="125">
        <v>825.3</v>
      </c>
      <c r="G15" s="921">
        <v>543526.06999999995</v>
      </c>
      <c r="H15" s="804"/>
      <c r="I15" s="804" t="s">
        <v>14590</v>
      </c>
      <c r="J15" s="948"/>
    </row>
    <row r="16" spans="1:35" ht="67.5" x14ac:dyDescent="0.2">
      <c r="A16" s="804" t="s">
        <v>533</v>
      </c>
      <c r="B16" s="804" t="s">
        <v>3997</v>
      </c>
      <c r="C16" s="383" t="s">
        <v>14437</v>
      </c>
      <c r="D16" s="963" t="s">
        <v>6234</v>
      </c>
      <c r="E16" s="199" t="s">
        <v>6550</v>
      </c>
      <c r="F16" s="125">
        <v>19983</v>
      </c>
      <c r="G16" s="55">
        <v>5204372.5199999996</v>
      </c>
      <c r="H16" s="804" t="s">
        <v>14596</v>
      </c>
      <c r="I16" s="804" t="s">
        <v>14590</v>
      </c>
      <c r="J16" s="948"/>
    </row>
    <row r="17" spans="1:12" ht="33.75" x14ac:dyDescent="0.2">
      <c r="A17" s="804" t="s">
        <v>534</v>
      </c>
      <c r="B17" s="804" t="s">
        <v>3998</v>
      </c>
      <c r="C17" s="383" t="s">
        <v>22</v>
      </c>
      <c r="D17" s="963" t="s">
        <v>6275</v>
      </c>
      <c r="E17" s="804" t="s">
        <v>6552</v>
      </c>
      <c r="F17" s="125">
        <v>99000</v>
      </c>
      <c r="G17" s="921">
        <v>116129970</v>
      </c>
      <c r="H17" s="804" t="s">
        <v>11669</v>
      </c>
      <c r="I17" s="802" t="s">
        <v>11668</v>
      </c>
      <c r="J17" s="948"/>
    </row>
    <row r="18" spans="1:12" ht="67.5" x14ac:dyDescent="0.2">
      <c r="A18" s="804" t="s">
        <v>535</v>
      </c>
      <c r="B18" s="804" t="s">
        <v>3999</v>
      </c>
      <c r="C18" s="958" t="s">
        <v>13985</v>
      </c>
      <c r="D18" s="963" t="s">
        <v>7385</v>
      </c>
      <c r="E18" s="199" t="s">
        <v>6550</v>
      </c>
      <c r="F18" s="125">
        <v>14337</v>
      </c>
      <c r="G18" s="921">
        <v>6047776.71</v>
      </c>
      <c r="H18" s="804" t="s">
        <v>11670</v>
      </c>
      <c r="I18" s="802" t="s">
        <v>11668</v>
      </c>
      <c r="J18" s="948"/>
    </row>
    <row r="19" spans="1:12" ht="22.5" x14ac:dyDescent="0.2">
      <c r="A19" s="804" t="s">
        <v>536</v>
      </c>
      <c r="B19" s="804" t="s">
        <v>14438</v>
      </c>
      <c r="C19" s="383" t="s">
        <v>23</v>
      </c>
      <c r="D19" s="963" t="s">
        <v>6288</v>
      </c>
      <c r="E19" s="804" t="s">
        <v>6551</v>
      </c>
      <c r="F19" s="125">
        <v>14891</v>
      </c>
      <c r="G19" s="55">
        <v>21350120.16</v>
      </c>
      <c r="H19" s="804"/>
      <c r="I19" s="802" t="s">
        <v>11668</v>
      </c>
      <c r="J19" s="948"/>
    </row>
    <row r="20" spans="1:12" ht="22.5" x14ac:dyDescent="0.2">
      <c r="A20" s="804" t="s">
        <v>537</v>
      </c>
      <c r="B20" s="804" t="s">
        <v>4000</v>
      </c>
      <c r="C20" s="383" t="s">
        <v>23</v>
      </c>
      <c r="D20" s="963" t="s">
        <v>7386</v>
      </c>
      <c r="E20" s="804" t="s">
        <v>6552</v>
      </c>
      <c r="F20" s="125">
        <v>1649.9</v>
      </c>
      <c r="G20" s="55">
        <v>2594880.23</v>
      </c>
      <c r="H20" s="804"/>
      <c r="I20" s="802" t="s">
        <v>11668</v>
      </c>
      <c r="J20" s="948"/>
    </row>
    <row r="21" spans="1:12" ht="33.75" x14ac:dyDescent="0.2">
      <c r="A21" s="804" t="s">
        <v>538</v>
      </c>
      <c r="B21" s="804" t="s">
        <v>4001</v>
      </c>
      <c r="C21" s="383" t="s">
        <v>2637</v>
      </c>
      <c r="D21" s="963" t="s">
        <v>6287</v>
      </c>
      <c r="E21" s="804" t="s">
        <v>6552</v>
      </c>
      <c r="F21" s="125">
        <f>16137.5-8</f>
        <v>16129.5</v>
      </c>
      <c r="G21" s="55">
        <v>28717606.98</v>
      </c>
      <c r="H21" s="804"/>
      <c r="I21" s="802" t="s">
        <v>11668</v>
      </c>
      <c r="J21" s="948"/>
    </row>
    <row r="22" spans="1:12" s="212" customFormat="1" ht="33.75" x14ac:dyDescent="0.2">
      <c r="A22" s="804" t="s">
        <v>9890</v>
      </c>
      <c r="B22" s="803" t="s">
        <v>9888</v>
      </c>
      <c r="C22" s="382" t="s">
        <v>9889</v>
      </c>
      <c r="D22" s="913" t="s">
        <v>9887</v>
      </c>
      <c r="E22" s="804" t="s">
        <v>6558</v>
      </c>
      <c r="F22" s="380">
        <v>8</v>
      </c>
      <c r="G22" s="516">
        <v>2788.8</v>
      </c>
      <c r="H22" s="804"/>
      <c r="I22" s="802" t="s">
        <v>11668</v>
      </c>
      <c r="L22" s="5"/>
    </row>
    <row r="23" spans="1:12" ht="22.5" x14ac:dyDescent="0.2">
      <c r="A23" s="850" t="s">
        <v>6276</v>
      </c>
      <c r="B23" s="850" t="s">
        <v>4002</v>
      </c>
      <c r="C23" s="958" t="s">
        <v>6438</v>
      </c>
      <c r="D23" s="965" t="s">
        <v>6280</v>
      </c>
      <c r="E23" s="850" t="s">
        <v>6553</v>
      </c>
      <c r="F23" s="960">
        <v>91336</v>
      </c>
      <c r="G23" s="922">
        <v>5883865.1200000001</v>
      </c>
      <c r="H23" s="850"/>
      <c r="I23" s="802" t="s">
        <v>11668</v>
      </c>
      <c r="J23" s="948"/>
    </row>
    <row r="24" spans="1:12" ht="33.75" x14ac:dyDescent="0.2">
      <c r="A24" s="850" t="s">
        <v>6277</v>
      </c>
      <c r="B24" s="850" t="s">
        <v>6435</v>
      </c>
      <c r="C24" s="958" t="s">
        <v>6286</v>
      </c>
      <c r="D24" s="965" t="s">
        <v>6282</v>
      </c>
      <c r="E24" s="850" t="s">
        <v>6553</v>
      </c>
      <c r="F24" s="960">
        <v>2500</v>
      </c>
      <c r="G24" s="922">
        <v>161225</v>
      </c>
      <c r="H24" s="850"/>
      <c r="I24" s="802" t="s">
        <v>11668</v>
      </c>
      <c r="J24" s="948"/>
    </row>
    <row r="25" spans="1:12" ht="45" x14ac:dyDescent="0.2">
      <c r="A25" s="850" t="s">
        <v>6278</v>
      </c>
      <c r="B25" s="850" t="s">
        <v>6436</v>
      </c>
      <c r="C25" s="958" t="s">
        <v>6439</v>
      </c>
      <c r="D25" s="965" t="s">
        <v>6283</v>
      </c>
      <c r="E25" s="850" t="s">
        <v>6553</v>
      </c>
      <c r="F25" s="960">
        <v>3597</v>
      </c>
      <c r="G25" s="922">
        <v>778606.62</v>
      </c>
      <c r="H25" s="850"/>
      <c r="I25" s="802" t="s">
        <v>11668</v>
      </c>
      <c r="J25" s="948"/>
    </row>
    <row r="26" spans="1:12" ht="33.75" x14ac:dyDescent="0.2">
      <c r="A26" s="850" t="s">
        <v>6279</v>
      </c>
      <c r="B26" s="850" t="s">
        <v>6437</v>
      </c>
      <c r="C26" s="958" t="s">
        <v>6440</v>
      </c>
      <c r="D26" s="965" t="s">
        <v>6284</v>
      </c>
      <c r="E26" s="850" t="s">
        <v>6553</v>
      </c>
      <c r="F26" s="960">
        <v>2500</v>
      </c>
      <c r="G26" s="923">
        <v>161175</v>
      </c>
      <c r="H26" s="850"/>
      <c r="I26" s="802" t="s">
        <v>11668</v>
      </c>
      <c r="J26" s="948"/>
    </row>
    <row r="27" spans="1:12" ht="33.75" x14ac:dyDescent="0.2">
      <c r="A27" s="850" t="s">
        <v>6281</v>
      </c>
      <c r="B27" s="850" t="s">
        <v>6437</v>
      </c>
      <c r="C27" s="958" t="s">
        <v>6441</v>
      </c>
      <c r="D27" s="965" t="s">
        <v>6285</v>
      </c>
      <c r="E27" s="850" t="s">
        <v>6553</v>
      </c>
      <c r="F27" s="960">
        <v>2500</v>
      </c>
      <c r="G27" s="922">
        <v>161175</v>
      </c>
      <c r="H27" s="850"/>
      <c r="I27" s="802" t="s">
        <v>11668</v>
      </c>
      <c r="J27" s="948"/>
    </row>
    <row r="28" spans="1:12" ht="22.5" x14ac:dyDescent="0.2">
      <c r="A28" s="804" t="s">
        <v>539</v>
      </c>
      <c r="B28" s="804" t="s">
        <v>4002</v>
      </c>
      <c r="C28" s="383" t="s">
        <v>2638</v>
      </c>
      <c r="D28" s="963" t="s">
        <v>5577</v>
      </c>
      <c r="E28" s="804" t="s">
        <v>6552</v>
      </c>
      <c r="F28" s="125">
        <v>112766</v>
      </c>
      <c r="G28" s="894">
        <v>7282395.9900000002</v>
      </c>
      <c r="H28" s="804"/>
      <c r="I28" s="802" t="s">
        <v>11668</v>
      </c>
      <c r="J28" s="948"/>
    </row>
    <row r="29" spans="1:12" s="57" customFormat="1" ht="67.5" x14ac:dyDescent="0.2">
      <c r="A29" s="804" t="s">
        <v>12494</v>
      </c>
      <c r="B29" s="804" t="s">
        <v>12495</v>
      </c>
      <c r="C29" s="671" t="s">
        <v>12496</v>
      </c>
      <c r="D29" s="199" t="s">
        <v>12497</v>
      </c>
      <c r="E29" s="804" t="s">
        <v>6552</v>
      </c>
      <c r="F29" s="966">
        <v>2919</v>
      </c>
      <c r="G29" s="123">
        <v>1583032.08</v>
      </c>
      <c r="H29" s="804"/>
      <c r="I29" s="802" t="s">
        <v>11668</v>
      </c>
      <c r="J29" s="948"/>
      <c r="L29" s="5"/>
    </row>
    <row r="30" spans="1:12" ht="33.75" x14ac:dyDescent="0.2">
      <c r="A30" s="804" t="s">
        <v>6051</v>
      </c>
      <c r="B30" s="804" t="s">
        <v>4003</v>
      </c>
      <c r="C30" s="383" t="s">
        <v>21</v>
      </c>
      <c r="D30" s="804" t="s">
        <v>2639</v>
      </c>
      <c r="E30" s="804" t="s">
        <v>6552</v>
      </c>
      <c r="F30" s="62">
        <v>137076</v>
      </c>
      <c r="G30" s="62">
        <v>323499.36</v>
      </c>
      <c r="H30" s="804"/>
      <c r="I30" s="802" t="s">
        <v>11668</v>
      </c>
      <c r="J30" s="948"/>
    </row>
    <row r="31" spans="1:12" ht="67.5" x14ac:dyDescent="0.2">
      <c r="A31" s="804" t="s">
        <v>540</v>
      </c>
      <c r="B31" s="804" t="s">
        <v>5248</v>
      </c>
      <c r="C31" s="913" t="s">
        <v>4793</v>
      </c>
      <c r="D31" s="199" t="s">
        <v>5250</v>
      </c>
      <c r="E31" s="804" t="s">
        <v>6549</v>
      </c>
      <c r="F31" s="123">
        <v>21992</v>
      </c>
      <c r="G31" s="123">
        <v>7676747.4400000004</v>
      </c>
      <c r="H31" s="804"/>
      <c r="I31" s="802" t="s">
        <v>11668</v>
      </c>
      <c r="J31" s="948"/>
    </row>
    <row r="32" spans="1:12" ht="22.5" x14ac:dyDescent="0.2">
      <c r="A32" s="804" t="s">
        <v>541</v>
      </c>
      <c r="B32" s="804" t="s">
        <v>5586</v>
      </c>
      <c r="C32" s="383" t="s">
        <v>2641</v>
      </c>
      <c r="D32" s="804" t="s">
        <v>2640</v>
      </c>
      <c r="E32" s="804" t="s">
        <v>6552</v>
      </c>
      <c r="F32" s="62">
        <v>370</v>
      </c>
      <c r="G32" s="62">
        <v>85166.6</v>
      </c>
      <c r="H32" s="804"/>
      <c r="I32" s="802" t="s">
        <v>11668</v>
      </c>
      <c r="J32" s="948"/>
    </row>
    <row r="33" spans="1:12" ht="22.5" x14ac:dyDescent="0.2">
      <c r="A33" s="804" t="s">
        <v>542</v>
      </c>
      <c r="B33" s="804" t="s">
        <v>14439</v>
      </c>
      <c r="C33" s="913" t="s">
        <v>2646</v>
      </c>
      <c r="D33" s="804" t="s">
        <v>2647</v>
      </c>
      <c r="E33" s="804" t="s">
        <v>6552</v>
      </c>
      <c r="F33" s="62">
        <v>1106557</v>
      </c>
      <c r="G33" s="55">
        <v>252173274.72999999</v>
      </c>
      <c r="H33" s="804"/>
      <c r="I33" s="802" t="s">
        <v>11668</v>
      </c>
      <c r="J33" s="948"/>
      <c r="L33" s="186"/>
    </row>
    <row r="34" spans="1:12" ht="22.5" x14ac:dyDescent="0.2">
      <c r="A34" s="804" t="s">
        <v>6052</v>
      </c>
      <c r="B34" s="804" t="s">
        <v>4004</v>
      </c>
      <c r="C34" s="913" t="s">
        <v>5897</v>
      </c>
      <c r="D34" s="804" t="s">
        <v>5898</v>
      </c>
      <c r="E34" s="804" t="s">
        <v>6552</v>
      </c>
      <c r="F34" s="231">
        <v>95952</v>
      </c>
      <c r="G34" s="55">
        <v>49005564.960000001</v>
      </c>
      <c r="H34" s="804"/>
      <c r="I34" s="802" t="s">
        <v>11668</v>
      </c>
      <c r="J34" s="948"/>
    </row>
    <row r="35" spans="1:12" ht="56.25" x14ac:dyDescent="0.2">
      <c r="A35" s="804" t="s">
        <v>13556</v>
      </c>
      <c r="B35" s="804" t="s">
        <v>13557</v>
      </c>
      <c r="C35" s="1059" t="s">
        <v>13558</v>
      </c>
      <c r="D35" s="804" t="s">
        <v>13559</v>
      </c>
      <c r="E35" s="804" t="s">
        <v>6552</v>
      </c>
      <c r="F35" s="62">
        <v>78752</v>
      </c>
      <c r="G35" s="55">
        <v>54794066.560000002</v>
      </c>
      <c r="H35" s="804"/>
      <c r="I35" s="802" t="s">
        <v>11668</v>
      </c>
      <c r="J35" s="967"/>
    </row>
    <row r="36" spans="1:12" ht="56.25" x14ac:dyDescent="0.2">
      <c r="A36" s="804" t="s">
        <v>13560</v>
      </c>
      <c r="B36" s="804" t="s">
        <v>13557</v>
      </c>
      <c r="C36" s="1059" t="s">
        <v>13558</v>
      </c>
      <c r="D36" s="804" t="s">
        <v>13561</v>
      </c>
      <c r="E36" s="804" t="s">
        <v>6552</v>
      </c>
      <c r="F36" s="62">
        <v>26456</v>
      </c>
      <c r="G36" s="55">
        <v>18407555.68</v>
      </c>
      <c r="H36" s="804"/>
      <c r="I36" s="802" t="s">
        <v>11668</v>
      </c>
      <c r="J36" s="967"/>
    </row>
    <row r="37" spans="1:12" ht="56.25" x14ac:dyDescent="0.2">
      <c r="A37" s="804" t="s">
        <v>13562</v>
      </c>
      <c r="B37" s="804" t="s">
        <v>13563</v>
      </c>
      <c r="C37" s="1059" t="s">
        <v>13558</v>
      </c>
      <c r="D37" s="804" t="s">
        <v>13564</v>
      </c>
      <c r="E37" s="804" t="s">
        <v>6552</v>
      </c>
      <c r="F37" s="62">
        <v>87205</v>
      </c>
      <c r="G37" s="55"/>
      <c r="H37" s="804"/>
      <c r="I37" s="802" t="s">
        <v>11668</v>
      </c>
      <c r="J37" s="967"/>
    </row>
    <row r="38" spans="1:12" ht="56.25" x14ac:dyDescent="0.2">
      <c r="A38" s="804" t="s">
        <v>13565</v>
      </c>
      <c r="B38" s="804" t="s">
        <v>13557</v>
      </c>
      <c r="C38" s="1059" t="s">
        <v>13558</v>
      </c>
      <c r="D38" s="804" t="s">
        <v>13566</v>
      </c>
      <c r="E38" s="804" t="s">
        <v>6552</v>
      </c>
      <c r="F38" s="62">
        <v>27061</v>
      </c>
      <c r="G38" s="55">
        <v>18828502.579999998</v>
      </c>
      <c r="H38" s="804"/>
      <c r="I38" s="802" t="s">
        <v>11668</v>
      </c>
      <c r="J38" s="967"/>
    </row>
    <row r="39" spans="1:12" ht="56.25" x14ac:dyDescent="0.2">
      <c r="A39" s="804" t="s">
        <v>13567</v>
      </c>
      <c r="B39" s="804" t="s">
        <v>13568</v>
      </c>
      <c r="C39" s="1059" t="s">
        <v>13558</v>
      </c>
      <c r="D39" s="804" t="s">
        <v>13569</v>
      </c>
      <c r="E39" s="804" t="s">
        <v>6552</v>
      </c>
      <c r="F39" s="62">
        <v>20515</v>
      </c>
      <c r="G39" s="55">
        <v>21005.03</v>
      </c>
      <c r="H39" s="804"/>
      <c r="I39" s="802" t="s">
        <v>11668</v>
      </c>
      <c r="J39" s="967"/>
    </row>
    <row r="40" spans="1:12" ht="56.25" x14ac:dyDescent="0.2">
      <c r="A40" s="804" t="s">
        <v>13570</v>
      </c>
      <c r="B40" s="804" t="s">
        <v>13571</v>
      </c>
      <c r="C40" s="1059" t="s">
        <v>13558</v>
      </c>
      <c r="D40" s="804" t="s">
        <v>13572</v>
      </c>
      <c r="E40" s="804" t="s">
        <v>6552</v>
      </c>
      <c r="F40" s="62">
        <v>15274</v>
      </c>
      <c r="G40" s="55">
        <v>10627343.720000001</v>
      </c>
      <c r="H40" s="804"/>
      <c r="I40" s="802" t="s">
        <v>11668</v>
      </c>
      <c r="J40" s="967"/>
    </row>
    <row r="41" spans="1:12" ht="56.25" x14ac:dyDescent="0.2">
      <c r="A41" s="804" t="s">
        <v>13573</v>
      </c>
      <c r="B41" s="804" t="s">
        <v>13571</v>
      </c>
      <c r="C41" s="1059" t="s">
        <v>13558</v>
      </c>
      <c r="D41" s="804" t="s">
        <v>13574</v>
      </c>
      <c r="E41" s="804" t="s">
        <v>6552</v>
      </c>
      <c r="F41" s="62">
        <v>45582</v>
      </c>
      <c r="G41" s="55">
        <v>31715043.960000001</v>
      </c>
      <c r="H41" s="804"/>
      <c r="I41" s="802" t="s">
        <v>11668</v>
      </c>
      <c r="J41" s="967"/>
    </row>
    <row r="42" spans="1:12" ht="56.25" x14ac:dyDescent="0.2">
      <c r="A42" s="804" t="s">
        <v>13575</v>
      </c>
      <c r="B42" s="804" t="s">
        <v>13571</v>
      </c>
      <c r="C42" s="1059" t="s">
        <v>13576</v>
      </c>
      <c r="D42" s="804" t="s">
        <v>13577</v>
      </c>
      <c r="E42" s="804" t="s">
        <v>6552</v>
      </c>
      <c r="F42" s="62">
        <v>15295</v>
      </c>
      <c r="G42" s="55">
        <v>10641955.1</v>
      </c>
      <c r="H42" s="804"/>
      <c r="I42" s="802" t="s">
        <v>11668</v>
      </c>
      <c r="J42" s="967"/>
    </row>
    <row r="43" spans="1:12" ht="56.25" x14ac:dyDescent="0.2">
      <c r="A43" s="804" t="s">
        <v>13578</v>
      </c>
      <c r="B43" s="804" t="s">
        <v>13579</v>
      </c>
      <c r="C43" s="1059" t="s">
        <v>13580</v>
      </c>
      <c r="D43" s="804" t="s">
        <v>13581</v>
      </c>
      <c r="E43" s="804" t="s">
        <v>6552</v>
      </c>
      <c r="F43" s="62">
        <v>29894</v>
      </c>
      <c r="G43" s="55">
        <v>20799647.32</v>
      </c>
      <c r="H43" s="804"/>
      <c r="I43" s="802" t="s">
        <v>11668</v>
      </c>
      <c r="J43" s="967"/>
    </row>
    <row r="44" spans="1:12" ht="56.25" x14ac:dyDescent="0.2">
      <c r="A44" s="804" t="s">
        <v>13582</v>
      </c>
      <c r="B44" s="804" t="s">
        <v>13579</v>
      </c>
      <c r="C44" s="1059" t="s">
        <v>13583</v>
      </c>
      <c r="D44" s="804" t="s">
        <v>13584</v>
      </c>
      <c r="E44" s="804" t="s">
        <v>6552</v>
      </c>
      <c r="F44" s="62">
        <v>22735</v>
      </c>
      <c r="G44" s="55">
        <v>15818558.300000001</v>
      </c>
      <c r="H44" s="804"/>
      <c r="I44" s="802" t="s">
        <v>11668</v>
      </c>
      <c r="J44" s="967"/>
    </row>
    <row r="45" spans="1:12" ht="56.25" x14ac:dyDescent="0.2">
      <c r="A45" s="804" t="s">
        <v>13585</v>
      </c>
      <c r="B45" s="804" t="s">
        <v>13579</v>
      </c>
      <c r="C45" s="1059" t="s">
        <v>13586</v>
      </c>
      <c r="D45" s="804" t="s">
        <v>13587</v>
      </c>
      <c r="E45" s="804" t="s">
        <v>6552</v>
      </c>
      <c r="F45" s="62">
        <v>7673</v>
      </c>
      <c r="G45" s="55">
        <v>5317846.54</v>
      </c>
      <c r="H45" s="804"/>
      <c r="I45" s="802" t="s">
        <v>11668</v>
      </c>
      <c r="J45" s="967"/>
    </row>
    <row r="46" spans="1:12" ht="56.25" x14ac:dyDescent="0.2">
      <c r="A46" s="804" t="s">
        <v>13588</v>
      </c>
      <c r="B46" s="804" t="s">
        <v>13579</v>
      </c>
      <c r="C46" s="1059" t="s">
        <v>13589</v>
      </c>
      <c r="D46" s="804" t="s">
        <v>13590</v>
      </c>
      <c r="E46" s="804" t="s">
        <v>6552</v>
      </c>
      <c r="F46" s="62">
        <v>6975</v>
      </c>
      <c r="G46" s="55">
        <v>4853065.5</v>
      </c>
      <c r="H46" s="804"/>
      <c r="I46" s="802" t="s">
        <v>11668</v>
      </c>
      <c r="J46" s="967"/>
    </row>
    <row r="47" spans="1:12" ht="56.25" x14ac:dyDescent="0.2">
      <c r="A47" s="804" t="s">
        <v>13591</v>
      </c>
      <c r="B47" s="804" t="s">
        <v>13579</v>
      </c>
      <c r="C47" s="1059" t="s">
        <v>13592</v>
      </c>
      <c r="D47" s="804" t="s">
        <v>13593</v>
      </c>
      <c r="E47" s="804" t="s">
        <v>6552</v>
      </c>
      <c r="F47" s="62">
        <v>7355</v>
      </c>
      <c r="G47" s="55">
        <v>5117461.9000000004</v>
      </c>
      <c r="H47" s="804"/>
      <c r="I47" s="802" t="s">
        <v>11668</v>
      </c>
      <c r="J47" s="967"/>
    </row>
    <row r="48" spans="1:12" ht="56.25" x14ac:dyDescent="0.2">
      <c r="A48" s="804" t="s">
        <v>13594</v>
      </c>
      <c r="B48" s="804" t="s">
        <v>13579</v>
      </c>
      <c r="C48" s="1059" t="s">
        <v>13595</v>
      </c>
      <c r="D48" s="804" t="s">
        <v>13596</v>
      </c>
      <c r="E48" s="804" t="s">
        <v>6552</v>
      </c>
      <c r="F48" s="62">
        <v>6249</v>
      </c>
      <c r="G48" s="55">
        <v>4347929.22</v>
      </c>
      <c r="H48" s="804"/>
      <c r="I48" s="802" t="s">
        <v>11668</v>
      </c>
      <c r="J48" s="967"/>
    </row>
    <row r="49" spans="1:10" ht="56.25" x14ac:dyDescent="0.2">
      <c r="A49" s="804" t="s">
        <v>13597</v>
      </c>
      <c r="B49" s="804" t="s">
        <v>13579</v>
      </c>
      <c r="C49" s="1059" t="s">
        <v>13598</v>
      </c>
      <c r="D49" s="804" t="s">
        <v>13599</v>
      </c>
      <c r="E49" s="804" t="s">
        <v>6552</v>
      </c>
      <c r="F49" s="62">
        <v>5104</v>
      </c>
      <c r="G49" s="55">
        <v>3551261.12</v>
      </c>
      <c r="H49" s="804"/>
      <c r="I49" s="802" t="s">
        <v>11668</v>
      </c>
      <c r="J49" s="967"/>
    </row>
    <row r="50" spans="1:10" ht="56.25" x14ac:dyDescent="0.2">
      <c r="A50" s="804" t="s">
        <v>13600</v>
      </c>
      <c r="B50" s="804" t="s">
        <v>13579</v>
      </c>
      <c r="C50" s="1059" t="s">
        <v>13601</v>
      </c>
      <c r="D50" s="804" t="s">
        <v>13602</v>
      </c>
      <c r="E50" s="804" t="s">
        <v>6552</v>
      </c>
      <c r="F50" s="62">
        <v>9218</v>
      </c>
      <c r="G50" s="55">
        <v>6413700.04</v>
      </c>
      <c r="H50" s="804"/>
      <c r="I50" s="802" t="s">
        <v>11668</v>
      </c>
      <c r="J50" s="967"/>
    </row>
    <row r="51" spans="1:10" ht="56.25" x14ac:dyDescent="0.2">
      <c r="A51" s="804" t="s">
        <v>13603</v>
      </c>
      <c r="B51" s="804" t="s">
        <v>13604</v>
      </c>
      <c r="C51" s="1059" t="s">
        <v>13605</v>
      </c>
      <c r="D51" s="804" t="s">
        <v>13606</v>
      </c>
      <c r="E51" s="804" t="s">
        <v>6552</v>
      </c>
      <c r="F51" s="62">
        <v>1909</v>
      </c>
      <c r="G51" s="55">
        <v>4187086.06</v>
      </c>
      <c r="H51" s="804"/>
      <c r="I51" s="802" t="s">
        <v>11668</v>
      </c>
      <c r="J51" s="967"/>
    </row>
    <row r="52" spans="1:10" ht="56.25" x14ac:dyDescent="0.2">
      <c r="A52" s="804" t="s">
        <v>13607</v>
      </c>
      <c r="B52" s="804" t="s">
        <v>13579</v>
      </c>
      <c r="C52" s="1059" t="s">
        <v>13608</v>
      </c>
      <c r="D52" s="804" t="s">
        <v>13609</v>
      </c>
      <c r="E52" s="804" t="s">
        <v>6552</v>
      </c>
      <c r="F52" s="62">
        <v>6155</v>
      </c>
      <c r="G52" s="55">
        <v>4282525.9000000004</v>
      </c>
      <c r="H52" s="804"/>
      <c r="I52" s="802" t="s">
        <v>11668</v>
      </c>
      <c r="J52" s="967"/>
    </row>
    <row r="53" spans="1:10" ht="56.25" x14ac:dyDescent="0.2">
      <c r="A53" s="804" t="s">
        <v>13610</v>
      </c>
      <c r="B53" s="804" t="s">
        <v>13579</v>
      </c>
      <c r="C53" s="1059" t="s">
        <v>13611</v>
      </c>
      <c r="D53" s="804" t="s">
        <v>13612</v>
      </c>
      <c r="E53" s="804" t="s">
        <v>6552</v>
      </c>
      <c r="F53" s="62">
        <v>4223</v>
      </c>
      <c r="G53" s="55">
        <v>2938278.94</v>
      </c>
      <c r="H53" s="804"/>
      <c r="I53" s="802" t="s">
        <v>11668</v>
      </c>
      <c r="J53" s="967"/>
    </row>
    <row r="54" spans="1:10" ht="56.25" x14ac:dyDescent="0.2">
      <c r="A54" s="804" t="s">
        <v>13613</v>
      </c>
      <c r="B54" s="804" t="s">
        <v>13579</v>
      </c>
      <c r="C54" s="1059" t="s">
        <v>13614</v>
      </c>
      <c r="D54" s="804" t="s">
        <v>13615</v>
      </c>
      <c r="E54" s="804" t="s">
        <v>6552</v>
      </c>
      <c r="F54" s="62">
        <v>3016</v>
      </c>
      <c r="G54" s="55">
        <v>2098472.48</v>
      </c>
      <c r="H54" s="804"/>
      <c r="I54" s="802" t="s">
        <v>11668</v>
      </c>
      <c r="J54" s="967"/>
    </row>
    <row r="55" spans="1:10" ht="56.25" x14ac:dyDescent="0.2">
      <c r="A55" s="804" t="s">
        <v>13616</v>
      </c>
      <c r="B55" s="804" t="s">
        <v>13579</v>
      </c>
      <c r="C55" s="1059" t="s">
        <v>13617</v>
      </c>
      <c r="D55" s="804" t="s">
        <v>13618</v>
      </c>
      <c r="E55" s="804" t="s">
        <v>6552</v>
      </c>
      <c r="F55" s="62">
        <v>5633</v>
      </c>
      <c r="G55" s="55">
        <v>3919328.74</v>
      </c>
      <c r="H55" s="804"/>
      <c r="I55" s="802" t="s">
        <v>11668</v>
      </c>
      <c r="J55" s="967"/>
    </row>
    <row r="56" spans="1:10" ht="56.25" x14ac:dyDescent="0.2">
      <c r="A56" s="804" t="s">
        <v>13619</v>
      </c>
      <c r="B56" s="804" t="s">
        <v>13579</v>
      </c>
      <c r="C56" s="1059" t="s">
        <v>13620</v>
      </c>
      <c r="D56" s="804" t="s">
        <v>13621</v>
      </c>
      <c r="E56" s="804" t="s">
        <v>6552</v>
      </c>
      <c r="F56" s="62">
        <v>7950</v>
      </c>
      <c r="G56" s="55">
        <v>5531451</v>
      </c>
      <c r="H56" s="804"/>
      <c r="I56" s="802" t="s">
        <v>11668</v>
      </c>
      <c r="J56" s="967"/>
    </row>
    <row r="57" spans="1:10" ht="56.25" x14ac:dyDescent="0.2">
      <c r="A57" s="804" t="s">
        <v>13622</v>
      </c>
      <c r="B57" s="804" t="s">
        <v>13623</v>
      </c>
      <c r="C57" s="1059" t="s">
        <v>13624</v>
      </c>
      <c r="D57" s="804" t="s">
        <v>13625</v>
      </c>
      <c r="E57" s="804" t="s">
        <v>6552</v>
      </c>
      <c r="F57" s="62">
        <v>5040</v>
      </c>
      <c r="G57" s="55">
        <v>11054433.6</v>
      </c>
      <c r="H57" s="804"/>
      <c r="I57" s="802" t="s">
        <v>11668</v>
      </c>
      <c r="J57" s="967"/>
    </row>
    <row r="58" spans="1:10" ht="56.25" x14ac:dyDescent="0.2">
      <c r="A58" s="804" t="s">
        <v>13626</v>
      </c>
      <c r="B58" s="804" t="s">
        <v>13627</v>
      </c>
      <c r="C58" s="1059" t="s">
        <v>13628</v>
      </c>
      <c r="D58" s="804" t="s">
        <v>13629</v>
      </c>
      <c r="E58" s="804" t="s">
        <v>6552</v>
      </c>
      <c r="F58" s="62">
        <v>542</v>
      </c>
      <c r="G58" s="55">
        <v>920288.9</v>
      </c>
      <c r="H58" s="804"/>
      <c r="I58" s="802" t="s">
        <v>11668</v>
      </c>
      <c r="J58" s="967"/>
    </row>
    <row r="59" spans="1:10" ht="56.25" x14ac:dyDescent="0.2">
      <c r="A59" s="804" t="s">
        <v>13630</v>
      </c>
      <c r="B59" s="804" t="s">
        <v>13627</v>
      </c>
      <c r="C59" s="1059" t="s">
        <v>13628</v>
      </c>
      <c r="D59" s="804" t="s">
        <v>13631</v>
      </c>
      <c r="E59" s="804" t="s">
        <v>6552</v>
      </c>
      <c r="F59" s="62">
        <v>731</v>
      </c>
      <c r="G59" s="55">
        <v>1241201.45</v>
      </c>
      <c r="H59" s="804"/>
      <c r="I59" s="802" t="s">
        <v>11668</v>
      </c>
      <c r="J59" s="967"/>
    </row>
    <row r="60" spans="1:10" ht="56.25" x14ac:dyDescent="0.2">
      <c r="A60" s="804" t="s">
        <v>13632</v>
      </c>
      <c r="B60" s="804" t="s">
        <v>13627</v>
      </c>
      <c r="C60" s="1059" t="s">
        <v>13628</v>
      </c>
      <c r="D60" s="804" t="s">
        <v>13633</v>
      </c>
      <c r="E60" s="804" t="s">
        <v>6552</v>
      </c>
      <c r="F60" s="62">
        <v>782</v>
      </c>
      <c r="G60" s="55">
        <v>1327796.8999999999</v>
      </c>
      <c r="H60" s="804"/>
      <c r="I60" s="802" t="s">
        <v>11668</v>
      </c>
      <c r="J60" s="967"/>
    </row>
    <row r="61" spans="1:10" ht="56.25" x14ac:dyDescent="0.2">
      <c r="A61" s="804" t="s">
        <v>13634</v>
      </c>
      <c r="B61" s="804" t="s">
        <v>13627</v>
      </c>
      <c r="C61" s="1059" t="s">
        <v>13628</v>
      </c>
      <c r="D61" s="804" t="s">
        <v>13635</v>
      </c>
      <c r="E61" s="804" t="s">
        <v>6552</v>
      </c>
      <c r="F61" s="62">
        <v>758</v>
      </c>
      <c r="G61" s="55">
        <v>1287046.1000000001</v>
      </c>
      <c r="H61" s="804"/>
      <c r="I61" s="802" t="s">
        <v>11668</v>
      </c>
      <c r="J61" s="967"/>
    </row>
    <row r="62" spans="1:10" ht="56.25" x14ac:dyDescent="0.2">
      <c r="A62" s="804" t="s">
        <v>13636</v>
      </c>
      <c r="B62" s="804" t="s">
        <v>13627</v>
      </c>
      <c r="C62" s="1059" t="s">
        <v>13628</v>
      </c>
      <c r="D62" s="804" t="s">
        <v>13637</v>
      </c>
      <c r="E62" s="804" t="s">
        <v>6552</v>
      </c>
      <c r="F62" s="62">
        <v>748</v>
      </c>
      <c r="G62" s="55">
        <v>1270066.6000000001</v>
      </c>
      <c r="H62" s="804"/>
      <c r="I62" s="802" t="s">
        <v>11668</v>
      </c>
      <c r="J62" s="967"/>
    </row>
    <row r="63" spans="1:10" ht="56.25" x14ac:dyDescent="0.2">
      <c r="A63" s="804" t="s">
        <v>13638</v>
      </c>
      <c r="B63" s="804" t="s">
        <v>13627</v>
      </c>
      <c r="C63" s="1059" t="s">
        <v>13628</v>
      </c>
      <c r="D63" s="804" t="s">
        <v>13639</v>
      </c>
      <c r="E63" s="804" t="s">
        <v>6552</v>
      </c>
      <c r="F63" s="62">
        <v>785</v>
      </c>
      <c r="G63" s="55">
        <v>1332890.75</v>
      </c>
      <c r="H63" s="804"/>
      <c r="I63" s="802" t="s">
        <v>11668</v>
      </c>
      <c r="J63" s="967"/>
    </row>
    <row r="64" spans="1:10" ht="56.25" x14ac:dyDescent="0.2">
      <c r="A64" s="804" t="s">
        <v>13640</v>
      </c>
      <c r="B64" s="804" t="s">
        <v>13627</v>
      </c>
      <c r="C64" s="1059" t="s">
        <v>13628</v>
      </c>
      <c r="D64" s="804" t="s">
        <v>13641</v>
      </c>
      <c r="E64" s="804" t="s">
        <v>6552</v>
      </c>
      <c r="F64" s="62">
        <v>749</v>
      </c>
      <c r="G64" s="55">
        <v>1271764.55</v>
      </c>
      <c r="H64" s="804"/>
      <c r="I64" s="802" t="s">
        <v>11668</v>
      </c>
      <c r="J64" s="967"/>
    </row>
    <row r="65" spans="1:10" ht="56.25" x14ac:dyDescent="0.2">
      <c r="A65" s="804" t="s">
        <v>13642</v>
      </c>
      <c r="B65" s="804" t="s">
        <v>13627</v>
      </c>
      <c r="C65" s="1059" t="s">
        <v>13628</v>
      </c>
      <c r="D65" s="804" t="s">
        <v>13643</v>
      </c>
      <c r="E65" s="804" t="s">
        <v>6552</v>
      </c>
      <c r="F65" s="62">
        <v>509</v>
      </c>
      <c r="G65" s="55">
        <v>864256.55</v>
      </c>
      <c r="H65" s="804"/>
      <c r="I65" s="802" t="s">
        <v>11668</v>
      </c>
      <c r="J65" s="967"/>
    </row>
    <row r="66" spans="1:10" ht="56.25" x14ac:dyDescent="0.2">
      <c r="A66" s="804" t="s">
        <v>13644</v>
      </c>
      <c r="B66" s="804" t="s">
        <v>13627</v>
      </c>
      <c r="C66" s="1059" t="s">
        <v>13628</v>
      </c>
      <c r="D66" s="804" t="s">
        <v>13645</v>
      </c>
      <c r="E66" s="804" t="s">
        <v>6552</v>
      </c>
      <c r="F66" s="62">
        <v>654</v>
      </c>
      <c r="G66" s="55">
        <v>1110459.3</v>
      </c>
      <c r="H66" s="804"/>
      <c r="I66" s="802" t="s">
        <v>11668</v>
      </c>
      <c r="J66" s="967"/>
    </row>
    <row r="67" spans="1:10" ht="56.25" x14ac:dyDescent="0.2">
      <c r="A67" s="804" t="s">
        <v>13646</v>
      </c>
      <c r="B67" s="804" t="s">
        <v>13627</v>
      </c>
      <c r="C67" s="1059" t="s">
        <v>13628</v>
      </c>
      <c r="D67" s="804" t="s">
        <v>13647</v>
      </c>
      <c r="E67" s="804" t="s">
        <v>6552</v>
      </c>
      <c r="F67" s="62">
        <v>808</v>
      </c>
      <c r="G67" s="55">
        <v>1371943.6</v>
      </c>
      <c r="H67" s="804"/>
      <c r="I67" s="802" t="s">
        <v>11668</v>
      </c>
      <c r="J67" s="967"/>
    </row>
    <row r="68" spans="1:10" ht="56.25" x14ac:dyDescent="0.2">
      <c r="A68" s="804" t="s">
        <v>13648</v>
      </c>
      <c r="B68" s="804" t="s">
        <v>13627</v>
      </c>
      <c r="C68" s="1059" t="s">
        <v>13628</v>
      </c>
      <c r="D68" s="804" t="s">
        <v>13649</v>
      </c>
      <c r="E68" s="804" t="s">
        <v>6552</v>
      </c>
      <c r="F68" s="62">
        <v>783</v>
      </c>
      <c r="G68" s="55">
        <v>1329494.8500000001</v>
      </c>
      <c r="H68" s="804"/>
      <c r="I68" s="802" t="s">
        <v>11668</v>
      </c>
      <c r="J68" s="967"/>
    </row>
    <row r="69" spans="1:10" ht="56.25" x14ac:dyDescent="0.2">
      <c r="A69" s="804" t="s">
        <v>13650</v>
      </c>
      <c r="B69" s="804" t="s">
        <v>13627</v>
      </c>
      <c r="C69" s="1059" t="s">
        <v>13628</v>
      </c>
      <c r="D69" s="804" t="s">
        <v>13651</v>
      </c>
      <c r="E69" s="804" t="s">
        <v>6552</v>
      </c>
      <c r="F69" s="62">
        <v>667</v>
      </c>
      <c r="G69" s="55">
        <v>1132532.6499999999</v>
      </c>
      <c r="H69" s="804"/>
      <c r="I69" s="802" t="s">
        <v>11668</v>
      </c>
      <c r="J69" s="967"/>
    </row>
    <row r="70" spans="1:10" ht="56.25" x14ac:dyDescent="0.2">
      <c r="A70" s="804" t="s">
        <v>13652</v>
      </c>
      <c r="B70" s="804" t="s">
        <v>13627</v>
      </c>
      <c r="C70" s="1059" t="s">
        <v>13628</v>
      </c>
      <c r="D70" s="804" t="s">
        <v>13653</v>
      </c>
      <c r="E70" s="804" t="s">
        <v>6552</v>
      </c>
      <c r="F70" s="62">
        <v>572</v>
      </c>
      <c r="G70" s="55">
        <v>97122.4</v>
      </c>
      <c r="H70" s="804"/>
      <c r="I70" s="802" t="s">
        <v>11668</v>
      </c>
      <c r="J70" s="967"/>
    </row>
    <row r="71" spans="1:10" ht="56.25" x14ac:dyDescent="0.2">
      <c r="A71" s="804" t="s">
        <v>13654</v>
      </c>
      <c r="B71" s="804" t="s">
        <v>13627</v>
      </c>
      <c r="C71" s="1059" t="s">
        <v>13628</v>
      </c>
      <c r="D71" s="804" t="s">
        <v>13655</v>
      </c>
      <c r="E71" s="804" t="s">
        <v>6552</v>
      </c>
      <c r="F71" s="62">
        <v>639</v>
      </c>
      <c r="G71" s="55">
        <v>1084990.05</v>
      </c>
      <c r="H71" s="804"/>
      <c r="I71" s="802" t="s">
        <v>11668</v>
      </c>
      <c r="J71" s="967"/>
    </row>
    <row r="72" spans="1:10" ht="56.25" x14ac:dyDescent="0.2">
      <c r="A72" s="804" t="s">
        <v>13656</v>
      </c>
      <c r="B72" s="804" t="s">
        <v>13627</v>
      </c>
      <c r="C72" s="1059" t="s">
        <v>13628</v>
      </c>
      <c r="D72" s="804" t="s">
        <v>13657</v>
      </c>
      <c r="E72" s="804" t="s">
        <v>6552</v>
      </c>
      <c r="F72" s="62">
        <v>658</v>
      </c>
      <c r="G72" s="55">
        <v>1117251.1000000001</v>
      </c>
      <c r="H72" s="804"/>
      <c r="I72" s="802" t="s">
        <v>11668</v>
      </c>
      <c r="J72" s="967"/>
    </row>
    <row r="73" spans="1:10" ht="56.25" x14ac:dyDescent="0.2">
      <c r="A73" s="804" t="s">
        <v>13658</v>
      </c>
      <c r="B73" s="804" t="s">
        <v>13627</v>
      </c>
      <c r="C73" s="1059" t="s">
        <v>13659</v>
      </c>
      <c r="D73" s="804" t="s">
        <v>13660</v>
      </c>
      <c r="E73" s="804" t="s">
        <v>6552</v>
      </c>
      <c r="F73" s="62">
        <v>919</v>
      </c>
      <c r="G73" s="55">
        <v>1560416.05</v>
      </c>
      <c r="H73" s="804"/>
      <c r="I73" s="802" t="s">
        <v>11668</v>
      </c>
      <c r="J73" s="967"/>
    </row>
    <row r="74" spans="1:10" ht="56.25" x14ac:dyDescent="0.2">
      <c r="A74" s="804" t="s">
        <v>13661</v>
      </c>
      <c r="B74" s="804" t="s">
        <v>13627</v>
      </c>
      <c r="C74" s="1059" t="s">
        <v>13659</v>
      </c>
      <c r="D74" s="804" t="s">
        <v>13662</v>
      </c>
      <c r="E74" s="804" t="s">
        <v>6552</v>
      </c>
      <c r="F74" s="62">
        <v>762</v>
      </c>
      <c r="G74" s="55" t="s">
        <v>9918</v>
      </c>
      <c r="H74" s="804"/>
      <c r="I74" s="802" t="s">
        <v>11668</v>
      </c>
      <c r="J74" s="967"/>
    </row>
    <row r="75" spans="1:10" ht="56.25" x14ac:dyDescent="0.2">
      <c r="A75" s="804" t="s">
        <v>13663</v>
      </c>
      <c r="B75" s="804" t="s">
        <v>13627</v>
      </c>
      <c r="C75" s="1059" t="s">
        <v>13659</v>
      </c>
      <c r="D75" s="804" t="s">
        <v>13664</v>
      </c>
      <c r="E75" s="804" t="s">
        <v>6552</v>
      </c>
      <c r="F75" s="62">
        <v>791</v>
      </c>
      <c r="G75" s="55">
        <v>1343078.45</v>
      </c>
      <c r="H75" s="804"/>
      <c r="I75" s="802" t="s">
        <v>11668</v>
      </c>
      <c r="J75" s="967"/>
    </row>
    <row r="76" spans="1:10" ht="56.25" x14ac:dyDescent="0.2">
      <c r="A76" s="804" t="s">
        <v>13665</v>
      </c>
      <c r="B76" s="804" t="s">
        <v>13627</v>
      </c>
      <c r="C76" s="1059" t="s">
        <v>13666</v>
      </c>
      <c r="D76" s="804" t="s">
        <v>13667</v>
      </c>
      <c r="E76" s="804" t="s">
        <v>6552</v>
      </c>
      <c r="F76" s="62">
        <v>730</v>
      </c>
      <c r="G76" s="55">
        <v>1239503.5</v>
      </c>
      <c r="H76" s="804"/>
      <c r="I76" s="802" t="s">
        <v>11668</v>
      </c>
      <c r="J76" s="967"/>
    </row>
    <row r="77" spans="1:10" ht="56.25" x14ac:dyDescent="0.2">
      <c r="A77" s="804" t="s">
        <v>13668</v>
      </c>
      <c r="B77" s="804" t="s">
        <v>13669</v>
      </c>
      <c r="C77" s="1059" t="s">
        <v>13670</v>
      </c>
      <c r="D77" s="804" t="s">
        <v>13671</v>
      </c>
      <c r="E77" s="804" t="s">
        <v>6552</v>
      </c>
      <c r="F77" s="62">
        <v>2507</v>
      </c>
      <c r="G77" s="55">
        <v>5498703.3799999999</v>
      </c>
      <c r="H77" s="804"/>
      <c r="I77" s="802" t="s">
        <v>11668</v>
      </c>
      <c r="J77" s="967"/>
    </row>
    <row r="78" spans="1:10" ht="56.25" x14ac:dyDescent="0.2">
      <c r="A78" s="804" t="s">
        <v>13672</v>
      </c>
      <c r="B78" s="804" t="s">
        <v>13673</v>
      </c>
      <c r="C78" s="1059" t="s">
        <v>13674</v>
      </c>
      <c r="D78" s="804" t="s">
        <v>13675</v>
      </c>
      <c r="E78" s="804" t="s">
        <v>6552</v>
      </c>
      <c r="F78" s="62">
        <v>4487</v>
      </c>
      <c r="G78" s="55">
        <v>9841516.5800000001</v>
      </c>
      <c r="H78" s="804"/>
      <c r="I78" s="802" t="s">
        <v>11668</v>
      </c>
      <c r="J78" s="967"/>
    </row>
    <row r="79" spans="1:10" ht="56.25" x14ac:dyDescent="0.2">
      <c r="A79" s="804" t="s">
        <v>13676</v>
      </c>
      <c r="B79" s="804" t="s">
        <v>13673</v>
      </c>
      <c r="C79" s="1059" t="s">
        <v>13677</v>
      </c>
      <c r="D79" s="804" t="s">
        <v>13678</v>
      </c>
      <c r="E79" s="804" t="s">
        <v>6552</v>
      </c>
      <c r="F79" s="62">
        <v>7405</v>
      </c>
      <c r="G79" s="55">
        <v>16241682.699999999</v>
      </c>
      <c r="H79" s="804"/>
      <c r="I79" s="802" t="s">
        <v>11668</v>
      </c>
      <c r="J79" s="967"/>
    </row>
    <row r="80" spans="1:10" ht="56.25" x14ac:dyDescent="0.2">
      <c r="A80" s="804" t="s">
        <v>13679</v>
      </c>
      <c r="B80" s="804" t="s">
        <v>13673</v>
      </c>
      <c r="C80" s="1059" t="s">
        <v>13680</v>
      </c>
      <c r="D80" s="804" t="s">
        <v>13681</v>
      </c>
      <c r="E80" s="804" t="s">
        <v>6552</v>
      </c>
      <c r="F80" s="62">
        <v>3834</v>
      </c>
      <c r="G80" s="55">
        <v>8409265.5600000005</v>
      </c>
      <c r="H80" s="804"/>
      <c r="I80" s="802" t="s">
        <v>11668</v>
      </c>
      <c r="J80" s="967"/>
    </row>
    <row r="81" spans="1:10" ht="56.25" x14ac:dyDescent="0.2">
      <c r="A81" s="804" t="s">
        <v>13682</v>
      </c>
      <c r="B81" s="804" t="s">
        <v>13683</v>
      </c>
      <c r="C81" s="1059" t="s">
        <v>13684</v>
      </c>
      <c r="D81" s="804" t="s">
        <v>13685</v>
      </c>
      <c r="E81" s="804" t="s">
        <v>6552</v>
      </c>
      <c r="F81" s="62">
        <v>4852</v>
      </c>
      <c r="G81" s="55">
        <v>1135562.08</v>
      </c>
      <c r="H81" s="804"/>
      <c r="I81" s="802" t="s">
        <v>11668</v>
      </c>
      <c r="J81" s="967"/>
    </row>
    <row r="82" spans="1:10" ht="56.25" x14ac:dyDescent="0.2">
      <c r="A82" s="804" t="s">
        <v>13686</v>
      </c>
      <c r="B82" s="804" t="s">
        <v>13673</v>
      </c>
      <c r="C82" s="1059" t="s">
        <v>13687</v>
      </c>
      <c r="D82" s="804" t="s">
        <v>13688</v>
      </c>
      <c r="E82" s="804" t="s">
        <v>6552</v>
      </c>
      <c r="F82" s="62">
        <v>9033</v>
      </c>
      <c r="G82" s="55">
        <v>19812440.219999999</v>
      </c>
      <c r="H82" s="804"/>
      <c r="I82" s="802" t="s">
        <v>11668</v>
      </c>
      <c r="J82" s="967"/>
    </row>
    <row r="83" spans="1:10" ht="56.25" x14ac:dyDescent="0.2">
      <c r="A83" s="804" t="s">
        <v>13689</v>
      </c>
      <c r="B83" s="804" t="s">
        <v>13683</v>
      </c>
      <c r="C83" s="1059" t="s">
        <v>13690</v>
      </c>
      <c r="D83" s="804" t="s">
        <v>13691</v>
      </c>
      <c r="E83" s="804" t="s">
        <v>6552</v>
      </c>
      <c r="F83" s="62">
        <v>3983</v>
      </c>
      <c r="G83" s="55">
        <v>932181.32</v>
      </c>
      <c r="H83" s="804"/>
      <c r="I83" s="802" t="s">
        <v>11668</v>
      </c>
      <c r="J83" s="967"/>
    </row>
    <row r="84" spans="1:10" ht="56.25" x14ac:dyDescent="0.2">
      <c r="A84" s="804" t="s">
        <v>13692</v>
      </c>
      <c r="B84" s="804" t="s">
        <v>13693</v>
      </c>
      <c r="C84" s="1059" t="s">
        <v>13694</v>
      </c>
      <c r="D84" s="804" t="s">
        <v>13695</v>
      </c>
      <c r="E84" s="804" t="s">
        <v>6552</v>
      </c>
      <c r="F84" s="62">
        <v>7336</v>
      </c>
      <c r="G84" s="55">
        <v>3594860.08</v>
      </c>
      <c r="H84" s="804"/>
      <c r="I84" s="802" t="s">
        <v>11668</v>
      </c>
      <c r="J84" s="967"/>
    </row>
    <row r="85" spans="1:10" ht="56.25" x14ac:dyDescent="0.2">
      <c r="A85" s="804" t="s">
        <v>13696</v>
      </c>
      <c r="B85" s="804" t="s">
        <v>13579</v>
      </c>
      <c r="C85" s="1059" t="s">
        <v>13697</v>
      </c>
      <c r="D85" s="804" t="s">
        <v>13698</v>
      </c>
      <c r="E85" s="804" t="s">
        <v>6552</v>
      </c>
      <c r="F85" s="62">
        <v>10830</v>
      </c>
      <c r="G85" s="55">
        <v>7535297.4000000004</v>
      </c>
      <c r="H85" s="804"/>
      <c r="I85" s="802" t="s">
        <v>11668</v>
      </c>
      <c r="J85" s="967"/>
    </row>
    <row r="86" spans="1:10" ht="56.25" x14ac:dyDescent="0.2">
      <c r="A86" s="804" t="s">
        <v>13699</v>
      </c>
      <c r="B86" s="804" t="s">
        <v>13693</v>
      </c>
      <c r="C86" s="1059" t="s">
        <v>13700</v>
      </c>
      <c r="D86" s="804" t="s">
        <v>13701</v>
      </c>
      <c r="E86" s="804" t="s">
        <v>6552</v>
      </c>
      <c r="F86" s="62">
        <v>1820</v>
      </c>
      <c r="G86" s="55">
        <v>891854.6</v>
      </c>
      <c r="H86" s="804"/>
      <c r="I86" s="802" t="s">
        <v>11668</v>
      </c>
      <c r="J86" s="967"/>
    </row>
    <row r="87" spans="1:10" ht="56.25" x14ac:dyDescent="0.2">
      <c r="A87" s="804" t="s">
        <v>13702</v>
      </c>
      <c r="B87" s="804" t="s">
        <v>13579</v>
      </c>
      <c r="C87" s="1059" t="s">
        <v>13703</v>
      </c>
      <c r="D87" s="804" t="s">
        <v>13704</v>
      </c>
      <c r="E87" s="804" t="s">
        <v>6552</v>
      </c>
      <c r="F87" s="62">
        <v>9008</v>
      </c>
      <c r="G87" s="55">
        <v>6267586.2400000002</v>
      </c>
      <c r="H87" s="804"/>
      <c r="I87" s="802" t="s">
        <v>11668</v>
      </c>
      <c r="J87" s="967"/>
    </row>
    <row r="88" spans="1:10" ht="56.25" x14ac:dyDescent="0.2">
      <c r="A88" s="804" t="s">
        <v>13705</v>
      </c>
      <c r="B88" s="804" t="s">
        <v>13579</v>
      </c>
      <c r="C88" s="1059" t="s">
        <v>13706</v>
      </c>
      <c r="D88" s="804" t="s">
        <v>13707</v>
      </c>
      <c r="E88" s="804" t="s">
        <v>6552</v>
      </c>
      <c r="F88" s="62">
        <v>11568</v>
      </c>
      <c r="G88" s="55">
        <v>8048783.04</v>
      </c>
      <c r="H88" s="804"/>
      <c r="I88" s="802" t="s">
        <v>11668</v>
      </c>
      <c r="J88" s="967"/>
    </row>
    <row r="89" spans="1:10" ht="56.25" x14ac:dyDescent="0.2">
      <c r="A89" s="804" t="s">
        <v>13708</v>
      </c>
      <c r="B89" s="804" t="s">
        <v>13579</v>
      </c>
      <c r="C89" s="1059" t="s">
        <v>13709</v>
      </c>
      <c r="D89" s="804" t="s">
        <v>13710</v>
      </c>
      <c r="E89" s="804" t="s">
        <v>6552</v>
      </c>
      <c r="F89" s="62">
        <v>8086</v>
      </c>
      <c r="G89" s="55">
        <v>5626077.0800000001</v>
      </c>
      <c r="H89" s="804"/>
      <c r="I89" s="802" t="s">
        <v>11668</v>
      </c>
      <c r="J89" s="967"/>
    </row>
    <row r="90" spans="1:10" ht="56.25" x14ac:dyDescent="0.2">
      <c r="A90" s="804" t="s">
        <v>13711</v>
      </c>
      <c r="B90" s="804" t="s">
        <v>13579</v>
      </c>
      <c r="C90" s="1059" t="s">
        <v>13712</v>
      </c>
      <c r="D90" s="804" t="s">
        <v>13713</v>
      </c>
      <c r="E90" s="804" t="s">
        <v>6552</v>
      </c>
      <c r="F90" s="62">
        <v>8013</v>
      </c>
      <c r="G90" s="55">
        <v>5575285.1399999997</v>
      </c>
      <c r="H90" s="804"/>
      <c r="I90" s="802" t="s">
        <v>11668</v>
      </c>
      <c r="J90" s="967"/>
    </row>
    <row r="91" spans="1:10" ht="56.25" x14ac:dyDescent="0.2">
      <c r="A91" s="804" t="s">
        <v>13714</v>
      </c>
      <c r="B91" s="804" t="s">
        <v>13579</v>
      </c>
      <c r="C91" s="1059" t="s">
        <v>13715</v>
      </c>
      <c r="D91" s="804" t="s">
        <v>13716</v>
      </c>
      <c r="E91" s="804" t="s">
        <v>6552</v>
      </c>
      <c r="F91" s="62">
        <v>6679</v>
      </c>
      <c r="G91" s="55">
        <v>4647114.62</v>
      </c>
      <c r="H91" s="804"/>
      <c r="I91" s="802" t="s">
        <v>11668</v>
      </c>
      <c r="J91" s="967"/>
    </row>
    <row r="92" spans="1:10" ht="56.25" x14ac:dyDescent="0.2">
      <c r="A92" s="804" t="s">
        <v>13717</v>
      </c>
      <c r="B92" s="804" t="s">
        <v>13718</v>
      </c>
      <c r="C92" s="1059" t="s">
        <v>13719</v>
      </c>
      <c r="D92" s="804" t="s">
        <v>13720</v>
      </c>
      <c r="E92" s="804" t="s">
        <v>6552</v>
      </c>
      <c r="F92" s="62">
        <v>2952</v>
      </c>
      <c r="G92" s="55">
        <v>6474739.6799999997</v>
      </c>
      <c r="H92" s="804"/>
      <c r="I92" s="802" t="s">
        <v>11668</v>
      </c>
      <c r="J92" s="967"/>
    </row>
    <row r="93" spans="1:10" ht="56.25" x14ac:dyDescent="0.2">
      <c r="A93" s="804" t="s">
        <v>13721</v>
      </c>
      <c r="B93" s="804" t="s">
        <v>13673</v>
      </c>
      <c r="C93" s="1059" t="s">
        <v>13722</v>
      </c>
      <c r="D93" s="804" t="s">
        <v>13723</v>
      </c>
      <c r="E93" s="804" t="s">
        <v>6552</v>
      </c>
      <c r="F93" s="62">
        <v>5442</v>
      </c>
      <c r="G93" s="55">
        <v>11936156.279999999</v>
      </c>
      <c r="H93" s="804"/>
      <c r="I93" s="802" t="s">
        <v>11668</v>
      </c>
      <c r="J93" s="967"/>
    </row>
    <row r="94" spans="1:10" ht="56.25" x14ac:dyDescent="0.2">
      <c r="A94" s="804" t="s">
        <v>13724</v>
      </c>
      <c r="B94" s="804" t="s">
        <v>13718</v>
      </c>
      <c r="C94" s="1059" t="s">
        <v>13725</v>
      </c>
      <c r="D94" s="804" t="s">
        <v>13726</v>
      </c>
      <c r="E94" s="804" t="s">
        <v>6552</v>
      </c>
      <c r="F94" s="62">
        <v>2045</v>
      </c>
      <c r="G94" s="55">
        <v>4485380.3</v>
      </c>
      <c r="H94" s="804"/>
      <c r="I94" s="802" t="s">
        <v>11668</v>
      </c>
      <c r="J94" s="967"/>
    </row>
    <row r="95" spans="1:10" ht="56.25" x14ac:dyDescent="0.2">
      <c r="A95" s="804" t="s">
        <v>13727</v>
      </c>
      <c r="B95" s="804" t="s">
        <v>13728</v>
      </c>
      <c r="C95" s="1059" t="s">
        <v>13729</v>
      </c>
      <c r="D95" s="804" t="s">
        <v>13730</v>
      </c>
      <c r="E95" s="804" t="s">
        <v>6552</v>
      </c>
      <c r="F95" s="62">
        <v>2253</v>
      </c>
      <c r="G95" s="55">
        <v>4941595.0199999996</v>
      </c>
      <c r="H95" s="804"/>
      <c r="I95" s="802" t="s">
        <v>11668</v>
      </c>
      <c r="J95" s="967"/>
    </row>
    <row r="96" spans="1:10" ht="56.25" x14ac:dyDescent="0.2">
      <c r="A96" s="804" t="s">
        <v>13731</v>
      </c>
      <c r="B96" s="804" t="s">
        <v>13673</v>
      </c>
      <c r="C96" s="1059" t="s">
        <v>13732</v>
      </c>
      <c r="D96" s="804" t="s">
        <v>13733</v>
      </c>
      <c r="E96" s="804" t="s">
        <v>6552</v>
      </c>
      <c r="F96" s="62">
        <v>5950</v>
      </c>
      <c r="G96" s="55">
        <v>4139891</v>
      </c>
      <c r="H96" s="804"/>
      <c r="I96" s="802" t="s">
        <v>11668</v>
      </c>
      <c r="J96" s="967"/>
    </row>
    <row r="97" spans="1:10" ht="56.25" x14ac:dyDescent="0.2">
      <c r="A97" s="804" t="s">
        <v>13734</v>
      </c>
      <c r="B97" s="804" t="s">
        <v>13683</v>
      </c>
      <c r="C97" s="1059" t="s">
        <v>13735</v>
      </c>
      <c r="D97" s="804" t="s">
        <v>13736</v>
      </c>
      <c r="E97" s="804" t="s">
        <v>6552</v>
      </c>
      <c r="F97" s="62">
        <v>4980</v>
      </c>
      <c r="G97" s="55">
        <v>1165519.2</v>
      </c>
      <c r="H97" s="804"/>
      <c r="I97" s="802" t="s">
        <v>11668</v>
      </c>
      <c r="J97" s="967"/>
    </row>
    <row r="98" spans="1:10" ht="56.25" x14ac:dyDescent="0.2">
      <c r="A98" s="804" t="s">
        <v>13737</v>
      </c>
      <c r="B98" s="804" t="s">
        <v>13738</v>
      </c>
      <c r="C98" s="1059" t="s">
        <v>13739</v>
      </c>
      <c r="D98" s="804" t="s">
        <v>13740</v>
      </c>
      <c r="E98" s="804" t="s">
        <v>6552</v>
      </c>
      <c r="F98" s="62">
        <v>2143</v>
      </c>
      <c r="G98" s="55">
        <v>1491056.54</v>
      </c>
      <c r="H98" s="804"/>
      <c r="I98" s="802" t="s">
        <v>11668</v>
      </c>
      <c r="J98" s="967"/>
    </row>
    <row r="99" spans="1:10" ht="56.25" x14ac:dyDescent="0.2">
      <c r="A99" s="804" t="s">
        <v>13741</v>
      </c>
      <c r="B99" s="804" t="s">
        <v>13738</v>
      </c>
      <c r="C99" s="1059" t="s">
        <v>13739</v>
      </c>
      <c r="D99" s="804" t="s">
        <v>13742</v>
      </c>
      <c r="E99" s="804" t="s">
        <v>6552</v>
      </c>
      <c r="F99" s="62">
        <v>2171</v>
      </c>
      <c r="G99" s="55">
        <v>1510538.38</v>
      </c>
      <c r="H99" s="804"/>
      <c r="I99" s="802" t="s">
        <v>11668</v>
      </c>
      <c r="J99" s="967"/>
    </row>
    <row r="100" spans="1:10" ht="56.25" x14ac:dyDescent="0.2">
      <c r="A100" s="804" t="s">
        <v>13743</v>
      </c>
      <c r="B100" s="804" t="s">
        <v>13738</v>
      </c>
      <c r="C100" s="1059" t="s">
        <v>13739</v>
      </c>
      <c r="D100" s="804" t="s">
        <v>13744</v>
      </c>
      <c r="E100" s="804" t="s">
        <v>6552</v>
      </c>
      <c r="F100" s="62">
        <v>2044</v>
      </c>
      <c r="G100" s="55">
        <v>1422174.32</v>
      </c>
      <c r="H100" s="804"/>
      <c r="I100" s="802" t="s">
        <v>11668</v>
      </c>
      <c r="J100" s="967"/>
    </row>
    <row r="101" spans="1:10" ht="56.25" x14ac:dyDescent="0.2">
      <c r="A101" s="804" t="s">
        <v>13745</v>
      </c>
      <c r="B101" s="804" t="s">
        <v>13738</v>
      </c>
      <c r="C101" s="1059" t="s">
        <v>13739</v>
      </c>
      <c r="D101" s="804" t="s">
        <v>13746</v>
      </c>
      <c r="E101" s="804" t="s">
        <v>6552</v>
      </c>
      <c r="F101" s="62">
        <v>2576</v>
      </c>
      <c r="G101" s="55">
        <v>1792329.28</v>
      </c>
      <c r="H101" s="804"/>
      <c r="I101" s="802" t="s">
        <v>11668</v>
      </c>
      <c r="J101" s="967"/>
    </row>
    <row r="102" spans="1:10" ht="56.25" x14ac:dyDescent="0.2">
      <c r="A102" s="804" t="s">
        <v>13747</v>
      </c>
      <c r="B102" s="804" t="s">
        <v>13738</v>
      </c>
      <c r="C102" s="1059" t="s">
        <v>13739</v>
      </c>
      <c r="D102" s="804" t="s">
        <v>13748</v>
      </c>
      <c r="E102" s="804" t="s">
        <v>6552</v>
      </c>
      <c r="F102" s="62">
        <v>2177</v>
      </c>
      <c r="G102" s="55">
        <v>1514713.06</v>
      </c>
      <c r="H102" s="804"/>
      <c r="I102" s="802" t="s">
        <v>11668</v>
      </c>
      <c r="J102" s="967"/>
    </row>
    <row r="103" spans="1:10" ht="56.25" x14ac:dyDescent="0.2">
      <c r="A103" s="804" t="s">
        <v>13749</v>
      </c>
      <c r="B103" s="804" t="s">
        <v>13750</v>
      </c>
      <c r="C103" s="1059" t="s">
        <v>13751</v>
      </c>
      <c r="D103" s="804" t="s">
        <v>13752</v>
      </c>
      <c r="E103" s="804" t="s">
        <v>6552</v>
      </c>
      <c r="F103" s="62">
        <v>671</v>
      </c>
      <c r="G103" s="55">
        <v>1139324.45</v>
      </c>
      <c r="H103" s="804"/>
      <c r="I103" s="802" t="s">
        <v>11668</v>
      </c>
      <c r="J103" s="967"/>
    </row>
    <row r="104" spans="1:10" ht="56.25" x14ac:dyDescent="0.2">
      <c r="A104" s="804" t="s">
        <v>13753</v>
      </c>
      <c r="B104" s="804" t="s">
        <v>13750</v>
      </c>
      <c r="C104" s="1059" t="s">
        <v>13751</v>
      </c>
      <c r="D104" s="804" t="s">
        <v>13754</v>
      </c>
      <c r="E104" s="804" t="s">
        <v>6552</v>
      </c>
      <c r="F104" s="62">
        <v>643</v>
      </c>
      <c r="G104" s="55">
        <v>1091781.8500000001</v>
      </c>
      <c r="H104" s="804"/>
      <c r="I104" s="802" t="s">
        <v>11668</v>
      </c>
      <c r="J104" s="967"/>
    </row>
    <row r="105" spans="1:10" ht="56.25" x14ac:dyDescent="0.2">
      <c r="A105" s="804" t="s">
        <v>13755</v>
      </c>
      <c r="B105" s="804" t="s">
        <v>13750</v>
      </c>
      <c r="C105" s="1059" t="s">
        <v>13751</v>
      </c>
      <c r="D105" s="804" t="s">
        <v>13756</v>
      </c>
      <c r="E105" s="804" t="s">
        <v>6552</v>
      </c>
      <c r="F105" s="62">
        <v>631</v>
      </c>
      <c r="G105" s="55">
        <v>1071406.45</v>
      </c>
      <c r="H105" s="804"/>
      <c r="I105" s="802" t="s">
        <v>11668</v>
      </c>
      <c r="J105" s="967"/>
    </row>
    <row r="106" spans="1:10" ht="56.25" x14ac:dyDescent="0.2">
      <c r="A106" s="804" t="s">
        <v>13757</v>
      </c>
      <c r="B106" s="804" t="s">
        <v>13750</v>
      </c>
      <c r="C106" s="1059" t="s">
        <v>13751</v>
      </c>
      <c r="D106" s="804" t="s">
        <v>13758</v>
      </c>
      <c r="E106" s="804" t="s">
        <v>6552</v>
      </c>
      <c r="F106" s="62">
        <v>615</v>
      </c>
      <c r="G106" s="55">
        <v>1044239.25</v>
      </c>
      <c r="H106" s="804"/>
      <c r="I106" s="802" t="s">
        <v>11668</v>
      </c>
      <c r="J106" s="967"/>
    </row>
    <row r="107" spans="1:10" ht="56.25" x14ac:dyDescent="0.2">
      <c r="A107" s="804" t="s">
        <v>13759</v>
      </c>
      <c r="B107" s="804" t="s">
        <v>13750</v>
      </c>
      <c r="C107" s="1059" t="s">
        <v>13751</v>
      </c>
      <c r="D107" s="804" t="s">
        <v>13760</v>
      </c>
      <c r="E107" s="804" t="s">
        <v>6552</v>
      </c>
      <c r="F107" s="62">
        <v>593</v>
      </c>
      <c r="G107" s="55">
        <v>1006884.35</v>
      </c>
      <c r="H107" s="804"/>
      <c r="I107" s="802" t="s">
        <v>11668</v>
      </c>
      <c r="J107" s="967"/>
    </row>
    <row r="108" spans="1:10" ht="56.25" x14ac:dyDescent="0.2">
      <c r="A108" s="804" t="s">
        <v>13761</v>
      </c>
      <c r="B108" s="804" t="s">
        <v>13750</v>
      </c>
      <c r="C108" s="1059" t="s">
        <v>13751</v>
      </c>
      <c r="D108" s="804" t="s">
        <v>13762</v>
      </c>
      <c r="E108" s="804" t="s">
        <v>6552</v>
      </c>
      <c r="F108" s="62">
        <v>586</v>
      </c>
      <c r="G108" s="55">
        <v>994998.7</v>
      </c>
      <c r="H108" s="804"/>
      <c r="I108" s="802" t="s">
        <v>11668</v>
      </c>
      <c r="J108" s="967"/>
    </row>
    <row r="109" spans="1:10" ht="56.25" x14ac:dyDescent="0.2">
      <c r="A109" s="804" t="s">
        <v>13763</v>
      </c>
      <c r="B109" s="804" t="s">
        <v>13750</v>
      </c>
      <c r="C109" s="1059" t="s">
        <v>13751</v>
      </c>
      <c r="D109" s="804" t="s">
        <v>13764</v>
      </c>
      <c r="E109" s="804" t="s">
        <v>6552</v>
      </c>
      <c r="F109" s="62">
        <v>505</v>
      </c>
      <c r="G109" s="55">
        <v>857464.75</v>
      </c>
      <c r="H109" s="804"/>
      <c r="I109" s="802" t="s">
        <v>11668</v>
      </c>
      <c r="J109" s="967"/>
    </row>
    <row r="110" spans="1:10" ht="56.25" x14ac:dyDescent="0.2">
      <c r="A110" s="804" t="s">
        <v>13765</v>
      </c>
      <c r="B110" s="804" t="s">
        <v>13750</v>
      </c>
      <c r="C110" s="1059" t="s">
        <v>13751</v>
      </c>
      <c r="D110" s="804" t="s">
        <v>13766</v>
      </c>
      <c r="E110" s="804" t="s">
        <v>6552</v>
      </c>
      <c r="F110" s="62">
        <v>562</v>
      </c>
      <c r="G110" s="55">
        <v>954247.9</v>
      </c>
      <c r="H110" s="804"/>
      <c r="I110" s="802" t="s">
        <v>11668</v>
      </c>
      <c r="J110" s="967"/>
    </row>
    <row r="111" spans="1:10" ht="56.25" x14ac:dyDescent="0.2">
      <c r="A111" s="804" t="s">
        <v>13767</v>
      </c>
      <c r="B111" s="804" t="s">
        <v>13750</v>
      </c>
      <c r="C111" s="1059" t="s">
        <v>13751</v>
      </c>
      <c r="D111" s="804" t="s">
        <v>13768</v>
      </c>
      <c r="E111" s="804" t="s">
        <v>6552</v>
      </c>
      <c r="F111" s="62">
        <v>585</v>
      </c>
      <c r="G111" s="55">
        <v>993300.75</v>
      </c>
      <c r="H111" s="804"/>
      <c r="I111" s="802" t="s">
        <v>11668</v>
      </c>
      <c r="J111" s="967"/>
    </row>
    <row r="112" spans="1:10" ht="56.25" x14ac:dyDescent="0.2">
      <c r="A112" s="804" t="s">
        <v>13769</v>
      </c>
      <c r="B112" s="804" t="s">
        <v>13750</v>
      </c>
      <c r="C112" s="1059" t="s">
        <v>13751</v>
      </c>
      <c r="D112" s="804" t="s">
        <v>13770</v>
      </c>
      <c r="E112" s="804" t="s">
        <v>6552</v>
      </c>
      <c r="F112" s="62">
        <v>580</v>
      </c>
      <c r="G112" s="55">
        <v>984811</v>
      </c>
      <c r="H112" s="804"/>
      <c r="I112" s="802" t="s">
        <v>11668</v>
      </c>
      <c r="J112" s="967"/>
    </row>
    <row r="113" spans="1:10" ht="56.25" x14ac:dyDescent="0.2">
      <c r="A113" s="804" t="s">
        <v>13771</v>
      </c>
      <c r="B113" s="804" t="s">
        <v>13750</v>
      </c>
      <c r="C113" s="1059" t="s">
        <v>13751</v>
      </c>
      <c r="D113" s="804" t="s">
        <v>13772</v>
      </c>
      <c r="E113" s="804" t="s">
        <v>6552</v>
      </c>
      <c r="F113" s="62">
        <v>583</v>
      </c>
      <c r="G113" s="55">
        <v>989904.85</v>
      </c>
      <c r="H113" s="804"/>
      <c r="I113" s="802" t="s">
        <v>11668</v>
      </c>
      <c r="J113" s="967"/>
    </row>
    <row r="114" spans="1:10" ht="56.25" x14ac:dyDescent="0.2">
      <c r="A114" s="804" t="s">
        <v>13773</v>
      </c>
      <c r="B114" s="804" t="s">
        <v>13750</v>
      </c>
      <c r="C114" s="1059" t="s">
        <v>13751</v>
      </c>
      <c r="D114" s="804" t="s">
        <v>13774</v>
      </c>
      <c r="E114" s="804" t="s">
        <v>6552</v>
      </c>
      <c r="F114" s="62">
        <v>580</v>
      </c>
      <c r="G114" s="55">
        <v>984811</v>
      </c>
      <c r="H114" s="804"/>
      <c r="I114" s="802" t="s">
        <v>11668</v>
      </c>
      <c r="J114" s="967"/>
    </row>
    <row r="115" spans="1:10" ht="56.25" x14ac:dyDescent="0.2">
      <c r="A115" s="804" t="s">
        <v>13775</v>
      </c>
      <c r="B115" s="804" t="s">
        <v>13579</v>
      </c>
      <c r="C115" s="1059" t="s">
        <v>13776</v>
      </c>
      <c r="D115" s="804" t="s">
        <v>13777</v>
      </c>
      <c r="E115" s="804" t="s">
        <v>6552</v>
      </c>
      <c r="F115" s="62">
        <v>11795</v>
      </c>
      <c r="G115" s="55">
        <v>8206725.0999999996</v>
      </c>
      <c r="H115" s="804"/>
      <c r="I115" s="802" t="s">
        <v>11668</v>
      </c>
      <c r="J115" s="967"/>
    </row>
    <row r="116" spans="1:10" ht="56.25" x14ac:dyDescent="0.2">
      <c r="A116" s="804" t="s">
        <v>13778</v>
      </c>
      <c r="B116" s="804" t="s">
        <v>13568</v>
      </c>
      <c r="C116" s="1059" t="s">
        <v>13779</v>
      </c>
      <c r="D116" s="804" t="s">
        <v>13780</v>
      </c>
      <c r="E116" s="804" t="s">
        <v>6552</v>
      </c>
      <c r="F116" s="62">
        <v>227</v>
      </c>
      <c r="G116" s="55">
        <v>112236.81</v>
      </c>
      <c r="H116" s="804"/>
      <c r="I116" s="802" t="s">
        <v>11668</v>
      </c>
      <c r="J116" s="967"/>
    </row>
    <row r="117" spans="1:10" ht="56.25" x14ac:dyDescent="0.2">
      <c r="A117" s="804" t="s">
        <v>13781</v>
      </c>
      <c r="B117" s="804" t="s">
        <v>13782</v>
      </c>
      <c r="C117" s="1059" t="s">
        <v>13783</v>
      </c>
      <c r="D117" s="804" t="s">
        <v>13784</v>
      </c>
      <c r="E117" s="804" t="s">
        <v>6552</v>
      </c>
      <c r="F117" s="62">
        <v>7623</v>
      </c>
      <c r="G117" s="55">
        <v>3735498.69</v>
      </c>
      <c r="H117" s="804"/>
      <c r="I117" s="802" t="s">
        <v>11668</v>
      </c>
      <c r="J117" s="967"/>
    </row>
    <row r="118" spans="1:10" ht="56.25" x14ac:dyDescent="0.2">
      <c r="A118" s="804" t="s">
        <v>13785</v>
      </c>
      <c r="B118" s="804" t="s">
        <v>13568</v>
      </c>
      <c r="C118" s="1059" t="s">
        <v>13786</v>
      </c>
      <c r="D118" s="804" t="s">
        <v>13787</v>
      </c>
      <c r="E118" s="804" t="s">
        <v>6552</v>
      </c>
      <c r="F118" s="62">
        <v>4080</v>
      </c>
      <c r="G118" s="55">
        <v>1999322.4</v>
      </c>
      <c r="H118" s="804"/>
      <c r="I118" s="802" t="s">
        <v>11668</v>
      </c>
      <c r="J118" s="967"/>
    </row>
    <row r="119" spans="1:10" ht="56.25" x14ac:dyDescent="0.2">
      <c r="A119" s="804" t="s">
        <v>14440</v>
      </c>
      <c r="B119" s="804" t="s">
        <v>13788</v>
      </c>
      <c r="C119" s="1059" t="s">
        <v>13558</v>
      </c>
      <c r="D119" s="804" t="s">
        <v>13789</v>
      </c>
      <c r="E119" s="804" t="s">
        <v>6552</v>
      </c>
      <c r="F119" s="62">
        <v>3706</v>
      </c>
      <c r="G119" s="55">
        <v>1816051.18</v>
      </c>
      <c r="H119" s="804"/>
      <c r="I119" s="802" t="s">
        <v>11668</v>
      </c>
      <c r="J119" s="967"/>
    </row>
    <row r="120" spans="1:10" ht="56.25" x14ac:dyDescent="0.2">
      <c r="A120" s="804" t="s">
        <v>14441</v>
      </c>
      <c r="B120" s="804" t="s">
        <v>13557</v>
      </c>
      <c r="C120" s="1059" t="s">
        <v>13576</v>
      </c>
      <c r="D120" s="804" t="s">
        <v>13790</v>
      </c>
      <c r="E120" s="804" t="s">
        <v>6552</v>
      </c>
      <c r="F120" s="62">
        <v>16738</v>
      </c>
      <c r="G120" s="55">
        <v>11645965.640000001</v>
      </c>
      <c r="H120" s="804"/>
      <c r="I120" s="802" t="s">
        <v>11668</v>
      </c>
      <c r="J120" s="967"/>
    </row>
    <row r="121" spans="1:10" ht="56.25" x14ac:dyDescent="0.2">
      <c r="A121" s="804" t="s">
        <v>14442</v>
      </c>
      <c r="B121" s="804" t="s">
        <v>13568</v>
      </c>
      <c r="C121" s="1059" t="s">
        <v>13558</v>
      </c>
      <c r="D121" s="804" t="s">
        <v>13791</v>
      </c>
      <c r="E121" s="804" t="s">
        <v>6552</v>
      </c>
      <c r="F121" s="62">
        <v>389</v>
      </c>
      <c r="G121" s="55">
        <v>190621.67</v>
      </c>
      <c r="H121" s="804"/>
      <c r="I121" s="802" t="s">
        <v>11668</v>
      </c>
      <c r="J121" s="967"/>
    </row>
    <row r="122" spans="1:10" ht="56.25" x14ac:dyDescent="0.2">
      <c r="A122" s="804" t="s">
        <v>14443</v>
      </c>
      <c r="B122" s="804" t="s">
        <v>13557</v>
      </c>
      <c r="C122" s="1059" t="s">
        <v>13558</v>
      </c>
      <c r="D122" s="804" t="s">
        <v>13792</v>
      </c>
      <c r="E122" s="804" t="s">
        <v>6552</v>
      </c>
      <c r="F122" s="62">
        <v>22620</v>
      </c>
      <c r="G122" s="55">
        <v>15738543.6</v>
      </c>
      <c r="H122" s="804"/>
      <c r="I122" s="802" t="s">
        <v>11668</v>
      </c>
      <c r="J122" s="967"/>
    </row>
    <row r="123" spans="1:10" ht="56.25" x14ac:dyDescent="0.2">
      <c r="A123" s="804" t="s">
        <v>14444</v>
      </c>
      <c r="B123" s="804" t="s">
        <v>13793</v>
      </c>
      <c r="C123" s="1059" t="s">
        <v>13558</v>
      </c>
      <c r="D123" s="804" t="s">
        <v>13794</v>
      </c>
      <c r="E123" s="804" t="s">
        <v>6552</v>
      </c>
      <c r="F123" s="62">
        <v>19368</v>
      </c>
      <c r="G123" s="55">
        <v>9490901.0399999991</v>
      </c>
      <c r="H123" s="804"/>
      <c r="I123" s="802" t="s">
        <v>11668</v>
      </c>
      <c r="J123" s="967"/>
    </row>
    <row r="124" spans="1:10" ht="56.25" x14ac:dyDescent="0.2">
      <c r="A124" s="804" t="s">
        <v>14445</v>
      </c>
      <c r="B124" s="804" t="s">
        <v>13571</v>
      </c>
      <c r="C124" s="1059" t="s">
        <v>13558</v>
      </c>
      <c r="D124" s="804" t="s">
        <v>13795</v>
      </c>
      <c r="E124" s="804" t="s">
        <v>6552</v>
      </c>
      <c r="F124" s="62">
        <v>418644</v>
      </c>
      <c r="G124" s="55">
        <v>291284122.31999999</v>
      </c>
      <c r="H124" s="804"/>
      <c r="I124" s="802" t="s">
        <v>11668</v>
      </c>
      <c r="J124" s="967"/>
    </row>
    <row r="125" spans="1:10" ht="56.25" x14ac:dyDescent="0.2">
      <c r="A125" s="804" t="s">
        <v>14446</v>
      </c>
      <c r="B125" s="804" t="s">
        <v>13782</v>
      </c>
      <c r="C125" s="1059" t="s">
        <v>13796</v>
      </c>
      <c r="D125" s="804" t="s">
        <v>13797</v>
      </c>
      <c r="E125" s="804" t="s">
        <v>6552</v>
      </c>
      <c r="F125" s="62">
        <v>9609</v>
      </c>
      <c r="G125" s="55">
        <v>4708698.2699999996</v>
      </c>
      <c r="H125" s="804"/>
      <c r="I125" s="802" t="s">
        <v>11668</v>
      </c>
      <c r="J125" s="967"/>
    </row>
    <row r="126" spans="1:10" ht="56.25" x14ac:dyDescent="0.2">
      <c r="A126" s="804" t="s">
        <v>14447</v>
      </c>
      <c r="B126" s="804" t="s">
        <v>13782</v>
      </c>
      <c r="C126" s="1059" t="s">
        <v>13798</v>
      </c>
      <c r="D126" s="804" t="s">
        <v>13799</v>
      </c>
      <c r="E126" s="804" t="s">
        <v>6552</v>
      </c>
      <c r="F126" s="62">
        <v>5159</v>
      </c>
      <c r="G126" s="55">
        <v>2528064.77</v>
      </c>
      <c r="H126" s="804"/>
      <c r="I126" s="802" t="s">
        <v>11668</v>
      </c>
      <c r="J126" s="967"/>
    </row>
    <row r="127" spans="1:10" ht="56.25" x14ac:dyDescent="0.2">
      <c r="A127" s="804" t="s">
        <v>14448</v>
      </c>
      <c r="B127" s="804" t="s">
        <v>13782</v>
      </c>
      <c r="C127" s="1059" t="s">
        <v>13798</v>
      </c>
      <c r="D127" s="804" t="s">
        <v>13800</v>
      </c>
      <c r="E127" s="804" t="s">
        <v>6552</v>
      </c>
      <c r="F127" s="62">
        <v>12060</v>
      </c>
      <c r="G127" s="55">
        <v>5909761.7999999998</v>
      </c>
      <c r="H127" s="804"/>
      <c r="I127" s="802" t="s">
        <v>11668</v>
      </c>
      <c r="J127" s="967"/>
    </row>
    <row r="128" spans="1:10" ht="56.25" x14ac:dyDescent="0.2">
      <c r="A128" s="804" t="s">
        <v>14449</v>
      </c>
      <c r="B128" s="804" t="s">
        <v>13568</v>
      </c>
      <c r="C128" s="1059" t="s">
        <v>13801</v>
      </c>
      <c r="D128" s="804" t="s">
        <v>13802</v>
      </c>
      <c r="E128" s="804" t="s">
        <v>6552</v>
      </c>
      <c r="F128" s="62">
        <v>23699</v>
      </c>
      <c r="G128" s="55">
        <v>11613220.970000001</v>
      </c>
      <c r="H128" s="804"/>
      <c r="I128" s="802" t="s">
        <v>14609</v>
      </c>
      <c r="J128" s="967"/>
    </row>
    <row r="129" spans="1:10" ht="56.25" x14ac:dyDescent="0.2">
      <c r="A129" s="804" t="s">
        <v>14450</v>
      </c>
      <c r="B129" s="804" t="s">
        <v>13568</v>
      </c>
      <c r="C129" s="1059" t="s">
        <v>13803</v>
      </c>
      <c r="D129" s="804" t="s">
        <v>13804</v>
      </c>
      <c r="E129" s="804" t="s">
        <v>6552</v>
      </c>
      <c r="F129" s="62">
        <v>5779</v>
      </c>
      <c r="G129" s="55">
        <v>2831883.37</v>
      </c>
      <c r="H129" s="804"/>
      <c r="I129" s="802" t="s">
        <v>14609</v>
      </c>
      <c r="J129" s="967"/>
    </row>
    <row r="130" spans="1:10" ht="56.25" x14ac:dyDescent="0.2">
      <c r="A130" s="804" t="s">
        <v>14451</v>
      </c>
      <c r="B130" s="804" t="s">
        <v>13568</v>
      </c>
      <c r="C130" s="1059" t="s">
        <v>13805</v>
      </c>
      <c r="D130" s="804" t="s">
        <v>13806</v>
      </c>
      <c r="E130" s="804" t="s">
        <v>6552</v>
      </c>
      <c r="F130" s="62">
        <v>3849</v>
      </c>
      <c r="G130" s="55">
        <v>1886125.47</v>
      </c>
      <c r="H130" s="804"/>
      <c r="I130" s="802" t="s">
        <v>11668</v>
      </c>
      <c r="J130" s="967"/>
    </row>
    <row r="131" spans="1:10" ht="56.25" x14ac:dyDescent="0.2">
      <c r="A131" s="804" t="s">
        <v>12002</v>
      </c>
      <c r="B131" s="804" t="s">
        <v>4004</v>
      </c>
      <c r="C131" s="916" t="s">
        <v>14452</v>
      </c>
      <c r="D131" s="804" t="s">
        <v>14453</v>
      </c>
      <c r="E131" s="804" t="s">
        <v>6552</v>
      </c>
      <c r="F131" s="62">
        <v>1789</v>
      </c>
      <c r="G131" s="55">
        <v>911459.72</v>
      </c>
      <c r="H131" s="804"/>
      <c r="I131" s="802" t="s">
        <v>11668</v>
      </c>
      <c r="J131" s="967"/>
    </row>
    <row r="132" spans="1:10" ht="22.5" x14ac:dyDescent="0.2">
      <c r="A132" s="804" t="s">
        <v>9825</v>
      </c>
      <c r="B132" s="804" t="s">
        <v>9818</v>
      </c>
      <c r="C132" s="236" t="s">
        <v>8323</v>
      </c>
      <c r="D132" s="804" t="s">
        <v>9819</v>
      </c>
      <c r="E132" s="144" t="s">
        <v>6553</v>
      </c>
      <c r="F132" s="55">
        <v>2183</v>
      </c>
      <c r="G132" s="55">
        <v>1011056.45</v>
      </c>
      <c r="H132" s="804"/>
      <c r="I132" s="802" t="s">
        <v>11668</v>
      </c>
      <c r="J132" s="948"/>
    </row>
    <row r="133" spans="1:10" ht="33.75" x14ac:dyDescent="0.2">
      <c r="A133" s="804" t="s">
        <v>6053</v>
      </c>
      <c r="B133" s="804" t="s">
        <v>5990</v>
      </c>
      <c r="C133" s="913" t="s">
        <v>8324</v>
      </c>
      <c r="D133" s="804" t="s">
        <v>5935</v>
      </c>
      <c r="E133" s="804" t="s">
        <v>6552</v>
      </c>
      <c r="F133" s="62">
        <v>1200</v>
      </c>
      <c r="G133" s="55">
        <v>279912</v>
      </c>
      <c r="H133" s="804"/>
      <c r="I133" s="802" t="s">
        <v>14586</v>
      </c>
      <c r="J133" s="968"/>
    </row>
    <row r="134" spans="1:10" ht="33.75" x14ac:dyDescent="0.2">
      <c r="A134" s="804" t="s">
        <v>6054</v>
      </c>
      <c r="B134" s="804" t="s">
        <v>5990</v>
      </c>
      <c r="C134" s="913" t="s">
        <v>8325</v>
      </c>
      <c r="D134" s="804" t="s">
        <v>5936</v>
      </c>
      <c r="E134" s="804" t="s">
        <v>6552</v>
      </c>
      <c r="F134" s="62">
        <v>1200</v>
      </c>
      <c r="G134" s="55">
        <v>279912</v>
      </c>
      <c r="H134" s="804"/>
      <c r="I134" s="802" t="s">
        <v>14586</v>
      </c>
      <c r="J134" s="968"/>
    </row>
    <row r="135" spans="1:10" ht="56.25" x14ac:dyDescent="0.2">
      <c r="A135" s="804" t="s">
        <v>6055</v>
      </c>
      <c r="B135" s="804" t="s">
        <v>12041</v>
      </c>
      <c r="C135" s="913" t="s">
        <v>2646</v>
      </c>
      <c r="D135" s="804" t="s">
        <v>5989</v>
      </c>
      <c r="E135" s="804" t="s">
        <v>6552</v>
      </c>
      <c r="F135" s="62">
        <f>14425-13900</f>
        <v>525</v>
      </c>
      <c r="G135" s="55">
        <v>897708</v>
      </c>
      <c r="H135" s="804"/>
      <c r="I135" s="802" t="s">
        <v>14586</v>
      </c>
      <c r="J135" s="948"/>
    </row>
    <row r="136" spans="1:10" ht="33.75" x14ac:dyDescent="0.2">
      <c r="A136" s="804" t="s">
        <v>6056</v>
      </c>
      <c r="B136" s="804" t="s">
        <v>5990</v>
      </c>
      <c r="C136" s="913" t="s">
        <v>8326</v>
      </c>
      <c r="D136" s="804" t="s">
        <v>5998</v>
      </c>
      <c r="E136" s="804" t="s">
        <v>6552</v>
      </c>
      <c r="F136" s="62">
        <v>1200</v>
      </c>
      <c r="G136" s="55">
        <v>279012</v>
      </c>
      <c r="H136" s="804"/>
      <c r="I136" s="802" t="s">
        <v>14586</v>
      </c>
      <c r="J136" s="968"/>
    </row>
    <row r="137" spans="1:10" ht="33.75" x14ac:dyDescent="0.2">
      <c r="A137" s="804" t="s">
        <v>6057</v>
      </c>
      <c r="B137" s="804" t="s">
        <v>5990</v>
      </c>
      <c r="C137" s="913" t="s">
        <v>8327</v>
      </c>
      <c r="D137" s="804" t="s">
        <v>5999</v>
      </c>
      <c r="E137" s="804" t="s">
        <v>6552</v>
      </c>
      <c r="F137" s="62">
        <v>1200</v>
      </c>
      <c r="G137" s="55">
        <v>279012</v>
      </c>
      <c r="H137" s="804"/>
      <c r="I137" s="802" t="s">
        <v>14586</v>
      </c>
      <c r="J137" s="948"/>
    </row>
    <row r="138" spans="1:10" ht="33.75" x14ac:dyDescent="0.2">
      <c r="A138" s="804" t="s">
        <v>6058</v>
      </c>
      <c r="B138" s="804" t="s">
        <v>5990</v>
      </c>
      <c r="C138" s="913" t="s">
        <v>8328</v>
      </c>
      <c r="D138" s="804" t="s">
        <v>6000</v>
      </c>
      <c r="E138" s="804" t="s">
        <v>6552</v>
      </c>
      <c r="F138" s="62">
        <v>1200</v>
      </c>
      <c r="G138" s="55">
        <v>279012</v>
      </c>
      <c r="H138" s="804"/>
      <c r="I138" s="802" t="s">
        <v>14586</v>
      </c>
      <c r="J138" s="948"/>
    </row>
    <row r="139" spans="1:10" ht="33.75" x14ac:dyDescent="0.2">
      <c r="A139" s="804" t="s">
        <v>6059</v>
      </c>
      <c r="B139" s="804" t="s">
        <v>5990</v>
      </c>
      <c r="C139" s="913" t="s">
        <v>8329</v>
      </c>
      <c r="D139" s="804" t="s">
        <v>6001</v>
      </c>
      <c r="E139" s="804" t="s">
        <v>6552</v>
      </c>
      <c r="F139" s="62">
        <v>1200</v>
      </c>
      <c r="G139" s="55">
        <v>279012</v>
      </c>
      <c r="H139" s="804"/>
      <c r="I139" s="802" t="s">
        <v>14586</v>
      </c>
      <c r="J139" s="948"/>
    </row>
    <row r="140" spans="1:10" ht="33.75" x14ac:dyDescent="0.2">
      <c r="A140" s="804" t="s">
        <v>6060</v>
      </c>
      <c r="B140" s="804" t="s">
        <v>5990</v>
      </c>
      <c r="C140" s="913" t="s">
        <v>8330</v>
      </c>
      <c r="D140" s="804" t="s">
        <v>6002</v>
      </c>
      <c r="E140" s="804" t="s">
        <v>6552</v>
      </c>
      <c r="F140" s="62">
        <v>1200</v>
      </c>
      <c r="G140" s="55">
        <v>279012</v>
      </c>
      <c r="H140" s="804"/>
      <c r="I140" s="802" t="s">
        <v>14586</v>
      </c>
      <c r="J140" s="948"/>
    </row>
    <row r="141" spans="1:10" ht="33.75" x14ac:dyDescent="0.2">
      <c r="A141" s="804" t="s">
        <v>6061</v>
      </c>
      <c r="B141" s="804" t="s">
        <v>5990</v>
      </c>
      <c r="C141" s="913" t="s">
        <v>8331</v>
      </c>
      <c r="D141" s="804" t="s">
        <v>6003</v>
      </c>
      <c r="E141" s="804" t="s">
        <v>6552</v>
      </c>
      <c r="F141" s="62">
        <v>1200</v>
      </c>
      <c r="G141" s="55">
        <v>279012</v>
      </c>
      <c r="H141" s="804"/>
      <c r="I141" s="802" t="s">
        <v>14586</v>
      </c>
      <c r="J141" s="948"/>
    </row>
    <row r="142" spans="1:10" ht="33.75" x14ac:dyDescent="0.2">
      <c r="A142" s="804" t="s">
        <v>6062</v>
      </c>
      <c r="B142" s="804" t="s">
        <v>5990</v>
      </c>
      <c r="C142" s="913" t="s">
        <v>8332</v>
      </c>
      <c r="D142" s="804" t="s">
        <v>6004</v>
      </c>
      <c r="E142" s="804" t="s">
        <v>6552</v>
      </c>
      <c r="F142" s="62">
        <v>1200</v>
      </c>
      <c r="G142" s="55">
        <v>279012</v>
      </c>
      <c r="H142" s="804"/>
      <c r="I142" s="802" t="s">
        <v>14586</v>
      </c>
      <c r="J142" s="948"/>
    </row>
    <row r="143" spans="1:10" ht="33.75" x14ac:dyDescent="0.2">
      <c r="A143" s="804" t="s">
        <v>6063</v>
      </c>
      <c r="B143" s="804" t="s">
        <v>5990</v>
      </c>
      <c r="C143" s="913" t="s">
        <v>8333</v>
      </c>
      <c r="D143" s="804" t="s">
        <v>6005</v>
      </c>
      <c r="E143" s="804" t="s">
        <v>6552</v>
      </c>
      <c r="F143" s="62">
        <v>1200</v>
      </c>
      <c r="G143" s="55">
        <v>279012</v>
      </c>
      <c r="H143" s="804"/>
      <c r="I143" s="802" t="s">
        <v>14586</v>
      </c>
      <c r="J143" s="948"/>
    </row>
    <row r="144" spans="1:10" ht="33.75" x14ac:dyDescent="0.2">
      <c r="A144" s="804" t="s">
        <v>6064</v>
      </c>
      <c r="B144" s="804" t="s">
        <v>5990</v>
      </c>
      <c r="C144" s="913" t="s">
        <v>8334</v>
      </c>
      <c r="D144" s="804" t="s">
        <v>6006</v>
      </c>
      <c r="E144" s="804" t="s">
        <v>6552</v>
      </c>
      <c r="F144" s="62">
        <v>1200</v>
      </c>
      <c r="G144" s="55">
        <v>279012</v>
      </c>
      <c r="H144" s="804"/>
      <c r="I144" s="802" t="s">
        <v>14586</v>
      </c>
      <c r="J144" s="948"/>
    </row>
    <row r="145" spans="1:10" ht="33.75" x14ac:dyDescent="0.2">
      <c r="A145" s="804" t="s">
        <v>6065</v>
      </c>
      <c r="B145" s="804" t="s">
        <v>5990</v>
      </c>
      <c r="C145" s="913" t="s">
        <v>8335</v>
      </c>
      <c r="D145" s="804" t="s">
        <v>6007</v>
      </c>
      <c r="E145" s="804" t="s">
        <v>6552</v>
      </c>
      <c r="F145" s="62">
        <v>1200</v>
      </c>
      <c r="G145" s="55">
        <v>279012</v>
      </c>
      <c r="H145" s="804"/>
      <c r="I145" s="802" t="s">
        <v>14586</v>
      </c>
      <c r="J145" s="948"/>
    </row>
    <row r="146" spans="1:10" ht="33.75" x14ac:dyDescent="0.2">
      <c r="A146" s="804" t="s">
        <v>6066</v>
      </c>
      <c r="B146" s="804" t="s">
        <v>5990</v>
      </c>
      <c r="C146" s="913" t="s">
        <v>8336</v>
      </c>
      <c r="D146" s="804" t="s">
        <v>6008</v>
      </c>
      <c r="E146" s="804" t="s">
        <v>6552</v>
      </c>
      <c r="F146" s="62">
        <v>1200</v>
      </c>
      <c r="G146" s="55">
        <v>279012</v>
      </c>
      <c r="H146" s="804"/>
      <c r="I146" s="802" t="s">
        <v>14586</v>
      </c>
      <c r="J146" s="948"/>
    </row>
    <row r="147" spans="1:10" ht="33.75" x14ac:dyDescent="0.2">
      <c r="A147" s="804" t="s">
        <v>6067</v>
      </c>
      <c r="B147" s="804" t="s">
        <v>5990</v>
      </c>
      <c r="C147" s="913" t="s">
        <v>8337</v>
      </c>
      <c r="D147" s="804" t="s">
        <v>6009</v>
      </c>
      <c r="E147" s="804" t="s">
        <v>6552</v>
      </c>
      <c r="F147" s="62">
        <v>1200</v>
      </c>
      <c r="G147" s="55">
        <v>279012</v>
      </c>
      <c r="H147" s="804"/>
      <c r="I147" s="802" t="s">
        <v>14586</v>
      </c>
      <c r="J147" s="948"/>
    </row>
    <row r="148" spans="1:10" ht="33.75" x14ac:dyDescent="0.2">
      <c r="A148" s="804" t="s">
        <v>6068</v>
      </c>
      <c r="B148" s="804" t="s">
        <v>5990</v>
      </c>
      <c r="C148" s="913" t="s">
        <v>8338</v>
      </c>
      <c r="D148" s="804" t="s">
        <v>6010</v>
      </c>
      <c r="E148" s="804" t="s">
        <v>6552</v>
      </c>
      <c r="F148" s="62">
        <v>1200</v>
      </c>
      <c r="G148" s="55">
        <v>279012</v>
      </c>
      <c r="H148" s="804"/>
      <c r="I148" s="802" t="s">
        <v>14586</v>
      </c>
      <c r="J148" s="948"/>
    </row>
    <row r="149" spans="1:10" ht="33.75" x14ac:dyDescent="0.2">
      <c r="A149" s="804" t="s">
        <v>6069</v>
      </c>
      <c r="B149" s="804" t="s">
        <v>5990</v>
      </c>
      <c r="C149" s="913" t="s">
        <v>8339</v>
      </c>
      <c r="D149" s="804" t="s">
        <v>6011</v>
      </c>
      <c r="E149" s="804" t="s">
        <v>6552</v>
      </c>
      <c r="F149" s="62">
        <v>1200</v>
      </c>
      <c r="G149" s="55">
        <v>279012</v>
      </c>
      <c r="H149" s="804"/>
      <c r="I149" s="802" t="s">
        <v>14586</v>
      </c>
      <c r="J149" s="948"/>
    </row>
    <row r="150" spans="1:10" ht="33.75" x14ac:dyDescent="0.2">
      <c r="A150" s="804" t="s">
        <v>6070</v>
      </c>
      <c r="B150" s="804" t="s">
        <v>5990</v>
      </c>
      <c r="C150" s="913" t="s">
        <v>8340</v>
      </c>
      <c r="D150" s="804" t="s">
        <v>6012</v>
      </c>
      <c r="E150" s="804" t="s">
        <v>6552</v>
      </c>
      <c r="F150" s="62">
        <v>1200</v>
      </c>
      <c r="G150" s="55">
        <v>279012</v>
      </c>
      <c r="H150" s="804"/>
      <c r="I150" s="802" t="s">
        <v>14586</v>
      </c>
      <c r="J150" s="948"/>
    </row>
    <row r="151" spans="1:10" ht="33.75" x14ac:dyDescent="0.2">
      <c r="A151" s="804" t="s">
        <v>6071</v>
      </c>
      <c r="B151" s="804" t="s">
        <v>5990</v>
      </c>
      <c r="C151" s="913" t="s">
        <v>8341</v>
      </c>
      <c r="D151" s="804" t="s">
        <v>6013</v>
      </c>
      <c r="E151" s="804" t="s">
        <v>6552</v>
      </c>
      <c r="F151" s="62">
        <v>1200</v>
      </c>
      <c r="G151" s="55">
        <v>279012</v>
      </c>
      <c r="H151" s="804"/>
      <c r="I151" s="802" t="s">
        <v>14586</v>
      </c>
      <c r="J151" s="948"/>
    </row>
    <row r="152" spans="1:10" ht="33.75" x14ac:dyDescent="0.2">
      <c r="A152" s="804" t="s">
        <v>6072</v>
      </c>
      <c r="B152" s="804" t="s">
        <v>5990</v>
      </c>
      <c r="C152" s="913" t="s">
        <v>8342</v>
      </c>
      <c r="D152" s="804" t="s">
        <v>6014</v>
      </c>
      <c r="E152" s="804" t="s">
        <v>6552</v>
      </c>
      <c r="F152" s="62">
        <v>1200</v>
      </c>
      <c r="G152" s="55">
        <v>279012</v>
      </c>
      <c r="H152" s="804"/>
      <c r="I152" s="802" t="s">
        <v>14586</v>
      </c>
      <c r="J152" s="948"/>
    </row>
    <row r="153" spans="1:10" ht="33.75" x14ac:dyDescent="0.2">
      <c r="A153" s="804" t="s">
        <v>6073</v>
      </c>
      <c r="B153" s="804" t="s">
        <v>5990</v>
      </c>
      <c r="C153" s="913" t="s">
        <v>8343</v>
      </c>
      <c r="D153" s="804" t="s">
        <v>14454</v>
      </c>
      <c r="E153" s="804" t="s">
        <v>6552</v>
      </c>
      <c r="F153" s="62">
        <v>1200</v>
      </c>
      <c r="G153" s="55">
        <v>279012</v>
      </c>
      <c r="H153" s="804"/>
      <c r="I153" s="802" t="s">
        <v>14586</v>
      </c>
      <c r="J153" s="948"/>
    </row>
    <row r="154" spans="1:10" ht="33.75" x14ac:dyDescent="0.2">
      <c r="A154" s="804" t="s">
        <v>6074</v>
      </c>
      <c r="B154" s="804" t="s">
        <v>5990</v>
      </c>
      <c r="C154" s="913" t="s">
        <v>8344</v>
      </c>
      <c r="D154" s="804" t="s">
        <v>6028</v>
      </c>
      <c r="E154" s="804" t="s">
        <v>6552</v>
      </c>
      <c r="F154" s="62">
        <v>1200</v>
      </c>
      <c r="G154" s="55">
        <v>279912</v>
      </c>
      <c r="H154" s="804"/>
      <c r="I154" s="802" t="s">
        <v>14586</v>
      </c>
      <c r="J154" s="948"/>
    </row>
    <row r="155" spans="1:10" ht="33.75" x14ac:dyDescent="0.2">
      <c r="A155" s="804" t="s">
        <v>6075</v>
      </c>
      <c r="B155" s="804" t="s">
        <v>5990</v>
      </c>
      <c r="C155" s="913" t="s">
        <v>8345</v>
      </c>
      <c r="D155" s="804" t="s">
        <v>6021</v>
      </c>
      <c r="E155" s="804" t="s">
        <v>6552</v>
      </c>
      <c r="F155" s="62">
        <v>1200</v>
      </c>
      <c r="G155" s="55">
        <v>279912</v>
      </c>
      <c r="H155" s="804"/>
      <c r="I155" s="802" t="s">
        <v>14586</v>
      </c>
      <c r="J155" s="948"/>
    </row>
    <row r="156" spans="1:10" ht="33.75" x14ac:dyDescent="0.2">
      <c r="A156" s="804" t="s">
        <v>6076</v>
      </c>
      <c r="B156" s="804" t="s">
        <v>5990</v>
      </c>
      <c r="C156" s="913" t="s">
        <v>8346</v>
      </c>
      <c r="D156" s="804" t="s">
        <v>6027</v>
      </c>
      <c r="E156" s="804" t="s">
        <v>6552</v>
      </c>
      <c r="F156" s="62">
        <v>1200</v>
      </c>
      <c r="G156" s="55">
        <v>279912</v>
      </c>
      <c r="H156" s="804"/>
      <c r="I156" s="802" t="s">
        <v>14586</v>
      </c>
      <c r="J156" s="948"/>
    </row>
    <row r="157" spans="1:10" ht="33.75" x14ac:dyDescent="0.2">
      <c r="A157" s="804" t="s">
        <v>6077</v>
      </c>
      <c r="B157" s="804" t="s">
        <v>5990</v>
      </c>
      <c r="C157" s="913" t="s">
        <v>8347</v>
      </c>
      <c r="D157" s="804" t="s">
        <v>6022</v>
      </c>
      <c r="E157" s="804" t="s">
        <v>6552</v>
      </c>
      <c r="F157" s="62">
        <v>1200</v>
      </c>
      <c r="G157" s="55">
        <v>279912</v>
      </c>
      <c r="H157" s="804"/>
      <c r="I157" s="802" t="s">
        <v>14586</v>
      </c>
      <c r="J157" s="948"/>
    </row>
    <row r="158" spans="1:10" ht="33.75" x14ac:dyDescent="0.2">
      <c r="A158" s="804" t="s">
        <v>6078</v>
      </c>
      <c r="B158" s="804" t="s">
        <v>5990</v>
      </c>
      <c r="C158" s="913" t="s">
        <v>8348</v>
      </c>
      <c r="D158" s="804" t="s">
        <v>6020</v>
      </c>
      <c r="E158" s="804" t="s">
        <v>6552</v>
      </c>
      <c r="F158" s="62">
        <v>1200</v>
      </c>
      <c r="G158" s="55">
        <v>279912</v>
      </c>
      <c r="H158" s="804"/>
      <c r="I158" s="802" t="s">
        <v>14586</v>
      </c>
      <c r="J158" s="948"/>
    </row>
    <row r="159" spans="1:10" ht="33.75" x14ac:dyDescent="0.2">
      <c r="A159" s="804" t="s">
        <v>6079</v>
      </c>
      <c r="B159" s="804" t="s">
        <v>5990</v>
      </c>
      <c r="C159" s="913" t="s">
        <v>8349</v>
      </c>
      <c r="D159" s="804" t="s">
        <v>6024</v>
      </c>
      <c r="E159" s="804" t="s">
        <v>6552</v>
      </c>
      <c r="F159" s="62">
        <v>1200</v>
      </c>
      <c r="G159" s="55">
        <v>279912</v>
      </c>
      <c r="H159" s="804"/>
      <c r="I159" s="802" t="s">
        <v>14586</v>
      </c>
      <c r="J159" s="948"/>
    </row>
    <row r="160" spans="1:10" ht="33.75" x14ac:dyDescent="0.2">
      <c r="A160" s="804" t="s">
        <v>6080</v>
      </c>
      <c r="B160" s="804" t="s">
        <v>5990</v>
      </c>
      <c r="C160" s="913" t="s">
        <v>8350</v>
      </c>
      <c r="D160" s="804" t="s">
        <v>6023</v>
      </c>
      <c r="E160" s="804" t="s">
        <v>6552</v>
      </c>
      <c r="F160" s="62">
        <v>1200</v>
      </c>
      <c r="G160" s="55">
        <v>279912</v>
      </c>
      <c r="H160" s="804"/>
      <c r="I160" s="802" t="s">
        <v>14586</v>
      </c>
      <c r="J160" s="948"/>
    </row>
    <row r="161" spans="1:10" ht="33.75" x14ac:dyDescent="0.2">
      <c r="A161" s="804" t="s">
        <v>6081</v>
      </c>
      <c r="B161" s="804" t="s">
        <v>5990</v>
      </c>
      <c r="C161" s="913" t="s">
        <v>8351</v>
      </c>
      <c r="D161" s="804" t="s">
        <v>6025</v>
      </c>
      <c r="E161" s="804" t="s">
        <v>6552</v>
      </c>
      <c r="F161" s="62">
        <v>1200</v>
      </c>
      <c r="G161" s="55">
        <v>279912</v>
      </c>
      <c r="H161" s="804"/>
      <c r="I161" s="802" t="s">
        <v>14586</v>
      </c>
      <c r="J161" s="948"/>
    </row>
    <row r="162" spans="1:10" ht="33.75" x14ac:dyDescent="0.2">
      <c r="A162" s="804" t="s">
        <v>6082</v>
      </c>
      <c r="B162" s="804" t="s">
        <v>5990</v>
      </c>
      <c r="C162" s="913" t="s">
        <v>8352</v>
      </c>
      <c r="D162" s="804" t="s">
        <v>6026</v>
      </c>
      <c r="E162" s="804" t="s">
        <v>6552</v>
      </c>
      <c r="F162" s="62">
        <v>1200</v>
      </c>
      <c r="G162" s="55">
        <v>279912</v>
      </c>
      <c r="H162" s="804"/>
      <c r="I162" s="802" t="s">
        <v>14586</v>
      </c>
      <c r="J162" s="948"/>
    </row>
    <row r="163" spans="1:10" ht="33.75" x14ac:dyDescent="0.2">
      <c r="A163" s="804" t="s">
        <v>6083</v>
      </c>
      <c r="B163" s="804" t="s">
        <v>5990</v>
      </c>
      <c r="C163" s="913" t="s">
        <v>8353</v>
      </c>
      <c r="D163" s="804" t="s">
        <v>6019</v>
      </c>
      <c r="E163" s="804" t="s">
        <v>6552</v>
      </c>
      <c r="F163" s="62">
        <v>1200</v>
      </c>
      <c r="G163" s="55">
        <v>279912</v>
      </c>
      <c r="H163" s="804"/>
      <c r="I163" s="802" t="s">
        <v>14586</v>
      </c>
      <c r="J163" s="948"/>
    </row>
    <row r="164" spans="1:10" ht="33.75" x14ac:dyDescent="0.2">
      <c r="A164" s="804" t="s">
        <v>6084</v>
      </c>
      <c r="B164" s="804" t="s">
        <v>5990</v>
      </c>
      <c r="C164" s="913" t="s">
        <v>8354</v>
      </c>
      <c r="D164" s="804" t="s">
        <v>6031</v>
      </c>
      <c r="E164" s="804" t="s">
        <v>6552</v>
      </c>
      <c r="F164" s="62">
        <v>1200</v>
      </c>
      <c r="G164" s="55">
        <v>279912</v>
      </c>
      <c r="H164" s="804"/>
      <c r="I164" s="802" t="s">
        <v>14586</v>
      </c>
      <c r="J164" s="948"/>
    </row>
    <row r="165" spans="1:10" ht="33.75" x14ac:dyDescent="0.2">
      <c r="A165" s="804" t="s">
        <v>6085</v>
      </c>
      <c r="B165" s="804" t="s">
        <v>5990</v>
      </c>
      <c r="C165" s="913" t="s">
        <v>8355</v>
      </c>
      <c r="D165" s="804" t="s">
        <v>6032</v>
      </c>
      <c r="E165" s="804" t="s">
        <v>6552</v>
      </c>
      <c r="F165" s="62">
        <v>1200</v>
      </c>
      <c r="G165" s="55">
        <v>279912</v>
      </c>
      <c r="H165" s="804"/>
      <c r="I165" s="802" t="s">
        <v>14586</v>
      </c>
      <c r="J165" s="948"/>
    </row>
    <row r="166" spans="1:10" ht="33.75" x14ac:dyDescent="0.2">
      <c r="A166" s="804" t="s">
        <v>6086</v>
      </c>
      <c r="B166" s="804" t="s">
        <v>5990</v>
      </c>
      <c r="C166" s="913" t="s">
        <v>8356</v>
      </c>
      <c r="D166" s="804" t="s">
        <v>6033</v>
      </c>
      <c r="E166" s="804" t="s">
        <v>6552</v>
      </c>
      <c r="F166" s="62">
        <v>1200</v>
      </c>
      <c r="G166" s="55">
        <v>279912</v>
      </c>
      <c r="H166" s="804"/>
      <c r="I166" s="802" t="s">
        <v>14586</v>
      </c>
      <c r="J166" s="948"/>
    </row>
    <row r="167" spans="1:10" ht="33.75" x14ac:dyDescent="0.2">
      <c r="A167" s="850" t="s">
        <v>6087</v>
      </c>
      <c r="B167" s="850" t="s">
        <v>5990</v>
      </c>
      <c r="C167" s="970" t="s">
        <v>8357</v>
      </c>
      <c r="D167" s="850" t="s">
        <v>6034</v>
      </c>
      <c r="E167" s="850" t="s">
        <v>6552</v>
      </c>
      <c r="F167" s="894">
        <v>1200</v>
      </c>
      <c r="G167" s="921">
        <v>279912</v>
      </c>
      <c r="H167" s="850"/>
      <c r="I167" s="802" t="s">
        <v>14586</v>
      </c>
      <c r="J167" s="948"/>
    </row>
    <row r="168" spans="1:10" ht="33.75" x14ac:dyDescent="0.2">
      <c r="A168" s="804" t="s">
        <v>6088</v>
      </c>
      <c r="B168" s="804" t="s">
        <v>5990</v>
      </c>
      <c r="C168" s="913" t="s">
        <v>8358</v>
      </c>
      <c r="D168" s="804" t="s">
        <v>6037</v>
      </c>
      <c r="E168" s="804" t="s">
        <v>6552</v>
      </c>
      <c r="F168" s="62">
        <v>1200</v>
      </c>
      <c r="G168" s="55">
        <v>279912</v>
      </c>
      <c r="H168" s="804"/>
      <c r="I168" s="802" t="s">
        <v>14586</v>
      </c>
      <c r="J168" s="948"/>
    </row>
    <row r="169" spans="1:10" ht="33.75" x14ac:dyDescent="0.2">
      <c r="A169" s="804" t="s">
        <v>6089</v>
      </c>
      <c r="B169" s="804" t="s">
        <v>5990</v>
      </c>
      <c r="C169" s="913" t="s">
        <v>8359</v>
      </c>
      <c r="D169" s="912" t="s">
        <v>6035</v>
      </c>
      <c r="E169" s="804" t="s">
        <v>6552</v>
      </c>
      <c r="F169" s="62">
        <v>1200</v>
      </c>
      <c r="G169" s="55">
        <v>279912</v>
      </c>
      <c r="H169" s="804"/>
      <c r="I169" s="802" t="s">
        <v>14586</v>
      </c>
      <c r="J169" s="948"/>
    </row>
    <row r="170" spans="1:10" ht="33.75" x14ac:dyDescent="0.2">
      <c r="A170" s="804" t="s">
        <v>6090</v>
      </c>
      <c r="B170" s="804" t="s">
        <v>5990</v>
      </c>
      <c r="C170" s="913" t="s">
        <v>8360</v>
      </c>
      <c r="D170" s="804" t="s">
        <v>6038</v>
      </c>
      <c r="E170" s="804" t="s">
        <v>6552</v>
      </c>
      <c r="F170" s="62">
        <v>1200</v>
      </c>
      <c r="G170" s="55">
        <v>279912</v>
      </c>
      <c r="H170" s="804"/>
      <c r="I170" s="802" t="s">
        <v>14586</v>
      </c>
      <c r="J170" s="948"/>
    </row>
    <row r="171" spans="1:10" ht="33.75" x14ac:dyDescent="0.2">
      <c r="A171" s="804" t="s">
        <v>6091</v>
      </c>
      <c r="B171" s="804" t="s">
        <v>5990</v>
      </c>
      <c r="C171" s="913" t="s">
        <v>8361</v>
      </c>
      <c r="D171" s="804" t="s">
        <v>6036</v>
      </c>
      <c r="E171" s="804" t="s">
        <v>6552</v>
      </c>
      <c r="F171" s="62">
        <v>1200</v>
      </c>
      <c r="G171" s="55">
        <v>279912</v>
      </c>
      <c r="H171" s="804"/>
      <c r="I171" s="802" t="s">
        <v>14586</v>
      </c>
      <c r="J171" s="948"/>
    </row>
    <row r="172" spans="1:10" ht="33.75" x14ac:dyDescent="0.2">
      <c r="A172" s="804" t="s">
        <v>6092</v>
      </c>
      <c r="B172" s="804" t="s">
        <v>5990</v>
      </c>
      <c r="C172" s="913" t="s">
        <v>8362</v>
      </c>
      <c r="D172" s="804" t="s">
        <v>6039</v>
      </c>
      <c r="E172" s="804" t="s">
        <v>6552</v>
      </c>
      <c r="F172" s="62">
        <v>1200</v>
      </c>
      <c r="G172" s="55">
        <v>279912</v>
      </c>
      <c r="H172" s="804"/>
      <c r="I172" s="802" t="s">
        <v>14586</v>
      </c>
      <c r="J172" s="948"/>
    </row>
    <row r="173" spans="1:10" ht="33.75" x14ac:dyDescent="0.2">
      <c r="A173" s="804" t="s">
        <v>6093</v>
      </c>
      <c r="B173" s="804" t="s">
        <v>5990</v>
      </c>
      <c r="C173" s="913" t="s">
        <v>8363</v>
      </c>
      <c r="D173" s="804" t="s">
        <v>6040</v>
      </c>
      <c r="E173" s="804" t="s">
        <v>6552</v>
      </c>
      <c r="F173" s="62">
        <v>1200</v>
      </c>
      <c r="G173" s="55">
        <v>279912</v>
      </c>
      <c r="H173" s="804"/>
      <c r="I173" s="802" t="s">
        <v>14586</v>
      </c>
      <c r="J173" s="948"/>
    </row>
    <row r="174" spans="1:10" ht="33.75" x14ac:dyDescent="0.2">
      <c r="A174" s="804" t="s">
        <v>6094</v>
      </c>
      <c r="B174" s="804" t="s">
        <v>5990</v>
      </c>
      <c r="C174" s="913" t="s">
        <v>8364</v>
      </c>
      <c r="D174" s="804" t="s">
        <v>6041</v>
      </c>
      <c r="E174" s="804" t="s">
        <v>6552</v>
      </c>
      <c r="F174" s="62">
        <v>1200</v>
      </c>
      <c r="G174" s="55">
        <v>279912</v>
      </c>
      <c r="H174" s="804"/>
      <c r="I174" s="802" t="s">
        <v>14586</v>
      </c>
      <c r="J174" s="948"/>
    </row>
    <row r="175" spans="1:10" ht="33.75" x14ac:dyDescent="0.2">
      <c r="A175" s="804" t="s">
        <v>6095</v>
      </c>
      <c r="B175" s="804" t="s">
        <v>5990</v>
      </c>
      <c r="C175" s="913" t="s">
        <v>8365</v>
      </c>
      <c r="D175" s="804" t="s">
        <v>6042</v>
      </c>
      <c r="E175" s="804" t="s">
        <v>6552</v>
      </c>
      <c r="F175" s="62">
        <v>1200</v>
      </c>
      <c r="G175" s="55" t="s">
        <v>14424</v>
      </c>
      <c r="H175" s="804"/>
      <c r="I175" s="802" t="s">
        <v>14586</v>
      </c>
      <c r="J175" s="948"/>
    </row>
    <row r="176" spans="1:10" ht="33.75" x14ac:dyDescent="0.2">
      <c r="A176" s="804" t="s">
        <v>6096</v>
      </c>
      <c r="B176" s="804" t="s">
        <v>5990</v>
      </c>
      <c r="C176" s="913" t="s">
        <v>8366</v>
      </c>
      <c r="D176" s="804" t="s">
        <v>6044</v>
      </c>
      <c r="E176" s="804" t="s">
        <v>6552</v>
      </c>
      <c r="F176" s="62">
        <v>1200</v>
      </c>
      <c r="G176" s="55">
        <v>279912</v>
      </c>
      <c r="H176" s="804"/>
      <c r="I176" s="802" t="s">
        <v>14586</v>
      </c>
      <c r="J176" s="948"/>
    </row>
    <row r="177" spans="1:10" ht="33.75" x14ac:dyDescent="0.2">
      <c r="A177" s="804" t="s">
        <v>6097</v>
      </c>
      <c r="B177" s="804" t="s">
        <v>5990</v>
      </c>
      <c r="C177" s="913" t="s">
        <v>8367</v>
      </c>
      <c r="D177" s="804" t="s">
        <v>6045</v>
      </c>
      <c r="E177" s="804" t="s">
        <v>6552</v>
      </c>
      <c r="F177" s="62">
        <v>1200</v>
      </c>
      <c r="G177" s="55">
        <v>279912</v>
      </c>
      <c r="H177" s="804"/>
      <c r="I177" s="802" t="s">
        <v>14586</v>
      </c>
      <c r="J177" s="948"/>
    </row>
    <row r="178" spans="1:10" ht="33.75" x14ac:dyDescent="0.2">
      <c r="A178" s="804" t="s">
        <v>6098</v>
      </c>
      <c r="B178" s="804" t="s">
        <v>5990</v>
      </c>
      <c r="C178" s="913" t="s">
        <v>8368</v>
      </c>
      <c r="D178" s="804" t="s">
        <v>6047</v>
      </c>
      <c r="E178" s="804" t="s">
        <v>6552</v>
      </c>
      <c r="F178" s="62">
        <v>1200</v>
      </c>
      <c r="G178" s="55">
        <v>279912</v>
      </c>
      <c r="H178" s="804"/>
      <c r="I178" s="802" t="s">
        <v>14586</v>
      </c>
      <c r="J178" s="948"/>
    </row>
    <row r="179" spans="1:10" ht="33.75" x14ac:dyDescent="0.2">
      <c r="A179" s="804" t="s">
        <v>6099</v>
      </c>
      <c r="B179" s="804" t="s">
        <v>5990</v>
      </c>
      <c r="C179" s="913" t="s">
        <v>8369</v>
      </c>
      <c r="D179" s="804" t="s">
        <v>6048</v>
      </c>
      <c r="E179" s="804" t="s">
        <v>6552</v>
      </c>
      <c r="F179" s="62">
        <v>1200</v>
      </c>
      <c r="G179" s="55">
        <v>279912</v>
      </c>
      <c r="H179" s="804"/>
      <c r="I179" s="802" t="s">
        <v>14586</v>
      </c>
      <c r="J179" s="948"/>
    </row>
    <row r="180" spans="1:10" ht="33.75" x14ac:dyDescent="0.2">
      <c r="A180" s="804" t="s">
        <v>6100</v>
      </c>
      <c r="B180" s="804" t="s">
        <v>5990</v>
      </c>
      <c r="C180" s="913" t="s">
        <v>8370</v>
      </c>
      <c r="D180" s="804" t="s">
        <v>6049</v>
      </c>
      <c r="E180" s="804" t="s">
        <v>6552</v>
      </c>
      <c r="F180" s="62">
        <v>1200</v>
      </c>
      <c r="G180" s="55">
        <v>279912</v>
      </c>
      <c r="H180" s="804"/>
      <c r="I180" s="802" t="s">
        <v>14586</v>
      </c>
      <c r="J180" s="948"/>
    </row>
    <row r="181" spans="1:10" ht="33.75" x14ac:dyDescent="0.2">
      <c r="A181" s="804" t="s">
        <v>6109</v>
      </c>
      <c r="B181" s="804" t="s">
        <v>5990</v>
      </c>
      <c r="C181" s="913" t="s">
        <v>8371</v>
      </c>
      <c r="D181" s="804" t="s">
        <v>6132</v>
      </c>
      <c r="E181" s="804" t="s">
        <v>6552</v>
      </c>
      <c r="F181" s="62">
        <v>1200</v>
      </c>
      <c r="G181" s="55">
        <v>273468</v>
      </c>
      <c r="H181" s="804"/>
      <c r="I181" s="802" t="s">
        <v>14586</v>
      </c>
      <c r="J181" s="948"/>
    </row>
    <row r="182" spans="1:10" ht="33.75" x14ac:dyDescent="0.2">
      <c r="A182" s="804" t="s">
        <v>6110</v>
      </c>
      <c r="B182" s="804" t="s">
        <v>5990</v>
      </c>
      <c r="C182" s="913" t="s">
        <v>8372</v>
      </c>
      <c r="D182" s="804" t="s">
        <v>6133</v>
      </c>
      <c r="E182" s="804" t="s">
        <v>6552</v>
      </c>
      <c r="F182" s="62">
        <v>1200</v>
      </c>
      <c r="G182" s="55">
        <v>273468</v>
      </c>
      <c r="H182" s="804"/>
      <c r="I182" s="802" t="s">
        <v>14586</v>
      </c>
      <c r="J182" s="948"/>
    </row>
    <row r="183" spans="1:10" ht="33.75" x14ac:dyDescent="0.2">
      <c r="A183" s="804" t="s">
        <v>6111</v>
      </c>
      <c r="B183" s="804" t="s">
        <v>5990</v>
      </c>
      <c r="C183" s="913" t="s">
        <v>8373</v>
      </c>
      <c r="D183" s="804" t="s">
        <v>6134</v>
      </c>
      <c r="E183" s="804" t="s">
        <v>6552</v>
      </c>
      <c r="F183" s="62">
        <v>1200</v>
      </c>
      <c r="G183" s="55">
        <v>273468</v>
      </c>
      <c r="H183" s="804"/>
      <c r="I183" s="802" t="s">
        <v>14586</v>
      </c>
      <c r="J183" s="948"/>
    </row>
    <row r="184" spans="1:10" ht="33.75" x14ac:dyDescent="0.2">
      <c r="A184" s="804" t="s">
        <v>6112</v>
      </c>
      <c r="B184" s="804" t="s">
        <v>5990</v>
      </c>
      <c r="C184" s="913" t="s">
        <v>8374</v>
      </c>
      <c r="D184" s="804" t="s">
        <v>6135</v>
      </c>
      <c r="E184" s="804" t="s">
        <v>6552</v>
      </c>
      <c r="F184" s="62">
        <v>1200</v>
      </c>
      <c r="G184" s="55">
        <v>273468</v>
      </c>
      <c r="H184" s="804"/>
      <c r="I184" s="802" t="s">
        <v>14586</v>
      </c>
      <c r="J184" s="948"/>
    </row>
    <row r="185" spans="1:10" ht="33.75" x14ac:dyDescent="0.2">
      <c r="A185" s="804" t="s">
        <v>6117</v>
      </c>
      <c r="B185" s="804" t="s">
        <v>5990</v>
      </c>
      <c r="C185" s="913" t="s">
        <v>8375</v>
      </c>
      <c r="D185" s="804" t="s">
        <v>6136</v>
      </c>
      <c r="E185" s="804" t="s">
        <v>6552</v>
      </c>
      <c r="F185" s="62">
        <v>1200</v>
      </c>
      <c r="G185" s="55">
        <v>273468</v>
      </c>
      <c r="H185" s="804"/>
      <c r="I185" s="802" t="s">
        <v>14586</v>
      </c>
      <c r="J185" s="948"/>
    </row>
    <row r="186" spans="1:10" ht="33.75" x14ac:dyDescent="0.2">
      <c r="A186" s="804" t="s">
        <v>6118</v>
      </c>
      <c r="B186" s="804" t="s">
        <v>5990</v>
      </c>
      <c r="C186" s="913" t="s">
        <v>8376</v>
      </c>
      <c r="D186" s="804" t="s">
        <v>6137</v>
      </c>
      <c r="E186" s="804" t="s">
        <v>6552</v>
      </c>
      <c r="F186" s="62">
        <v>1200</v>
      </c>
      <c r="G186" s="55" t="s">
        <v>14425</v>
      </c>
      <c r="H186" s="804"/>
      <c r="I186" s="802" t="s">
        <v>14586</v>
      </c>
      <c r="J186" s="948"/>
    </row>
    <row r="187" spans="1:10" ht="33.75" x14ac:dyDescent="0.2">
      <c r="A187" s="804" t="s">
        <v>6119</v>
      </c>
      <c r="B187" s="804" t="s">
        <v>5990</v>
      </c>
      <c r="C187" s="913" t="s">
        <v>8377</v>
      </c>
      <c r="D187" s="804" t="s">
        <v>6138</v>
      </c>
      <c r="E187" s="804" t="s">
        <v>6552</v>
      </c>
      <c r="F187" s="62">
        <v>1200</v>
      </c>
      <c r="G187" s="55" t="s">
        <v>14426</v>
      </c>
      <c r="H187" s="804"/>
      <c r="I187" s="802" t="s">
        <v>14586</v>
      </c>
      <c r="J187" s="948"/>
    </row>
    <row r="188" spans="1:10" ht="33.75" x14ac:dyDescent="0.2">
      <c r="A188" s="804" t="s">
        <v>6120</v>
      </c>
      <c r="B188" s="804" t="s">
        <v>5990</v>
      </c>
      <c r="C188" s="913" t="s">
        <v>8378</v>
      </c>
      <c r="D188" s="804" t="s">
        <v>6139</v>
      </c>
      <c r="E188" s="804" t="s">
        <v>6552</v>
      </c>
      <c r="F188" s="62">
        <v>1200</v>
      </c>
      <c r="G188" s="55">
        <v>273468</v>
      </c>
      <c r="H188" s="804"/>
      <c r="I188" s="802" t="s">
        <v>14586</v>
      </c>
      <c r="J188" s="948"/>
    </row>
    <row r="189" spans="1:10" ht="33.75" x14ac:dyDescent="0.2">
      <c r="A189" s="804" t="s">
        <v>6121</v>
      </c>
      <c r="B189" s="804" t="s">
        <v>5990</v>
      </c>
      <c r="C189" s="913" t="s">
        <v>8379</v>
      </c>
      <c r="D189" s="804" t="s">
        <v>6140</v>
      </c>
      <c r="E189" s="804" t="s">
        <v>6552</v>
      </c>
      <c r="F189" s="62">
        <v>1200</v>
      </c>
      <c r="G189" s="55">
        <v>273468</v>
      </c>
      <c r="H189" s="804"/>
      <c r="I189" s="802" t="s">
        <v>14586</v>
      </c>
      <c r="J189" s="948"/>
    </row>
    <row r="190" spans="1:10" ht="33.75" x14ac:dyDescent="0.2">
      <c r="A190" s="804" t="s">
        <v>6122</v>
      </c>
      <c r="B190" s="804" t="s">
        <v>5990</v>
      </c>
      <c r="C190" s="913" t="s">
        <v>8380</v>
      </c>
      <c r="D190" s="804" t="s">
        <v>6141</v>
      </c>
      <c r="E190" s="804" t="s">
        <v>6552</v>
      </c>
      <c r="F190" s="62">
        <v>1200</v>
      </c>
      <c r="G190" s="55">
        <v>273468</v>
      </c>
      <c r="H190" s="804"/>
      <c r="I190" s="802" t="s">
        <v>14586</v>
      </c>
      <c r="J190" s="948"/>
    </row>
    <row r="191" spans="1:10" ht="33.75" x14ac:dyDescent="0.2">
      <c r="A191" s="804" t="s">
        <v>6123</v>
      </c>
      <c r="B191" s="804" t="s">
        <v>5990</v>
      </c>
      <c r="C191" s="913" t="s">
        <v>8381</v>
      </c>
      <c r="D191" s="804" t="s">
        <v>6142</v>
      </c>
      <c r="E191" s="804" t="s">
        <v>6552</v>
      </c>
      <c r="F191" s="62">
        <v>1200</v>
      </c>
      <c r="G191" s="55">
        <v>273468</v>
      </c>
      <c r="H191" s="804"/>
      <c r="I191" s="802" t="s">
        <v>14586</v>
      </c>
      <c r="J191" s="948"/>
    </row>
    <row r="192" spans="1:10" ht="33.75" x14ac:dyDescent="0.2">
      <c r="A192" s="804" t="s">
        <v>6124</v>
      </c>
      <c r="B192" s="804" t="s">
        <v>5990</v>
      </c>
      <c r="C192" s="913" t="s">
        <v>8382</v>
      </c>
      <c r="D192" s="804" t="s">
        <v>6143</v>
      </c>
      <c r="E192" s="804" t="s">
        <v>6552</v>
      </c>
      <c r="F192" s="62">
        <v>1200</v>
      </c>
      <c r="G192" s="55">
        <v>273468</v>
      </c>
      <c r="H192" s="804"/>
      <c r="I192" s="802" t="s">
        <v>14586</v>
      </c>
      <c r="J192" s="948"/>
    </row>
    <row r="193" spans="1:12" ht="33.75" x14ac:dyDescent="0.2">
      <c r="A193" s="804" t="s">
        <v>6125</v>
      </c>
      <c r="B193" s="804" t="s">
        <v>5990</v>
      </c>
      <c r="C193" s="913" t="s">
        <v>8383</v>
      </c>
      <c r="D193" s="804" t="s">
        <v>6144</v>
      </c>
      <c r="E193" s="804" t="s">
        <v>6552</v>
      </c>
      <c r="F193" s="62">
        <v>1200</v>
      </c>
      <c r="G193" s="55">
        <v>273468</v>
      </c>
      <c r="H193" s="804"/>
      <c r="I193" s="802" t="s">
        <v>14586</v>
      </c>
      <c r="J193" s="948"/>
    </row>
    <row r="194" spans="1:12" ht="33.75" x14ac:dyDescent="0.2">
      <c r="A194" s="804" t="s">
        <v>6126</v>
      </c>
      <c r="B194" s="804" t="s">
        <v>5990</v>
      </c>
      <c r="C194" s="913" t="s">
        <v>8384</v>
      </c>
      <c r="D194" s="804" t="s">
        <v>6131</v>
      </c>
      <c r="E194" s="804" t="s">
        <v>6552</v>
      </c>
      <c r="F194" s="62">
        <v>1200</v>
      </c>
      <c r="G194" s="55">
        <v>279012</v>
      </c>
      <c r="H194" s="804"/>
      <c r="I194" s="802" t="s">
        <v>14586</v>
      </c>
      <c r="J194" s="948"/>
    </row>
    <row r="195" spans="1:12" ht="33.75" x14ac:dyDescent="0.2">
      <c r="A195" s="850" t="s">
        <v>6127</v>
      </c>
      <c r="B195" s="850" t="s">
        <v>5990</v>
      </c>
      <c r="C195" s="970" t="s">
        <v>8385</v>
      </c>
      <c r="D195" s="850" t="s">
        <v>6113</v>
      </c>
      <c r="E195" s="850" t="s">
        <v>6552</v>
      </c>
      <c r="F195" s="894">
        <v>1200</v>
      </c>
      <c r="G195" s="921">
        <v>279912</v>
      </c>
      <c r="H195" s="850"/>
      <c r="I195" s="802" t="s">
        <v>14586</v>
      </c>
      <c r="J195" s="948"/>
    </row>
    <row r="196" spans="1:12" ht="33.75" x14ac:dyDescent="0.2">
      <c r="A196" s="804" t="s">
        <v>6128</v>
      </c>
      <c r="B196" s="804" t="s">
        <v>5990</v>
      </c>
      <c r="C196" s="913" t="s">
        <v>8386</v>
      </c>
      <c r="D196" s="804" t="s">
        <v>6114</v>
      </c>
      <c r="E196" s="804" t="s">
        <v>6552</v>
      </c>
      <c r="F196" s="62">
        <v>1200</v>
      </c>
      <c r="G196" s="55">
        <v>279912</v>
      </c>
      <c r="H196" s="804"/>
      <c r="I196" s="802" t="s">
        <v>14586</v>
      </c>
      <c r="J196" s="948"/>
    </row>
    <row r="197" spans="1:12" ht="33.75" x14ac:dyDescent="0.2">
      <c r="A197" s="804" t="s">
        <v>6129</v>
      </c>
      <c r="B197" s="804" t="s">
        <v>5990</v>
      </c>
      <c r="C197" s="913" t="s">
        <v>8387</v>
      </c>
      <c r="D197" s="804" t="s">
        <v>6115</v>
      </c>
      <c r="E197" s="804" t="s">
        <v>6552</v>
      </c>
      <c r="F197" s="62">
        <v>1200</v>
      </c>
      <c r="G197" s="55">
        <v>279912</v>
      </c>
      <c r="H197" s="804"/>
      <c r="I197" s="802" t="s">
        <v>14586</v>
      </c>
      <c r="J197" s="948"/>
    </row>
    <row r="198" spans="1:12" ht="33.75" x14ac:dyDescent="0.2">
      <c r="A198" s="804" t="s">
        <v>6130</v>
      </c>
      <c r="B198" s="804" t="s">
        <v>5990</v>
      </c>
      <c r="C198" s="913" t="s">
        <v>8388</v>
      </c>
      <c r="D198" s="804" t="s">
        <v>6116</v>
      </c>
      <c r="E198" s="804" t="s">
        <v>6552</v>
      </c>
      <c r="F198" s="62">
        <v>1200</v>
      </c>
      <c r="G198" s="55">
        <v>279912</v>
      </c>
      <c r="H198" s="804"/>
      <c r="I198" s="802" t="s">
        <v>14586</v>
      </c>
      <c r="J198" s="948"/>
    </row>
    <row r="199" spans="1:12" ht="33.75" x14ac:dyDescent="0.2">
      <c r="A199" s="804" t="s">
        <v>6162</v>
      </c>
      <c r="B199" s="804" t="s">
        <v>5990</v>
      </c>
      <c r="C199" s="913" t="s">
        <v>8389</v>
      </c>
      <c r="D199" s="804" t="s">
        <v>6170</v>
      </c>
      <c r="E199" s="804" t="s">
        <v>6552</v>
      </c>
      <c r="F199" s="62">
        <v>1200</v>
      </c>
      <c r="G199" s="55">
        <v>279912</v>
      </c>
      <c r="H199" s="804"/>
      <c r="I199" s="802" t="s">
        <v>14586</v>
      </c>
      <c r="J199" s="948"/>
    </row>
    <row r="200" spans="1:12" s="59" customFormat="1" ht="33.75" x14ac:dyDescent="0.2">
      <c r="A200" s="804" t="s">
        <v>6163</v>
      </c>
      <c r="B200" s="804" t="s">
        <v>5990</v>
      </c>
      <c r="C200" s="913" t="s">
        <v>8390</v>
      </c>
      <c r="D200" s="804" t="s">
        <v>6171</v>
      </c>
      <c r="E200" s="804" t="s">
        <v>6552</v>
      </c>
      <c r="F200" s="62">
        <v>1200</v>
      </c>
      <c r="G200" s="55">
        <v>279012</v>
      </c>
      <c r="H200" s="804"/>
      <c r="I200" s="802" t="s">
        <v>14586</v>
      </c>
      <c r="L200" s="5"/>
    </row>
    <row r="201" spans="1:12" s="59" customFormat="1" ht="33.75" x14ac:dyDescent="0.2">
      <c r="A201" s="804" t="s">
        <v>6164</v>
      </c>
      <c r="B201" s="804" t="s">
        <v>5990</v>
      </c>
      <c r="C201" s="913" t="s">
        <v>8391</v>
      </c>
      <c r="D201" s="804" t="s">
        <v>6172</v>
      </c>
      <c r="E201" s="804" t="s">
        <v>6552</v>
      </c>
      <c r="F201" s="62">
        <v>1200</v>
      </c>
      <c r="G201" s="55">
        <v>279012</v>
      </c>
      <c r="H201" s="804"/>
      <c r="I201" s="802" t="s">
        <v>14586</v>
      </c>
      <c r="L201" s="5"/>
    </row>
    <row r="202" spans="1:12" s="59" customFormat="1" ht="33.75" x14ac:dyDescent="0.2">
      <c r="A202" s="804" t="s">
        <v>6165</v>
      </c>
      <c r="B202" s="804" t="s">
        <v>5990</v>
      </c>
      <c r="C202" s="913" t="s">
        <v>8392</v>
      </c>
      <c r="D202" s="804" t="s">
        <v>6173</v>
      </c>
      <c r="E202" s="804" t="s">
        <v>6552</v>
      </c>
      <c r="F202" s="62">
        <v>1200</v>
      </c>
      <c r="G202" s="55">
        <v>286080</v>
      </c>
      <c r="H202" s="804"/>
      <c r="I202" s="802" t="s">
        <v>14586</v>
      </c>
      <c r="L202" s="5"/>
    </row>
    <row r="203" spans="1:12" s="59" customFormat="1" ht="33.75" x14ac:dyDescent="0.2">
      <c r="A203" s="804" t="s">
        <v>6166</v>
      </c>
      <c r="B203" s="804" t="s">
        <v>5990</v>
      </c>
      <c r="C203" s="913" t="s">
        <v>8393</v>
      </c>
      <c r="D203" s="804" t="s">
        <v>6174</v>
      </c>
      <c r="E203" s="804" t="s">
        <v>6552</v>
      </c>
      <c r="F203" s="62">
        <v>1200</v>
      </c>
      <c r="G203" s="55">
        <v>286080</v>
      </c>
      <c r="H203" s="804"/>
      <c r="I203" s="802" t="s">
        <v>14586</v>
      </c>
      <c r="L203" s="5"/>
    </row>
    <row r="204" spans="1:12" s="59" customFormat="1" ht="33.75" x14ac:dyDescent="0.2">
      <c r="A204" s="804" t="s">
        <v>6167</v>
      </c>
      <c r="B204" s="804" t="s">
        <v>5990</v>
      </c>
      <c r="C204" s="913" t="s">
        <v>8394</v>
      </c>
      <c r="D204" s="804" t="s">
        <v>6175</v>
      </c>
      <c r="E204" s="804" t="s">
        <v>6552</v>
      </c>
      <c r="F204" s="62">
        <v>1200</v>
      </c>
      <c r="G204" s="55">
        <v>286080</v>
      </c>
      <c r="H204" s="804"/>
      <c r="I204" s="802" t="s">
        <v>14586</v>
      </c>
      <c r="L204" s="5"/>
    </row>
    <row r="205" spans="1:12" s="59" customFormat="1" ht="33.75" x14ac:dyDescent="0.2">
      <c r="A205" s="804" t="s">
        <v>6236</v>
      </c>
      <c r="B205" s="804" t="s">
        <v>5990</v>
      </c>
      <c r="C205" s="913" t="s">
        <v>8395</v>
      </c>
      <c r="D205" s="804" t="s">
        <v>6242</v>
      </c>
      <c r="E205" s="804" t="s">
        <v>6552</v>
      </c>
      <c r="F205" s="62">
        <v>1200</v>
      </c>
      <c r="G205" s="55">
        <v>279912</v>
      </c>
      <c r="H205" s="804"/>
      <c r="I205" s="802" t="s">
        <v>14586</v>
      </c>
      <c r="L205" s="5"/>
    </row>
    <row r="206" spans="1:12" s="59" customFormat="1" ht="33.75" x14ac:dyDescent="0.2">
      <c r="A206" s="804" t="s">
        <v>6237</v>
      </c>
      <c r="B206" s="804" t="s">
        <v>5990</v>
      </c>
      <c r="C206" s="913" t="s">
        <v>8396</v>
      </c>
      <c r="D206" s="804" t="s">
        <v>6243</v>
      </c>
      <c r="E206" s="804" t="s">
        <v>6552</v>
      </c>
      <c r="F206" s="62">
        <v>1200</v>
      </c>
      <c r="G206" s="55" t="s">
        <v>14427</v>
      </c>
      <c r="H206" s="5"/>
      <c r="I206" s="802" t="s">
        <v>14586</v>
      </c>
      <c r="L206" s="5"/>
    </row>
    <row r="207" spans="1:12" s="59" customFormat="1" ht="33.75" x14ac:dyDescent="0.2">
      <c r="A207" s="804" t="s">
        <v>6238</v>
      </c>
      <c r="B207" s="804" t="s">
        <v>5990</v>
      </c>
      <c r="C207" s="913" t="s">
        <v>8397</v>
      </c>
      <c r="D207" s="804" t="s">
        <v>6244</v>
      </c>
      <c r="E207" s="804" t="s">
        <v>6552</v>
      </c>
      <c r="F207" s="62">
        <v>1200</v>
      </c>
      <c r="G207" s="55">
        <v>279912</v>
      </c>
      <c r="H207" s="804"/>
      <c r="I207" s="802" t="s">
        <v>14586</v>
      </c>
      <c r="L207" s="5"/>
    </row>
    <row r="208" spans="1:12" s="59" customFormat="1" ht="33.75" x14ac:dyDescent="0.2">
      <c r="A208" s="804" t="s">
        <v>6239</v>
      </c>
      <c r="B208" s="804" t="s">
        <v>5990</v>
      </c>
      <c r="C208" s="913" t="s">
        <v>8398</v>
      </c>
      <c r="D208" s="804" t="s">
        <v>6245</v>
      </c>
      <c r="E208" s="804" t="s">
        <v>6552</v>
      </c>
      <c r="F208" s="62">
        <v>1200</v>
      </c>
      <c r="G208" s="55">
        <v>279912</v>
      </c>
      <c r="H208" s="804"/>
      <c r="I208" s="802" t="s">
        <v>14586</v>
      </c>
      <c r="L208" s="5"/>
    </row>
    <row r="209" spans="1:12" s="59" customFormat="1" ht="33.75" x14ac:dyDescent="0.2">
      <c r="A209" s="804" t="s">
        <v>6240</v>
      </c>
      <c r="B209" s="804" t="s">
        <v>5990</v>
      </c>
      <c r="C209" s="913" t="s">
        <v>8399</v>
      </c>
      <c r="D209" s="804" t="s">
        <v>6246</v>
      </c>
      <c r="E209" s="804" t="s">
        <v>6552</v>
      </c>
      <c r="F209" s="62">
        <v>1200</v>
      </c>
      <c r="G209" s="55">
        <v>273468</v>
      </c>
      <c r="H209" s="804"/>
      <c r="I209" s="802" t="s">
        <v>14586</v>
      </c>
      <c r="L209" s="5"/>
    </row>
    <row r="210" spans="1:12" s="59" customFormat="1" ht="33.75" x14ac:dyDescent="0.2">
      <c r="A210" s="969" t="s">
        <v>6241</v>
      </c>
      <c r="B210" s="969" t="s">
        <v>5990</v>
      </c>
      <c r="C210" s="971" t="s">
        <v>8400</v>
      </c>
      <c r="D210" s="969" t="s">
        <v>6247</v>
      </c>
      <c r="E210" s="969" t="s">
        <v>6552</v>
      </c>
      <c r="F210" s="969">
        <v>1200</v>
      </c>
      <c r="G210" s="55">
        <v>273468</v>
      </c>
      <c r="H210" s="969"/>
      <c r="I210" s="802" t="s">
        <v>14586</v>
      </c>
      <c r="L210" s="5"/>
    </row>
    <row r="211" spans="1:12" s="59" customFormat="1" ht="33.75" x14ac:dyDescent="0.2">
      <c r="A211" s="804" t="s">
        <v>6296</v>
      </c>
      <c r="B211" s="804" t="s">
        <v>5990</v>
      </c>
      <c r="C211" s="913" t="s">
        <v>8401</v>
      </c>
      <c r="D211" s="804" t="s">
        <v>6302</v>
      </c>
      <c r="E211" s="804" t="s">
        <v>6552</v>
      </c>
      <c r="F211" s="62">
        <v>1200</v>
      </c>
      <c r="G211" s="55" t="s">
        <v>14428</v>
      </c>
      <c r="H211" s="804"/>
      <c r="I211" s="802" t="s">
        <v>14586</v>
      </c>
      <c r="L211" s="5"/>
    </row>
    <row r="212" spans="1:12" s="59" customFormat="1" ht="33.75" x14ac:dyDescent="0.2">
      <c r="A212" s="969" t="s">
        <v>6297</v>
      </c>
      <c r="B212" s="969" t="s">
        <v>5990</v>
      </c>
      <c r="C212" s="971" t="s">
        <v>8402</v>
      </c>
      <c r="D212" s="969" t="s">
        <v>6303</v>
      </c>
      <c r="E212" s="969" t="s">
        <v>6552</v>
      </c>
      <c r="F212" s="969">
        <v>1200</v>
      </c>
      <c r="G212" s="55">
        <v>279912</v>
      </c>
      <c r="H212" s="969"/>
      <c r="I212" s="802" t="s">
        <v>14586</v>
      </c>
      <c r="L212" s="5"/>
    </row>
    <row r="213" spans="1:12" s="59" customFormat="1" ht="33.75" x14ac:dyDescent="0.2">
      <c r="A213" s="804" t="s">
        <v>6298</v>
      </c>
      <c r="B213" s="804" t="s">
        <v>5990</v>
      </c>
      <c r="C213" s="913" t="s">
        <v>8403</v>
      </c>
      <c r="D213" s="804" t="s">
        <v>6304</v>
      </c>
      <c r="E213" s="804" t="s">
        <v>6552</v>
      </c>
      <c r="F213" s="62">
        <v>1200</v>
      </c>
      <c r="G213" s="55">
        <v>279912</v>
      </c>
      <c r="H213" s="804"/>
      <c r="I213" s="802" t="s">
        <v>14586</v>
      </c>
      <c r="L213" s="5"/>
    </row>
    <row r="214" spans="1:12" s="59" customFormat="1" ht="33.75" x14ac:dyDescent="0.2">
      <c r="A214" s="804" t="s">
        <v>6299</v>
      </c>
      <c r="B214" s="804" t="s">
        <v>5990</v>
      </c>
      <c r="C214" s="913" t="s">
        <v>8404</v>
      </c>
      <c r="D214" s="804" t="s">
        <v>6305</v>
      </c>
      <c r="E214" s="804" t="s">
        <v>6552</v>
      </c>
      <c r="F214" s="62">
        <v>1200</v>
      </c>
      <c r="G214" s="55">
        <v>279912</v>
      </c>
      <c r="H214" s="804"/>
      <c r="I214" s="802" t="s">
        <v>14586</v>
      </c>
      <c r="L214" s="5"/>
    </row>
    <row r="215" spans="1:12" s="59" customFormat="1" ht="33.75" x14ac:dyDescent="0.2">
      <c r="A215" s="804" t="s">
        <v>6300</v>
      </c>
      <c r="B215" s="804" t="s">
        <v>5990</v>
      </c>
      <c r="C215" s="913" t="s">
        <v>8405</v>
      </c>
      <c r="D215" s="804" t="s">
        <v>6306</v>
      </c>
      <c r="E215" s="804" t="s">
        <v>6552</v>
      </c>
      <c r="F215" s="62">
        <v>1200</v>
      </c>
      <c r="G215" s="55">
        <v>279912</v>
      </c>
      <c r="H215" s="804"/>
      <c r="I215" s="802" t="s">
        <v>14586</v>
      </c>
      <c r="L215" s="5"/>
    </row>
    <row r="216" spans="1:12" s="59" customFormat="1" ht="33.75" x14ac:dyDescent="0.2">
      <c r="A216" s="804" t="s">
        <v>6301</v>
      </c>
      <c r="B216" s="804" t="s">
        <v>5990</v>
      </c>
      <c r="C216" s="913" t="s">
        <v>8406</v>
      </c>
      <c r="D216" s="804" t="s">
        <v>6307</v>
      </c>
      <c r="E216" s="804" t="s">
        <v>6552</v>
      </c>
      <c r="F216" s="62">
        <v>1200</v>
      </c>
      <c r="G216" s="55">
        <v>279912</v>
      </c>
      <c r="H216" s="804"/>
      <c r="I216" s="802" t="s">
        <v>14586</v>
      </c>
      <c r="L216" s="5"/>
    </row>
    <row r="217" spans="1:12" s="59" customFormat="1" ht="33.75" x14ac:dyDescent="0.2">
      <c r="A217" s="804" t="s">
        <v>6308</v>
      </c>
      <c r="B217" s="804" t="s">
        <v>5990</v>
      </c>
      <c r="C217" s="913" t="s">
        <v>8407</v>
      </c>
      <c r="D217" s="804" t="s">
        <v>6324</v>
      </c>
      <c r="E217" s="804" t="s">
        <v>6552</v>
      </c>
      <c r="F217" s="62">
        <v>1200</v>
      </c>
      <c r="G217" s="55">
        <v>273468</v>
      </c>
      <c r="H217" s="804"/>
      <c r="I217" s="802" t="s">
        <v>14586</v>
      </c>
      <c r="L217" s="5"/>
    </row>
    <row r="218" spans="1:12" s="59" customFormat="1" ht="33.75" x14ac:dyDescent="0.2">
      <c r="A218" s="804" t="s">
        <v>6309</v>
      </c>
      <c r="B218" s="804" t="s">
        <v>5990</v>
      </c>
      <c r="C218" s="913" t="s">
        <v>8408</v>
      </c>
      <c r="D218" s="804" t="s">
        <v>6325</v>
      </c>
      <c r="E218" s="804" t="s">
        <v>6552</v>
      </c>
      <c r="F218" s="62">
        <v>1200</v>
      </c>
      <c r="G218" s="55">
        <v>273468</v>
      </c>
      <c r="H218" s="804"/>
      <c r="I218" s="802" t="s">
        <v>14586</v>
      </c>
      <c r="L218" s="5"/>
    </row>
    <row r="219" spans="1:12" s="59" customFormat="1" ht="33.75" x14ac:dyDescent="0.2">
      <c r="A219" s="804" t="s">
        <v>6310</v>
      </c>
      <c r="B219" s="804" t="s">
        <v>5990</v>
      </c>
      <c r="C219" s="913" t="s">
        <v>8409</v>
      </c>
      <c r="D219" s="804" t="s">
        <v>6326</v>
      </c>
      <c r="E219" s="804" t="s">
        <v>6552</v>
      </c>
      <c r="F219" s="62">
        <v>1200</v>
      </c>
      <c r="G219" s="55">
        <v>273468</v>
      </c>
      <c r="H219" s="804"/>
      <c r="I219" s="802" t="s">
        <v>14586</v>
      </c>
      <c r="L219" s="5"/>
    </row>
    <row r="220" spans="1:12" s="59" customFormat="1" ht="33.75" x14ac:dyDescent="0.2">
      <c r="A220" s="804" t="s">
        <v>6311</v>
      </c>
      <c r="B220" s="804" t="s">
        <v>5990</v>
      </c>
      <c r="C220" s="913" t="s">
        <v>8410</v>
      </c>
      <c r="D220" s="804" t="s">
        <v>6327</v>
      </c>
      <c r="E220" s="804" t="s">
        <v>6552</v>
      </c>
      <c r="F220" s="62">
        <v>1200</v>
      </c>
      <c r="G220" s="55">
        <v>273468</v>
      </c>
      <c r="H220" s="804"/>
      <c r="I220" s="802" t="s">
        <v>14586</v>
      </c>
      <c r="L220" s="5"/>
    </row>
    <row r="221" spans="1:12" s="59" customFormat="1" ht="33.75" x14ac:dyDescent="0.2">
      <c r="A221" s="804" t="s">
        <v>6312</v>
      </c>
      <c r="B221" s="804" t="s">
        <v>5990</v>
      </c>
      <c r="C221" s="913" t="s">
        <v>8411</v>
      </c>
      <c r="D221" s="804" t="s">
        <v>6328</v>
      </c>
      <c r="E221" s="804" t="s">
        <v>6552</v>
      </c>
      <c r="F221" s="62">
        <v>1200</v>
      </c>
      <c r="G221" s="55">
        <v>273468</v>
      </c>
      <c r="H221" s="804"/>
      <c r="I221" s="802" t="s">
        <v>14586</v>
      </c>
      <c r="L221" s="5"/>
    </row>
    <row r="222" spans="1:12" s="59" customFormat="1" ht="33.75" x14ac:dyDescent="0.2">
      <c r="A222" s="804" t="s">
        <v>6313</v>
      </c>
      <c r="B222" s="804" t="s">
        <v>5990</v>
      </c>
      <c r="C222" s="913" t="s">
        <v>8412</v>
      </c>
      <c r="D222" s="804" t="s">
        <v>6329</v>
      </c>
      <c r="E222" s="804" t="s">
        <v>6552</v>
      </c>
      <c r="F222" s="62">
        <v>1200</v>
      </c>
      <c r="G222" s="55">
        <v>273468</v>
      </c>
      <c r="H222" s="804"/>
      <c r="I222" s="802" t="s">
        <v>14586</v>
      </c>
      <c r="L222" s="5"/>
    </row>
    <row r="223" spans="1:12" s="59" customFormat="1" ht="33.75" x14ac:dyDescent="0.2">
      <c r="A223" s="804" t="s">
        <v>6314</v>
      </c>
      <c r="B223" s="804" t="s">
        <v>5990</v>
      </c>
      <c r="C223" s="913" t="s">
        <v>8413</v>
      </c>
      <c r="D223" s="804" t="s">
        <v>6330</v>
      </c>
      <c r="E223" s="804" t="s">
        <v>6552</v>
      </c>
      <c r="F223" s="62">
        <v>1200</v>
      </c>
      <c r="G223" s="55">
        <v>273468</v>
      </c>
      <c r="H223" s="804"/>
      <c r="I223" s="802" t="s">
        <v>14586</v>
      </c>
      <c r="L223" s="5"/>
    </row>
    <row r="224" spans="1:12" s="59" customFormat="1" ht="33.75" x14ac:dyDescent="0.2">
      <c r="A224" s="804" t="s">
        <v>6315</v>
      </c>
      <c r="B224" s="804" t="s">
        <v>5990</v>
      </c>
      <c r="C224" s="913" t="s">
        <v>8414</v>
      </c>
      <c r="D224" s="804" t="s">
        <v>6331</v>
      </c>
      <c r="E224" s="804" t="s">
        <v>6552</v>
      </c>
      <c r="F224" s="62">
        <v>1200</v>
      </c>
      <c r="G224" s="55">
        <v>273468</v>
      </c>
      <c r="H224" s="804"/>
      <c r="I224" s="802" t="s">
        <v>14586</v>
      </c>
      <c r="L224" s="5"/>
    </row>
    <row r="225" spans="1:12" s="59" customFormat="1" ht="33.75" x14ac:dyDescent="0.2">
      <c r="A225" s="850" t="s">
        <v>6316</v>
      </c>
      <c r="B225" s="850" t="s">
        <v>5990</v>
      </c>
      <c r="C225" s="970" t="s">
        <v>8415</v>
      </c>
      <c r="D225" s="850" t="s">
        <v>6332</v>
      </c>
      <c r="E225" s="850" t="s">
        <v>6552</v>
      </c>
      <c r="F225" s="894">
        <v>1200</v>
      </c>
      <c r="G225" s="921">
        <v>273468</v>
      </c>
      <c r="H225" s="850"/>
      <c r="I225" s="802" t="s">
        <v>14586</v>
      </c>
      <c r="L225" s="5"/>
    </row>
    <row r="226" spans="1:12" s="59" customFormat="1" ht="33.75" x14ac:dyDescent="0.2">
      <c r="A226" s="804" t="s">
        <v>6317</v>
      </c>
      <c r="B226" s="804" t="s">
        <v>5990</v>
      </c>
      <c r="C226" s="913" t="s">
        <v>8416</v>
      </c>
      <c r="D226" s="804" t="s">
        <v>6333</v>
      </c>
      <c r="E226" s="804" t="s">
        <v>6552</v>
      </c>
      <c r="F226" s="62">
        <v>1200</v>
      </c>
      <c r="G226" s="55">
        <v>273468</v>
      </c>
      <c r="H226" s="804"/>
      <c r="I226" s="802" t="s">
        <v>14586</v>
      </c>
      <c r="L226" s="5"/>
    </row>
    <row r="227" spans="1:12" s="59" customFormat="1" ht="33.75" x14ac:dyDescent="0.2">
      <c r="A227" s="850" t="s">
        <v>6318</v>
      </c>
      <c r="B227" s="850" t="s">
        <v>5990</v>
      </c>
      <c r="C227" s="970" t="s">
        <v>8417</v>
      </c>
      <c r="D227" s="850" t="s">
        <v>6334</v>
      </c>
      <c r="E227" s="850" t="s">
        <v>6552</v>
      </c>
      <c r="F227" s="894">
        <v>1200</v>
      </c>
      <c r="G227" s="921">
        <v>273468</v>
      </c>
      <c r="H227" s="850"/>
      <c r="I227" s="802" t="s">
        <v>14586</v>
      </c>
      <c r="L227" s="5"/>
    </row>
    <row r="228" spans="1:12" s="59" customFormat="1" ht="33.75" x14ac:dyDescent="0.2">
      <c r="A228" s="804" t="s">
        <v>6319</v>
      </c>
      <c r="B228" s="804" t="s">
        <v>5990</v>
      </c>
      <c r="C228" s="913" t="s">
        <v>8418</v>
      </c>
      <c r="D228" s="804" t="s">
        <v>6336</v>
      </c>
      <c r="E228" s="804" t="s">
        <v>6552</v>
      </c>
      <c r="F228" s="62">
        <v>1200</v>
      </c>
      <c r="G228" s="55">
        <v>273468</v>
      </c>
      <c r="H228" s="804"/>
      <c r="I228" s="802" t="s">
        <v>14586</v>
      </c>
      <c r="L228" s="5"/>
    </row>
    <row r="229" spans="1:12" s="59" customFormat="1" ht="33.75" x14ac:dyDescent="0.2">
      <c r="A229" s="804" t="s">
        <v>6320</v>
      </c>
      <c r="B229" s="804" t="s">
        <v>5990</v>
      </c>
      <c r="C229" s="913" t="s">
        <v>8419</v>
      </c>
      <c r="D229" s="804" t="s">
        <v>6335</v>
      </c>
      <c r="E229" s="804" t="s">
        <v>6552</v>
      </c>
      <c r="F229" s="62">
        <v>1200</v>
      </c>
      <c r="G229" s="55">
        <v>279912</v>
      </c>
      <c r="H229" s="804"/>
      <c r="I229" s="802" t="s">
        <v>14586</v>
      </c>
      <c r="L229" s="5"/>
    </row>
    <row r="230" spans="1:12" s="59" customFormat="1" ht="33.75" x14ac:dyDescent="0.2">
      <c r="A230" s="804" t="s">
        <v>6321</v>
      </c>
      <c r="B230" s="804" t="s">
        <v>5990</v>
      </c>
      <c r="C230" s="913" t="s">
        <v>8420</v>
      </c>
      <c r="D230" s="804" t="s">
        <v>6337</v>
      </c>
      <c r="E230" s="804" t="s">
        <v>6552</v>
      </c>
      <c r="F230" s="62">
        <v>1200</v>
      </c>
      <c r="G230" s="55">
        <v>279912</v>
      </c>
      <c r="H230" s="804"/>
      <c r="I230" s="802" t="s">
        <v>14586</v>
      </c>
      <c r="L230" s="5"/>
    </row>
    <row r="231" spans="1:12" s="59" customFormat="1" ht="33.75" x14ac:dyDescent="0.2">
      <c r="A231" s="804" t="s">
        <v>6322</v>
      </c>
      <c r="B231" s="804" t="s">
        <v>5990</v>
      </c>
      <c r="C231" s="913" t="s">
        <v>8421</v>
      </c>
      <c r="D231" s="804" t="s">
        <v>6338</v>
      </c>
      <c r="E231" s="804" t="s">
        <v>6552</v>
      </c>
      <c r="F231" s="62">
        <v>1200</v>
      </c>
      <c r="G231" s="55">
        <v>279912</v>
      </c>
      <c r="H231" s="804"/>
      <c r="I231" s="802" t="s">
        <v>14586</v>
      </c>
      <c r="L231" s="5"/>
    </row>
    <row r="232" spans="1:12" s="59" customFormat="1" ht="33.75" x14ac:dyDescent="0.2">
      <c r="A232" s="804" t="s">
        <v>6323</v>
      </c>
      <c r="B232" s="804" t="s">
        <v>5990</v>
      </c>
      <c r="C232" s="913" t="s">
        <v>8422</v>
      </c>
      <c r="D232" s="804" t="s">
        <v>6339</v>
      </c>
      <c r="E232" s="804" t="s">
        <v>6552</v>
      </c>
      <c r="F232" s="62">
        <v>1200</v>
      </c>
      <c r="G232" s="55">
        <v>279912</v>
      </c>
      <c r="H232" s="804"/>
      <c r="I232" s="802" t="s">
        <v>14586</v>
      </c>
      <c r="L232" s="5"/>
    </row>
    <row r="233" spans="1:12" s="59" customFormat="1" ht="33.75" x14ac:dyDescent="0.2">
      <c r="A233" s="804" t="s">
        <v>6488</v>
      </c>
      <c r="B233" s="804" t="s">
        <v>5990</v>
      </c>
      <c r="C233" s="913" t="s">
        <v>8423</v>
      </c>
      <c r="D233" s="804" t="s">
        <v>6496</v>
      </c>
      <c r="E233" s="804" t="s">
        <v>6552</v>
      </c>
      <c r="F233" s="62">
        <v>1200</v>
      </c>
      <c r="G233" s="55">
        <v>279912</v>
      </c>
      <c r="H233" s="804"/>
      <c r="I233" s="802" t="s">
        <v>14586</v>
      </c>
      <c r="L233" s="5"/>
    </row>
    <row r="234" spans="1:12" s="59" customFormat="1" ht="33.75" x14ac:dyDescent="0.2">
      <c r="A234" s="804" t="s">
        <v>6489</v>
      </c>
      <c r="B234" s="804" t="s">
        <v>5990</v>
      </c>
      <c r="C234" s="913" t="s">
        <v>8424</v>
      </c>
      <c r="D234" s="804" t="s">
        <v>6497</v>
      </c>
      <c r="E234" s="804" t="s">
        <v>6552</v>
      </c>
      <c r="F234" s="62">
        <v>1200</v>
      </c>
      <c r="G234" s="55">
        <v>279912</v>
      </c>
      <c r="H234" s="804"/>
      <c r="I234" s="802" t="s">
        <v>14586</v>
      </c>
      <c r="L234" s="5"/>
    </row>
    <row r="235" spans="1:12" s="59" customFormat="1" ht="33.75" x14ac:dyDescent="0.2">
      <c r="A235" s="804" t="s">
        <v>6490</v>
      </c>
      <c r="B235" s="804" t="s">
        <v>5990</v>
      </c>
      <c r="C235" s="913" t="s">
        <v>8425</v>
      </c>
      <c r="D235" s="804" t="s">
        <v>6498</v>
      </c>
      <c r="E235" s="804" t="s">
        <v>6552</v>
      </c>
      <c r="F235" s="62">
        <v>1200</v>
      </c>
      <c r="G235" s="55">
        <v>279912</v>
      </c>
      <c r="H235" s="804"/>
      <c r="I235" s="802" t="s">
        <v>14586</v>
      </c>
      <c r="L235" s="5"/>
    </row>
    <row r="236" spans="1:12" s="59" customFormat="1" ht="33.75" x14ac:dyDescent="0.2">
      <c r="A236" s="804" t="s">
        <v>6491</v>
      </c>
      <c r="B236" s="804" t="s">
        <v>5990</v>
      </c>
      <c r="C236" s="913" t="s">
        <v>8426</v>
      </c>
      <c r="D236" s="804" t="s">
        <v>6502</v>
      </c>
      <c r="E236" s="804" t="s">
        <v>6552</v>
      </c>
      <c r="F236" s="62">
        <v>1200</v>
      </c>
      <c r="G236" s="55">
        <v>279912</v>
      </c>
      <c r="H236" s="804"/>
      <c r="I236" s="802" t="s">
        <v>14586</v>
      </c>
      <c r="L236" s="5"/>
    </row>
    <row r="237" spans="1:12" s="59" customFormat="1" ht="33.75" x14ac:dyDescent="0.2">
      <c r="A237" s="804" t="s">
        <v>6492</v>
      </c>
      <c r="B237" s="804" t="s">
        <v>5990</v>
      </c>
      <c r="C237" s="913" t="s">
        <v>8427</v>
      </c>
      <c r="D237" s="804" t="s">
        <v>6499</v>
      </c>
      <c r="E237" s="804" t="s">
        <v>6552</v>
      </c>
      <c r="F237" s="62">
        <v>1200</v>
      </c>
      <c r="G237" s="55" t="s">
        <v>14428</v>
      </c>
      <c r="H237" s="804"/>
      <c r="I237" s="802" t="s">
        <v>14586</v>
      </c>
      <c r="L237" s="5"/>
    </row>
    <row r="238" spans="1:12" s="59" customFormat="1" ht="33.75" x14ac:dyDescent="0.2">
      <c r="A238" s="804" t="s">
        <v>6493</v>
      </c>
      <c r="B238" s="804" t="s">
        <v>5990</v>
      </c>
      <c r="C238" s="913" t="s">
        <v>8428</v>
      </c>
      <c r="D238" s="804" t="s">
        <v>6500</v>
      </c>
      <c r="E238" s="804" t="s">
        <v>6552</v>
      </c>
      <c r="F238" s="62">
        <v>1200</v>
      </c>
      <c r="G238" s="55">
        <v>279912</v>
      </c>
      <c r="H238" s="804"/>
      <c r="I238" s="802" t="s">
        <v>14586</v>
      </c>
      <c r="L238" s="5"/>
    </row>
    <row r="239" spans="1:12" s="59" customFormat="1" ht="33.75" x14ac:dyDescent="0.2">
      <c r="A239" s="804" t="s">
        <v>6494</v>
      </c>
      <c r="B239" s="804" t="s">
        <v>5990</v>
      </c>
      <c r="C239" s="913" t="s">
        <v>8429</v>
      </c>
      <c r="D239" s="804" t="s">
        <v>6501</v>
      </c>
      <c r="E239" s="804" t="s">
        <v>6552</v>
      </c>
      <c r="F239" s="62">
        <v>1200</v>
      </c>
      <c r="G239" s="55" t="s">
        <v>14423</v>
      </c>
      <c r="H239" s="804"/>
      <c r="I239" s="802" t="s">
        <v>14586</v>
      </c>
      <c r="L239" s="5"/>
    </row>
    <row r="240" spans="1:12" s="59" customFormat="1" ht="33.75" x14ac:dyDescent="0.2">
      <c r="A240" s="804" t="s">
        <v>6495</v>
      </c>
      <c r="B240" s="804" t="s">
        <v>5990</v>
      </c>
      <c r="C240" s="913" t="s">
        <v>8430</v>
      </c>
      <c r="D240" s="804" t="s">
        <v>6503</v>
      </c>
      <c r="E240" s="804" t="s">
        <v>6552</v>
      </c>
      <c r="F240" s="62">
        <v>1200</v>
      </c>
      <c r="G240" s="55">
        <v>273468</v>
      </c>
      <c r="H240" s="804"/>
      <c r="I240" s="802" t="s">
        <v>14586</v>
      </c>
      <c r="L240" s="5"/>
    </row>
    <row r="241" spans="1:12" s="59" customFormat="1" ht="33.75" x14ac:dyDescent="0.2">
      <c r="A241" s="804" t="s">
        <v>6580</v>
      </c>
      <c r="B241" s="804" t="s">
        <v>5990</v>
      </c>
      <c r="C241" s="913" t="s">
        <v>8431</v>
      </c>
      <c r="D241" s="804" t="s">
        <v>6583</v>
      </c>
      <c r="E241" s="804" t="s">
        <v>6552</v>
      </c>
      <c r="F241" s="62">
        <v>1200</v>
      </c>
      <c r="G241" s="55">
        <v>279912</v>
      </c>
      <c r="H241" s="804"/>
      <c r="I241" s="802" t="s">
        <v>14586</v>
      </c>
      <c r="L241" s="5"/>
    </row>
    <row r="242" spans="1:12" s="59" customFormat="1" ht="33.75" x14ac:dyDescent="0.2">
      <c r="A242" s="804" t="s">
        <v>6581</v>
      </c>
      <c r="B242" s="804" t="s">
        <v>5990</v>
      </c>
      <c r="C242" s="913" t="s">
        <v>8432</v>
      </c>
      <c r="D242" s="804" t="s">
        <v>6584</v>
      </c>
      <c r="E242" s="804" t="s">
        <v>6552</v>
      </c>
      <c r="F242" s="62">
        <v>1200</v>
      </c>
      <c r="G242" s="55">
        <v>279012</v>
      </c>
      <c r="H242" s="804"/>
      <c r="I242" s="802" t="s">
        <v>14586</v>
      </c>
      <c r="L242" s="5"/>
    </row>
    <row r="243" spans="1:12" s="59" customFormat="1" ht="33.75" x14ac:dyDescent="0.2">
      <c r="A243" s="804" t="s">
        <v>6582</v>
      </c>
      <c r="B243" s="804" t="s">
        <v>5990</v>
      </c>
      <c r="C243" s="913" t="s">
        <v>8433</v>
      </c>
      <c r="D243" s="804" t="s">
        <v>6585</v>
      </c>
      <c r="E243" s="804" t="s">
        <v>6552</v>
      </c>
      <c r="F243" s="62">
        <v>1200</v>
      </c>
      <c r="G243" s="55">
        <v>279012</v>
      </c>
      <c r="H243" s="804"/>
      <c r="I243" s="802" t="s">
        <v>14586</v>
      </c>
      <c r="L243" s="5"/>
    </row>
    <row r="244" spans="1:12" s="59" customFormat="1" ht="33.75" x14ac:dyDescent="0.2">
      <c r="A244" s="804" t="s">
        <v>6623</v>
      </c>
      <c r="B244" s="804" t="s">
        <v>5990</v>
      </c>
      <c r="C244" s="913" t="s">
        <v>8434</v>
      </c>
      <c r="D244" s="804" t="s">
        <v>6638</v>
      </c>
      <c r="E244" s="804" t="s">
        <v>6552</v>
      </c>
      <c r="F244" s="62">
        <v>1200</v>
      </c>
      <c r="G244" s="55">
        <v>273468</v>
      </c>
      <c r="H244" s="804"/>
      <c r="I244" s="802" t="s">
        <v>14586</v>
      </c>
      <c r="L244" s="5"/>
    </row>
    <row r="245" spans="1:12" s="59" customFormat="1" ht="33.75" x14ac:dyDescent="0.2">
      <c r="A245" s="804" t="s">
        <v>6624</v>
      </c>
      <c r="B245" s="804" t="s">
        <v>5990</v>
      </c>
      <c r="C245" s="913" t="s">
        <v>8435</v>
      </c>
      <c r="D245" s="804" t="s">
        <v>6639</v>
      </c>
      <c r="E245" s="804" t="s">
        <v>6552</v>
      </c>
      <c r="F245" s="62">
        <v>1200</v>
      </c>
      <c r="G245" s="55">
        <v>273468</v>
      </c>
      <c r="H245" s="804"/>
      <c r="I245" s="802" t="s">
        <v>14586</v>
      </c>
      <c r="L245" s="5"/>
    </row>
    <row r="246" spans="1:12" s="59" customFormat="1" ht="33.75" x14ac:dyDescent="0.2">
      <c r="A246" s="804" t="s">
        <v>6625</v>
      </c>
      <c r="B246" s="804" t="s">
        <v>5990</v>
      </c>
      <c r="C246" s="913" t="s">
        <v>8436</v>
      </c>
      <c r="D246" s="804" t="s">
        <v>6640</v>
      </c>
      <c r="E246" s="804" t="s">
        <v>6552</v>
      </c>
      <c r="F246" s="62">
        <v>1200</v>
      </c>
      <c r="G246" s="55">
        <v>273468</v>
      </c>
      <c r="H246" s="804"/>
      <c r="I246" s="802" t="s">
        <v>14586</v>
      </c>
      <c r="L246" s="5"/>
    </row>
    <row r="247" spans="1:12" s="59" customFormat="1" ht="33.75" x14ac:dyDescent="0.2">
      <c r="A247" s="804" t="s">
        <v>6626</v>
      </c>
      <c r="B247" s="804" t="s">
        <v>5990</v>
      </c>
      <c r="C247" s="913" t="s">
        <v>8437</v>
      </c>
      <c r="D247" s="804" t="s">
        <v>6641</v>
      </c>
      <c r="E247" s="804" t="s">
        <v>6552</v>
      </c>
      <c r="F247" s="62">
        <v>1200</v>
      </c>
      <c r="G247" s="55">
        <v>273468</v>
      </c>
      <c r="H247" s="804"/>
      <c r="I247" s="802" t="s">
        <v>14586</v>
      </c>
      <c r="L247" s="5"/>
    </row>
    <row r="248" spans="1:12" s="59" customFormat="1" ht="33.75" x14ac:dyDescent="0.2">
      <c r="A248" s="804" t="s">
        <v>6627</v>
      </c>
      <c r="B248" s="804" t="s">
        <v>5990</v>
      </c>
      <c r="C248" s="913" t="s">
        <v>8438</v>
      </c>
      <c r="D248" s="804" t="s">
        <v>6643</v>
      </c>
      <c r="E248" s="804" t="s">
        <v>6552</v>
      </c>
      <c r="F248" s="62">
        <v>1200</v>
      </c>
      <c r="G248" s="55">
        <v>273468</v>
      </c>
      <c r="H248" s="804"/>
      <c r="I248" s="802" t="s">
        <v>14586</v>
      </c>
      <c r="L248" s="5"/>
    </row>
    <row r="249" spans="1:12" s="59" customFormat="1" ht="33.75" x14ac:dyDescent="0.2">
      <c r="A249" s="804" t="s">
        <v>6628</v>
      </c>
      <c r="B249" s="804" t="s">
        <v>5990</v>
      </c>
      <c r="C249" s="913" t="s">
        <v>8439</v>
      </c>
      <c r="D249" s="804" t="s">
        <v>6642</v>
      </c>
      <c r="E249" s="804" t="s">
        <v>6552</v>
      </c>
      <c r="F249" s="62">
        <v>1200</v>
      </c>
      <c r="G249" s="55" t="s">
        <v>14427</v>
      </c>
      <c r="H249" s="804"/>
      <c r="I249" s="802" t="s">
        <v>14586</v>
      </c>
      <c r="L249" s="5"/>
    </row>
    <row r="250" spans="1:12" s="59" customFormat="1" ht="33.75" x14ac:dyDescent="0.2">
      <c r="A250" s="804" t="s">
        <v>6629</v>
      </c>
      <c r="B250" s="804" t="s">
        <v>5990</v>
      </c>
      <c r="C250" s="913" t="s">
        <v>8440</v>
      </c>
      <c r="D250" s="804" t="s">
        <v>6644</v>
      </c>
      <c r="E250" s="804" t="s">
        <v>6552</v>
      </c>
      <c r="F250" s="62">
        <v>1200</v>
      </c>
      <c r="G250" s="55">
        <v>273468</v>
      </c>
      <c r="H250" s="804"/>
      <c r="I250" s="802" t="s">
        <v>14586</v>
      </c>
      <c r="L250" s="5"/>
    </row>
    <row r="251" spans="1:12" s="59" customFormat="1" ht="33.75" x14ac:dyDescent="0.2">
      <c r="A251" s="804" t="s">
        <v>6630</v>
      </c>
      <c r="B251" s="804" t="s">
        <v>5990</v>
      </c>
      <c r="C251" s="913" t="s">
        <v>8441</v>
      </c>
      <c r="D251" s="804" t="s">
        <v>6645</v>
      </c>
      <c r="E251" s="804" t="s">
        <v>6552</v>
      </c>
      <c r="F251" s="62">
        <v>1200</v>
      </c>
      <c r="G251" s="55">
        <v>279012</v>
      </c>
      <c r="H251" s="804"/>
      <c r="I251" s="802" t="s">
        <v>14586</v>
      </c>
      <c r="L251" s="5"/>
    </row>
    <row r="252" spans="1:12" s="59" customFormat="1" ht="33.75" x14ac:dyDescent="0.2">
      <c r="A252" s="804" t="s">
        <v>6631</v>
      </c>
      <c r="B252" s="804" t="s">
        <v>5990</v>
      </c>
      <c r="C252" s="913" t="s">
        <v>8442</v>
      </c>
      <c r="D252" s="804" t="s">
        <v>6646</v>
      </c>
      <c r="E252" s="804" t="s">
        <v>6552</v>
      </c>
      <c r="F252" s="62">
        <v>1200</v>
      </c>
      <c r="G252" s="55">
        <v>279012</v>
      </c>
      <c r="H252" s="804"/>
      <c r="I252" s="802" t="s">
        <v>14586</v>
      </c>
      <c r="L252" s="5"/>
    </row>
    <row r="253" spans="1:12" s="59" customFormat="1" ht="33.75" x14ac:dyDescent="0.2">
      <c r="A253" s="804" t="s">
        <v>6632</v>
      </c>
      <c r="B253" s="804" t="s">
        <v>5990</v>
      </c>
      <c r="C253" s="913" t="s">
        <v>8443</v>
      </c>
      <c r="D253" s="804" t="s">
        <v>6647</v>
      </c>
      <c r="E253" s="804" t="s">
        <v>6552</v>
      </c>
      <c r="F253" s="62">
        <v>1200</v>
      </c>
      <c r="G253" s="55">
        <v>279012</v>
      </c>
      <c r="H253" s="804"/>
      <c r="I253" s="802" t="s">
        <v>14586</v>
      </c>
      <c r="L253" s="5"/>
    </row>
    <row r="254" spans="1:12" s="59" customFormat="1" ht="33.75" x14ac:dyDescent="0.2">
      <c r="A254" s="804" t="s">
        <v>6633</v>
      </c>
      <c r="B254" s="804" t="s">
        <v>5990</v>
      </c>
      <c r="C254" s="913" t="s">
        <v>8444</v>
      </c>
      <c r="D254" s="804" t="s">
        <v>6648</v>
      </c>
      <c r="E254" s="804" t="s">
        <v>6552</v>
      </c>
      <c r="F254" s="62">
        <v>1200</v>
      </c>
      <c r="G254" s="55">
        <v>279012</v>
      </c>
      <c r="H254" s="804"/>
      <c r="I254" s="802" t="s">
        <v>14586</v>
      </c>
      <c r="L254" s="5"/>
    </row>
    <row r="255" spans="1:12" s="59" customFormat="1" ht="33.75" x14ac:dyDescent="0.2">
      <c r="A255" s="804" t="s">
        <v>6634</v>
      </c>
      <c r="B255" s="804" t="s">
        <v>5990</v>
      </c>
      <c r="C255" s="913" t="s">
        <v>8445</v>
      </c>
      <c r="D255" s="804" t="s">
        <v>6649</v>
      </c>
      <c r="E255" s="804" t="s">
        <v>6552</v>
      </c>
      <c r="F255" s="62">
        <v>1200</v>
      </c>
      <c r="G255" s="55">
        <v>279012</v>
      </c>
      <c r="H255" s="804"/>
      <c r="I255" s="802" t="s">
        <v>14586</v>
      </c>
      <c r="L255" s="5"/>
    </row>
    <row r="256" spans="1:12" s="59" customFormat="1" ht="33.75" x14ac:dyDescent="0.2">
      <c r="A256" s="804" t="s">
        <v>6635</v>
      </c>
      <c r="B256" s="804" t="s">
        <v>5990</v>
      </c>
      <c r="C256" s="913" t="s">
        <v>8446</v>
      </c>
      <c r="D256" s="804" t="s">
        <v>6650</v>
      </c>
      <c r="E256" s="804" t="s">
        <v>6552</v>
      </c>
      <c r="F256" s="62">
        <v>1200</v>
      </c>
      <c r="G256" s="55">
        <v>279012</v>
      </c>
      <c r="H256" s="804"/>
      <c r="I256" s="802" t="s">
        <v>14586</v>
      </c>
      <c r="L256" s="5"/>
    </row>
    <row r="257" spans="1:12" s="59" customFormat="1" ht="33.75" x14ac:dyDescent="0.2">
      <c r="A257" s="804" t="s">
        <v>6636</v>
      </c>
      <c r="B257" s="804" t="s">
        <v>5990</v>
      </c>
      <c r="C257" s="913" t="s">
        <v>8447</v>
      </c>
      <c r="D257" s="804" t="s">
        <v>6651</v>
      </c>
      <c r="E257" s="804" t="s">
        <v>6552</v>
      </c>
      <c r="F257" s="62">
        <v>1200</v>
      </c>
      <c r="G257" s="55">
        <v>279012</v>
      </c>
      <c r="H257" s="804"/>
      <c r="I257" s="802" t="s">
        <v>14586</v>
      </c>
      <c r="L257" s="5"/>
    </row>
    <row r="258" spans="1:12" s="59" customFormat="1" ht="33.75" x14ac:dyDescent="0.2">
      <c r="A258" s="804" t="s">
        <v>6637</v>
      </c>
      <c r="B258" s="804" t="s">
        <v>5990</v>
      </c>
      <c r="C258" s="913" t="s">
        <v>8448</v>
      </c>
      <c r="D258" s="804" t="s">
        <v>6652</v>
      </c>
      <c r="E258" s="804" t="s">
        <v>6552</v>
      </c>
      <c r="F258" s="62">
        <v>1200</v>
      </c>
      <c r="G258" s="55">
        <v>279912</v>
      </c>
      <c r="H258" s="804"/>
      <c r="I258" s="802" t="s">
        <v>14586</v>
      </c>
      <c r="L258" s="5"/>
    </row>
    <row r="259" spans="1:12" s="59" customFormat="1" ht="33.75" x14ac:dyDescent="0.2">
      <c r="A259" s="804" t="s">
        <v>6681</v>
      </c>
      <c r="B259" s="804" t="s">
        <v>5990</v>
      </c>
      <c r="C259" s="913" t="s">
        <v>8449</v>
      </c>
      <c r="D259" s="804" t="s">
        <v>6707</v>
      </c>
      <c r="E259" s="804" t="s">
        <v>6552</v>
      </c>
      <c r="F259" s="62">
        <v>1200</v>
      </c>
      <c r="G259" s="55">
        <v>279012</v>
      </c>
      <c r="H259" s="804"/>
      <c r="I259" s="802" t="s">
        <v>14586</v>
      </c>
      <c r="L259" s="5"/>
    </row>
    <row r="260" spans="1:12" s="59" customFormat="1" ht="33.75" x14ac:dyDescent="0.2">
      <c r="A260" s="804" t="s">
        <v>6682</v>
      </c>
      <c r="B260" s="804" t="s">
        <v>5990</v>
      </c>
      <c r="C260" s="913" t="s">
        <v>8450</v>
      </c>
      <c r="D260" s="804" t="s">
        <v>6708</v>
      </c>
      <c r="E260" s="804" t="s">
        <v>6552</v>
      </c>
      <c r="F260" s="62">
        <v>1200</v>
      </c>
      <c r="G260" s="55">
        <v>279012</v>
      </c>
      <c r="H260" s="804"/>
      <c r="I260" s="802" t="s">
        <v>14586</v>
      </c>
      <c r="L260" s="5"/>
    </row>
    <row r="261" spans="1:12" s="59" customFormat="1" ht="33.75" x14ac:dyDescent="0.2">
      <c r="A261" s="804" t="s">
        <v>6683</v>
      </c>
      <c r="B261" s="804" t="s">
        <v>5990</v>
      </c>
      <c r="C261" s="913" t="s">
        <v>8451</v>
      </c>
      <c r="D261" s="804" t="s">
        <v>6709</v>
      </c>
      <c r="E261" s="804" t="s">
        <v>6552</v>
      </c>
      <c r="F261" s="62">
        <v>1200</v>
      </c>
      <c r="G261" s="55">
        <v>279012</v>
      </c>
      <c r="H261" s="804"/>
      <c r="I261" s="802" t="s">
        <v>14586</v>
      </c>
      <c r="L261" s="5"/>
    </row>
    <row r="262" spans="1:12" s="59" customFormat="1" ht="33.75" x14ac:dyDescent="0.2">
      <c r="A262" s="804" t="s">
        <v>6684</v>
      </c>
      <c r="B262" s="804" t="s">
        <v>5990</v>
      </c>
      <c r="C262" s="913" t="s">
        <v>8452</v>
      </c>
      <c r="D262" s="804" t="s">
        <v>6710</v>
      </c>
      <c r="E262" s="804" t="s">
        <v>6552</v>
      </c>
      <c r="F262" s="62">
        <v>1200</v>
      </c>
      <c r="G262" s="55">
        <v>279012</v>
      </c>
      <c r="H262" s="804"/>
      <c r="I262" s="802" t="s">
        <v>14586</v>
      </c>
      <c r="L262" s="5"/>
    </row>
    <row r="263" spans="1:12" s="59" customFormat="1" ht="33.75" x14ac:dyDescent="0.2">
      <c r="A263" s="804" t="s">
        <v>6685</v>
      </c>
      <c r="B263" s="804" t="s">
        <v>5990</v>
      </c>
      <c r="C263" s="913" t="s">
        <v>8453</v>
      </c>
      <c r="D263" s="804" t="s">
        <v>6711</v>
      </c>
      <c r="E263" s="804" t="s">
        <v>6552</v>
      </c>
      <c r="F263" s="62">
        <v>1200</v>
      </c>
      <c r="G263" s="55">
        <v>279012</v>
      </c>
      <c r="H263" s="804"/>
      <c r="I263" s="802" t="s">
        <v>14586</v>
      </c>
      <c r="L263" s="5"/>
    </row>
    <row r="264" spans="1:12" s="59" customFormat="1" ht="33.75" x14ac:dyDescent="0.2">
      <c r="A264" s="804" t="s">
        <v>6686</v>
      </c>
      <c r="B264" s="804" t="s">
        <v>5990</v>
      </c>
      <c r="C264" s="913" t="s">
        <v>8454</v>
      </c>
      <c r="D264" s="804" t="s">
        <v>6712</v>
      </c>
      <c r="E264" s="804" t="s">
        <v>6552</v>
      </c>
      <c r="F264" s="62">
        <v>1200</v>
      </c>
      <c r="G264" s="55">
        <v>279012</v>
      </c>
      <c r="H264" s="804"/>
      <c r="I264" s="802" t="s">
        <v>14586</v>
      </c>
      <c r="L264" s="5"/>
    </row>
    <row r="265" spans="1:12" s="59" customFormat="1" ht="33.75" x14ac:dyDescent="0.2">
      <c r="A265" s="804" t="s">
        <v>6687</v>
      </c>
      <c r="B265" s="804" t="s">
        <v>5990</v>
      </c>
      <c r="C265" s="913" t="s">
        <v>8455</v>
      </c>
      <c r="D265" s="804" t="s">
        <v>6713</v>
      </c>
      <c r="E265" s="804" t="s">
        <v>6552</v>
      </c>
      <c r="F265" s="62">
        <v>1200</v>
      </c>
      <c r="G265" s="55">
        <v>279012</v>
      </c>
      <c r="H265" s="804"/>
      <c r="I265" s="802" t="s">
        <v>14586</v>
      </c>
      <c r="L265" s="5"/>
    </row>
    <row r="266" spans="1:12" s="59" customFormat="1" ht="33.75" x14ac:dyDescent="0.2">
      <c r="A266" s="804" t="s">
        <v>6688</v>
      </c>
      <c r="B266" s="804" t="s">
        <v>5990</v>
      </c>
      <c r="C266" s="913" t="s">
        <v>8456</v>
      </c>
      <c r="D266" s="804" t="s">
        <v>6714</v>
      </c>
      <c r="E266" s="804" t="s">
        <v>6552</v>
      </c>
      <c r="F266" s="62">
        <v>1200</v>
      </c>
      <c r="G266" s="55">
        <v>279012</v>
      </c>
      <c r="H266" s="804"/>
      <c r="I266" s="802" t="s">
        <v>14586</v>
      </c>
      <c r="L266" s="5"/>
    </row>
    <row r="267" spans="1:12" s="59" customFormat="1" ht="33.75" x14ac:dyDescent="0.2">
      <c r="A267" s="804" t="s">
        <v>6689</v>
      </c>
      <c r="B267" s="804" t="s">
        <v>5990</v>
      </c>
      <c r="C267" s="913" t="s">
        <v>8457</v>
      </c>
      <c r="D267" s="804" t="s">
        <v>6715</v>
      </c>
      <c r="E267" s="804" t="s">
        <v>6552</v>
      </c>
      <c r="F267" s="62">
        <v>1200</v>
      </c>
      <c r="G267" s="55">
        <v>279012</v>
      </c>
      <c r="H267" s="804"/>
      <c r="I267" s="802" t="s">
        <v>14586</v>
      </c>
      <c r="L267" s="5"/>
    </row>
    <row r="268" spans="1:12" s="59" customFormat="1" ht="33.75" x14ac:dyDescent="0.2">
      <c r="A268" s="804" t="s">
        <v>6690</v>
      </c>
      <c r="B268" s="804" t="s">
        <v>5990</v>
      </c>
      <c r="C268" s="913" t="s">
        <v>8458</v>
      </c>
      <c r="D268" s="804" t="s">
        <v>6716</v>
      </c>
      <c r="E268" s="804" t="s">
        <v>6552</v>
      </c>
      <c r="F268" s="62">
        <v>1200</v>
      </c>
      <c r="G268" s="55">
        <v>279012</v>
      </c>
      <c r="H268" s="804"/>
      <c r="I268" s="802" t="s">
        <v>14586</v>
      </c>
      <c r="L268" s="5"/>
    </row>
    <row r="269" spans="1:12" s="59" customFormat="1" ht="33.75" x14ac:dyDescent="0.2">
      <c r="A269" s="804" t="s">
        <v>6691</v>
      </c>
      <c r="B269" s="804" t="s">
        <v>5990</v>
      </c>
      <c r="C269" s="913" t="s">
        <v>8459</v>
      </c>
      <c r="D269" s="804" t="s">
        <v>6785</v>
      </c>
      <c r="E269" s="804" t="s">
        <v>6552</v>
      </c>
      <c r="F269" s="62">
        <v>1200</v>
      </c>
      <c r="G269" s="55">
        <v>273468</v>
      </c>
      <c r="H269" s="804"/>
      <c r="I269" s="802" t="s">
        <v>14586</v>
      </c>
      <c r="L269" s="5"/>
    </row>
    <row r="270" spans="1:12" s="59" customFormat="1" ht="33.75" x14ac:dyDescent="0.2">
      <c r="A270" s="804" t="s">
        <v>6692</v>
      </c>
      <c r="B270" s="804" t="s">
        <v>5990</v>
      </c>
      <c r="C270" s="913" t="s">
        <v>8460</v>
      </c>
      <c r="D270" s="804" t="s">
        <v>6786</v>
      </c>
      <c r="E270" s="804" t="s">
        <v>6552</v>
      </c>
      <c r="F270" s="62">
        <v>1200</v>
      </c>
      <c r="G270" s="55">
        <v>273468</v>
      </c>
      <c r="H270" s="804"/>
      <c r="I270" s="802" t="s">
        <v>14586</v>
      </c>
      <c r="L270" s="5"/>
    </row>
    <row r="271" spans="1:12" s="59" customFormat="1" ht="33.75" x14ac:dyDescent="0.2">
      <c r="A271" s="804" t="s">
        <v>6693</v>
      </c>
      <c r="B271" s="804" t="s">
        <v>5990</v>
      </c>
      <c r="C271" s="913" t="s">
        <v>8461</v>
      </c>
      <c r="D271" s="804" t="s">
        <v>6787</v>
      </c>
      <c r="E271" s="804" t="s">
        <v>6552</v>
      </c>
      <c r="F271" s="62">
        <v>1200</v>
      </c>
      <c r="G271" s="55">
        <v>273468</v>
      </c>
      <c r="H271" s="804"/>
      <c r="I271" s="802" t="s">
        <v>14586</v>
      </c>
      <c r="L271" s="5"/>
    </row>
    <row r="272" spans="1:12" s="59" customFormat="1" ht="33.75" x14ac:dyDescent="0.2">
      <c r="A272" s="804" t="s">
        <v>6694</v>
      </c>
      <c r="B272" s="804" t="s">
        <v>5990</v>
      </c>
      <c r="C272" s="913" t="s">
        <v>8462</v>
      </c>
      <c r="D272" s="804" t="s">
        <v>6788</v>
      </c>
      <c r="E272" s="804" t="s">
        <v>6552</v>
      </c>
      <c r="F272" s="62">
        <v>1200</v>
      </c>
      <c r="G272" s="55">
        <v>279012</v>
      </c>
      <c r="H272" s="804"/>
      <c r="I272" s="802" t="s">
        <v>14586</v>
      </c>
      <c r="L272" s="5"/>
    </row>
    <row r="273" spans="1:12" s="59" customFormat="1" ht="33.75" x14ac:dyDescent="0.2">
      <c r="A273" s="804" t="s">
        <v>6695</v>
      </c>
      <c r="B273" s="804" t="s">
        <v>5990</v>
      </c>
      <c r="C273" s="913" t="s">
        <v>8463</v>
      </c>
      <c r="D273" s="804" t="s">
        <v>6789</v>
      </c>
      <c r="E273" s="804" t="s">
        <v>6552</v>
      </c>
      <c r="F273" s="62">
        <v>1200</v>
      </c>
      <c r="G273" s="55">
        <v>279012</v>
      </c>
      <c r="H273" s="804"/>
      <c r="I273" s="802" t="s">
        <v>14586</v>
      </c>
      <c r="L273" s="5"/>
    </row>
    <row r="274" spans="1:12" s="59" customFormat="1" ht="33.75" x14ac:dyDescent="0.2">
      <c r="A274" s="804" t="s">
        <v>6696</v>
      </c>
      <c r="B274" s="804" t="s">
        <v>5990</v>
      </c>
      <c r="C274" s="913" t="s">
        <v>8464</v>
      </c>
      <c r="D274" s="804" t="s">
        <v>6790</v>
      </c>
      <c r="E274" s="804" t="s">
        <v>6552</v>
      </c>
      <c r="F274" s="62">
        <v>1200</v>
      </c>
      <c r="G274" s="55">
        <v>279012</v>
      </c>
      <c r="H274" s="804"/>
      <c r="I274" s="802" t="s">
        <v>14586</v>
      </c>
      <c r="L274" s="5"/>
    </row>
    <row r="275" spans="1:12" s="59" customFormat="1" ht="33.75" x14ac:dyDescent="0.2">
      <c r="A275" s="804" t="s">
        <v>6697</v>
      </c>
      <c r="B275" s="804" t="s">
        <v>5990</v>
      </c>
      <c r="C275" s="913" t="s">
        <v>8465</v>
      </c>
      <c r="D275" s="804" t="s">
        <v>6791</v>
      </c>
      <c r="E275" s="804" t="s">
        <v>6552</v>
      </c>
      <c r="F275" s="62">
        <v>1200</v>
      </c>
      <c r="G275" s="55">
        <v>279012</v>
      </c>
      <c r="H275" s="804"/>
      <c r="I275" s="802" t="s">
        <v>14586</v>
      </c>
      <c r="L275" s="5"/>
    </row>
    <row r="276" spans="1:12" s="59" customFormat="1" ht="33.75" x14ac:dyDescent="0.2">
      <c r="A276" s="804" t="s">
        <v>6698</v>
      </c>
      <c r="B276" s="804" t="s">
        <v>5990</v>
      </c>
      <c r="C276" s="913" t="s">
        <v>8466</v>
      </c>
      <c r="D276" s="804" t="s">
        <v>6792</v>
      </c>
      <c r="E276" s="804" t="s">
        <v>6552</v>
      </c>
      <c r="F276" s="62">
        <v>1200</v>
      </c>
      <c r="G276" s="55">
        <v>273468</v>
      </c>
      <c r="H276" s="804"/>
      <c r="I276" s="802" t="s">
        <v>14586</v>
      </c>
      <c r="L276" s="5"/>
    </row>
    <row r="277" spans="1:12" s="59" customFormat="1" ht="33.75" x14ac:dyDescent="0.2">
      <c r="A277" s="804" t="s">
        <v>6699</v>
      </c>
      <c r="B277" s="804" t="s">
        <v>5990</v>
      </c>
      <c r="C277" s="913" t="s">
        <v>8467</v>
      </c>
      <c r="D277" s="804" t="s">
        <v>6793</v>
      </c>
      <c r="E277" s="804" t="s">
        <v>6552</v>
      </c>
      <c r="F277" s="62">
        <v>1200</v>
      </c>
      <c r="G277" s="55">
        <v>273468</v>
      </c>
      <c r="H277" s="804"/>
      <c r="I277" s="802" t="s">
        <v>14586</v>
      </c>
      <c r="L277" s="5"/>
    </row>
    <row r="278" spans="1:12" s="59" customFormat="1" ht="33.75" x14ac:dyDescent="0.2">
      <c r="A278" s="804" t="s">
        <v>6700</v>
      </c>
      <c r="B278" s="804" t="s">
        <v>5990</v>
      </c>
      <c r="C278" s="913" t="s">
        <v>8468</v>
      </c>
      <c r="D278" s="804" t="s">
        <v>6794</v>
      </c>
      <c r="E278" s="804" t="s">
        <v>6552</v>
      </c>
      <c r="F278" s="62">
        <v>1200</v>
      </c>
      <c r="G278" s="55">
        <v>273468</v>
      </c>
      <c r="H278" s="804"/>
      <c r="I278" s="802" t="s">
        <v>14586</v>
      </c>
      <c r="L278" s="5"/>
    </row>
    <row r="279" spans="1:12" s="59" customFormat="1" ht="33.75" x14ac:dyDescent="0.2">
      <c r="A279" s="804" t="s">
        <v>6701</v>
      </c>
      <c r="B279" s="804" t="s">
        <v>5990</v>
      </c>
      <c r="C279" s="913" t="s">
        <v>8469</v>
      </c>
      <c r="D279" s="804" t="s">
        <v>6795</v>
      </c>
      <c r="E279" s="804" t="s">
        <v>6552</v>
      </c>
      <c r="F279" s="62">
        <v>1200</v>
      </c>
      <c r="G279" s="55">
        <v>273468</v>
      </c>
      <c r="H279" s="804"/>
      <c r="I279" s="802" t="s">
        <v>14586</v>
      </c>
      <c r="L279" s="5"/>
    </row>
    <row r="280" spans="1:12" s="59" customFormat="1" ht="33.75" x14ac:dyDescent="0.2">
      <c r="A280" s="804" t="s">
        <v>6702</v>
      </c>
      <c r="B280" s="804" t="s">
        <v>5990</v>
      </c>
      <c r="C280" s="913" t="s">
        <v>8470</v>
      </c>
      <c r="D280" s="804" t="s">
        <v>6796</v>
      </c>
      <c r="E280" s="804" t="s">
        <v>6552</v>
      </c>
      <c r="F280" s="62">
        <v>1200</v>
      </c>
      <c r="G280" s="55">
        <v>273468</v>
      </c>
      <c r="H280" s="804"/>
      <c r="I280" s="802" t="s">
        <v>14586</v>
      </c>
      <c r="L280" s="5"/>
    </row>
    <row r="281" spans="1:12" s="59" customFormat="1" ht="33.75" x14ac:dyDescent="0.2">
      <c r="A281" s="804" t="s">
        <v>6703</v>
      </c>
      <c r="B281" s="804" t="s">
        <v>5990</v>
      </c>
      <c r="C281" s="913" t="s">
        <v>8471</v>
      </c>
      <c r="D281" s="804" t="s">
        <v>6797</v>
      </c>
      <c r="E281" s="804" t="s">
        <v>6552</v>
      </c>
      <c r="F281" s="62">
        <v>1200</v>
      </c>
      <c r="G281" s="55">
        <v>273468</v>
      </c>
      <c r="H281" s="804"/>
      <c r="I281" s="802" t="s">
        <v>14586</v>
      </c>
      <c r="L281" s="5"/>
    </row>
    <row r="282" spans="1:12" s="59" customFormat="1" ht="33.75" x14ac:dyDescent="0.2">
      <c r="A282" s="804" t="s">
        <v>6704</v>
      </c>
      <c r="B282" s="804" t="s">
        <v>5990</v>
      </c>
      <c r="C282" s="913" t="s">
        <v>8472</v>
      </c>
      <c r="D282" s="804" t="s">
        <v>6798</v>
      </c>
      <c r="E282" s="804" t="s">
        <v>6552</v>
      </c>
      <c r="F282" s="62">
        <v>1200</v>
      </c>
      <c r="G282" s="55">
        <v>273468</v>
      </c>
      <c r="H282" s="804"/>
      <c r="I282" s="802" t="s">
        <v>14586</v>
      </c>
      <c r="L282" s="5"/>
    </row>
    <row r="283" spans="1:12" s="59" customFormat="1" ht="33.75" x14ac:dyDescent="0.2">
      <c r="A283" s="804" t="s">
        <v>6705</v>
      </c>
      <c r="B283" s="804" t="s">
        <v>5990</v>
      </c>
      <c r="C283" s="913" t="s">
        <v>8473</v>
      </c>
      <c r="D283" s="804" t="s">
        <v>6799</v>
      </c>
      <c r="E283" s="804" t="s">
        <v>6552</v>
      </c>
      <c r="F283" s="62">
        <v>1200</v>
      </c>
      <c r="G283" s="55">
        <v>273468</v>
      </c>
      <c r="H283" s="804"/>
      <c r="I283" s="802" t="s">
        <v>14586</v>
      </c>
      <c r="L283" s="5"/>
    </row>
    <row r="284" spans="1:12" s="59" customFormat="1" ht="33.75" x14ac:dyDescent="0.2">
      <c r="A284" s="804" t="s">
        <v>6706</v>
      </c>
      <c r="B284" s="804" t="s">
        <v>5990</v>
      </c>
      <c r="C284" s="913" t="s">
        <v>8474</v>
      </c>
      <c r="D284" s="804" t="s">
        <v>6800</v>
      </c>
      <c r="E284" s="804" t="s">
        <v>6552</v>
      </c>
      <c r="F284" s="62">
        <v>1200</v>
      </c>
      <c r="G284" s="55">
        <v>273468</v>
      </c>
      <c r="H284" s="804"/>
      <c r="I284" s="802" t="s">
        <v>14586</v>
      </c>
      <c r="L284" s="5"/>
    </row>
    <row r="285" spans="1:12" s="59" customFormat="1" ht="33.75" x14ac:dyDescent="0.2">
      <c r="A285" s="804" t="s">
        <v>6719</v>
      </c>
      <c r="B285" s="804" t="s">
        <v>5990</v>
      </c>
      <c r="C285" s="913" t="s">
        <v>8475</v>
      </c>
      <c r="D285" s="804" t="s">
        <v>6801</v>
      </c>
      <c r="E285" s="804" t="s">
        <v>6552</v>
      </c>
      <c r="F285" s="62">
        <v>1200</v>
      </c>
      <c r="G285" s="55">
        <v>279012</v>
      </c>
      <c r="H285" s="804"/>
      <c r="I285" s="802" t="s">
        <v>14586</v>
      </c>
      <c r="L285" s="5"/>
    </row>
    <row r="286" spans="1:12" s="59" customFormat="1" ht="33.75" x14ac:dyDescent="0.2">
      <c r="A286" s="804" t="s">
        <v>6720</v>
      </c>
      <c r="B286" s="804" t="s">
        <v>5990</v>
      </c>
      <c r="C286" s="913" t="s">
        <v>8476</v>
      </c>
      <c r="D286" s="804" t="s">
        <v>6802</v>
      </c>
      <c r="E286" s="804" t="s">
        <v>6552</v>
      </c>
      <c r="F286" s="62">
        <v>1200</v>
      </c>
      <c r="G286" s="55">
        <v>279012</v>
      </c>
      <c r="H286" s="804"/>
      <c r="I286" s="802" t="s">
        <v>14586</v>
      </c>
      <c r="L286" s="5"/>
    </row>
    <row r="287" spans="1:12" s="59" customFormat="1" ht="33.75" x14ac:dyDescent="0.2">
      <c r="A287" s="804" t="s">
        <v>6721</v>
      </c>
      <c r="B287" s="804" t="s">
        <v>5990</v>
      </c>
      <c r="C287" s="913" t="s">
        <v>8477</v>
      </c>
      <c r="D287" s="804" t="s">
        <v>6803</v>
      </c>
      <c r="E287" s="804" t="s">
        <v>6552</v>
      </c>
      <c r="F287" s="62">
        <v>1200</v>
      </c>
      <c r="G287" s="55">
        <v>279012</v>
      </c>
      <c r="H287" s="804"/>
      <c r="I287" s="802" t="s">
        <v>14586</v>
      </c>
      <c r="L287" s="5"/>
    </row>
    <row r="288" spans="1:12" s="59" customFormat="1" ht="33.75" x14ac:dyDescent="0.2">
      <c r="A288" s="804" t="s">
        <v>6722</v>
      </c>
      <c r="B288" s="804" t="s">
        <v>5990</v>
      </c>
      <c r="C288" s="913" t="s">
        <v>8478</v>
      </c>
      <c r="D288" s="804" t="s">
        <v>6743</v>
      </c>
      <c r="E288" s="804" t="s">
        <v>6552</v>
      </c>
      <c r="F288" s="62">
        <v>1200</v>
      </c>
      <c r="G288" s="55">
        <v>279012</v>
      </c>
      <c r="H288" s="804"/>
      <c r="I288" s="802" t="s">
        <v>14586</v>
      </c>
      <c r="L288" s="5"/>
    </row>
    <row r="289" spans="1:12" s="59" customFormat="1" ht="33.75" x14ac:dyDescent="0.2">
      <c r="A289" s="804" t="s">
        <v>6723</v>
      </c>
      <c r="B289" s="804" t="s">
        <v>5990</v>
      </c>
      <c r="C289" s="913" t="s">
        <v>8479</v>
      </c>
      <c r="D289" s="804" t="s">
        <v>6804</v>
      </c>
      <c r="E289" s="804" t="s">
        <v>6552</v>
      </c>
      <c r="F289" s="62">
        <v>1200</v>
      </c>
      <c r="G289" s="55">
        <v>279012</v>
      </c>
      <c r="H289" s="804"/>
      <c r="I289" s="802" t="s">
        <v>14586</v>
      </c>
      <c r="L289" s="5"/>
    </row>
    <row r="290" spans="1:12" s="59" customFormat="1" ht="33.75" x14ac:dyDescent="0.2">
      <c r="A290" s="804" t="s">
        <v>6724</v>
      </c>
      <c r="B290" s="804" t="s">
        <v>5990</v>
      </c>
      <c r="C290" s="913" t="s">
        <v>8480</v>
      </c>
      <c r="D290" s="804" t="s">
        <v>6806</v>
      </c>
      <c r="E290" s="804" t="s">
        <v>6552</v>
      </c>
      <c r="F290" s="62">
        <v>1200</v>
      </c>
      <c r="G290" s="55">
        <v>279012</v>
      </c>
      <c r="H290" s="804"/>
      <c r="I290" s="802" t="s">
        <v>14586</v>
      </c>
      <c r="L290" s="5"/>
    </row>
    <row r="291" spans="1:12" s="59" customFormat="1" ht="33.75" x14ac:dyDescent="0.2">
      <c r="A291" s="804" t="s">
        <v>6725</v>
      </c>
      <c r="B291" s="804" t="s">
        <v>5990</v>
      </c>
      <c r="C291" s="913" t="s">
        <v>8481</v>
      </c>
      <c r="D291" s="804" t="s">
        <v>6807</v>
      </c>
      <c r="E291" s="804" t="s">
        <v>6552</v>
      </c>
      <c r="F291" s="62">
        <v>1200</v>
      </c>
      <c r="G291" s="55">
        <v>279012</v>
      </c>
      <c r="H291" s="804"/>
      <c r="I291" s="802" t="s">
        <v>14586</v>
      </c>
      <c r="L291" s="5"/>
    </row>
    <row r="292" spans="1:12" s="59" customFormat="1" ht="33.75" x14ac:dyDescent="0.2">
      <c r="A292" s="804" t="s">
        <v>6726</v>
      </c>
      <c r="B292" s="804" t="s">
        <v>5990</v>
      </c>
      <c r="C292" s="913" t="s">
        <v>8482</v>
      </c>
      <c r="D292" s="804" t="s">
        <v>6808</v>
      </c>
      <c r="E292" s="804" t="s">
        <v>6552</v>
      </c>
      <c r="F292" s="62">
        <v>1200</v>
      </c>
      <c r="G292" s="55">
        <v>279012</v>
      </c>
      <c r="H292" s="804"/>
      <c r="I292" s="802" t="s">
        <v>14586</v>
      </c>
      <c r="L292" s="5"/>
    </row>
    <row r="293" spans="1:12" s="59" customFormat="1" ht="33.75" x14ac:dyDescent="0.2">
      <c r="A293" s="804" t="s">
        <v>6727</v>
      </c>
      <c r="B293" s="804" t="s">
        <v>5990</v>
      </c>
      <c r="C293" s="913" t="s">
        <v>8483</v>
      </c>
      <c r="D293" s="804" t="s">
        <v>6809</v>
      </c>
      <c r="E293" s="804" t="s">
        <v>6552</v>
      </c>
      <c r="F293" s="62">
        <v>1200</v>
      </c>
      <c r="G293" s="55">
        <v>279012</v>
      </c>
      <c r="H293" s="804"/>
      <c r="I293" s="802" t="s">
        <v>14586</v>
      </c>
      <c r="L293" s="5"/>
    </row>
    <row r="294" spans="1:12" s="59" customFormat="1" ht="33.75" x14ac:dyDescent="0.2">
      <c r="A294" s="804" t="s">
        <v>6728</v>
      </c>
      <c r="B294" s="804" t="s">
        <v>5990</v>
      </c>
      <c r="C294" s="913" t="s">
        <v>8484</v>
      </c>
      <c r="D294" s="804" t="s">
        <v>6810</v>
      </c>
      <c r="E294" s="804" t="s">
        <v>6552</v>
      </c>
      <c r="F294" s="62">
        <v>1200</v>
      </c>
      <c r="G294" s="55">
        <v>279012</v>
      </c>
      <c r="H294" s="804"/>
      <c r="I294" s="802" t="s">
        <v>14586</v>
      </c>
      <c r="L294" s="5"/>
    </row>
    <row r="295" spans="1:12" s="59" customFormat="1" ht="33.75" x14ac:dyDescent="0.2">
      <c r="A295" s="804" t="s">
        <v>6729</v>
      </c>
      <c r="B295" s="804" t="s">
        <v>5990</v>
      </c>
      <c r="C295" s="913" t="s">
        <v>8485</v>
      </c>
      <c r="D295" s="804" t="s">
        <v>6811</v>
      </c>
      <c r="E295" s="804" t="s">
        <v>6552</v>
      </c>
      <c r="F295" s="62">
        <v>1200</v>
      </c>
      <c r="G295" s="55">
        <v>279012</v>
      </c>
      <c r="H295" s="804"/>
      <c r="I295" s="802" t="s">
        <v>14586</v>
      </c>
      <c r="L295" s="5"/>
    </row>
    <row r="296" spans="1:12" s="59" customFormat="1" ht="33.75" x14ac:dyDescent="0.2">
      <c r="A296" s="804" t="s">
        <v>6730</v>
      </c>
      <c r="B296" s="804" t="s">
        <v>5990</v>
      </c>
      <c r="C296" s="913" t="s">
        <v>8486</v>
      </c>
      <c r="D296" s="804" t="s">
        <v>6805</v>
      </c>
      <c r="E296" s="804" t="s">
        <v>6552</v>
      </c>
      <c r="F296" s="62">
        <v>1200</v>
      </c>
      <c r="G296" s="55">
        <v>279012</v>
      </c>
      <c r="H296" s="804"/>
      <c r="I296" s="802" t="s">
        <v>14586</v>
      </c>
      <c r="L296" s="5"/>
    </row>
    <row r="297" spans="1:12" s="59" customFormat="1" ht="33.75" x14ac:dyDescent="0.2">
      <c r="A297" s="804" t="s">
        <v>6731</v>
      </c>
      <c r="B297" s="804" t="s">
        <v>5990</v>
      </c>
      <c r="C297" s="913" t="s">
        <v>8487</v>
      </c>
      <c r="D297" s="804" t="s">
        <v>14455</v>
      </c>
      <c r="E297" s="804" t="s">
        <v>6552</v>
      </c>
      <c r="F297" s="62">
        <v>1200</v>
      </c>
      <c r="G297" s="55">
        <v>273468</v>
      </c>
      <c r="H297" s="804"/>
      <c r="I297" s="802" t="s">
        <v>14586</v>
      </c>
      <c r="L297" s="5"/>
    </row>
    <row r="298" spans="1:12" s="59" customFormat="1" ht="33.75" x14ac:dyDescent="0.2">
      <c r="A298" s="804" t="s">
        <v>6732</v>
      </c>
      <c r="B298" s="804" t="s">
        <v>5990</v>
      </c>
      <c r="C298" s="913" t="s">
        <v>8488</v>
      </c>
      <c r="D298" s="804" t="s">
        <v>6812</v>
      </c>
      <c r="E298" s="804" t="s">
        <v>6552</v>
      </c>
      <c r="F298" s="62">
        <v>1200</v>
      </c>
      <c r="G298" s="55">
        <v>279012</v>
      </c>
      <c r="H298" s="804"/>
      <c r="I298" s="802" t="s">
        <v>14586</v>
      </c>
      <c r="L298" s="5"/>
    </row>
    <row r="299" spans="1:12" s="59" customFormat="1" ht="33.75" x14ac:dyDescent="0.2">
      <c r="A299" s="804" t="s">
        <v>6733</v>
      </c>
      <c r="B299" s="804" t="s">
        <v>5990</v>
      </c>
      <c r="C299" s="913" t="s">
        <v>8489</v>
      </c>
      <c r="D299" s="804" t="s">
        <v>6813</v>
      </c>
      <c r="E299" s="804" t="s">
        <v>6552</v>
      </c>
      <c r="F299" s="62">
        <v>1200</v>
      </c>
      <c r="G299" s="55">
        <v>279012</v>
      </c>
      <c r="H299" s="804"/>
      <c r="I299" s="802" t="s">
        <v>14586</v>
      </c>
      <c r="L299" s="5"/>
    </row>
    <row r="300" spans="1:12" s="59" customFormat="1" ht="33.75" x14ac:dyDescent="0.2">
      <c r="A300" s="804" t="s">
        <v>6734</v>
      </c>
      <c r="B300" s="804" t="s">
        <v>5990</v>
      </c>
      <c r="C300" s="913" t="s">
        <v>8490</v>
      </c>
      <c r="D300" s="804" t="s">
        <v>6814</v>
      </c>
      <c r="E300" s="804" t="s">
        <v>6552</v>
      </c>
      <c r="F300" s="62">
        <v>1200</v>
      </c>
      <c r="G300" s="55">
        <v>279012</v>
      </c>
      <c r="H300" s="804"/>
      <c r="I300" s="802" t="s">
        <v>14586</v>
      </c>
      <c r="L300" s="5"/>
    </row>
    <row r="301" spans="1:12" s="59" customFormat="1" ht="33.75" x14ac:dyDescent="0.2">
      <c r="A301" s="804" t="s">
        <v>6735</v>
      </c>
      <c r="B301" s="804" t="s">
        <v>5990</v>
      </c>
      <c r="C301" s="913" t="s">
        <v>8491</v>
      </c>
      <c r="D301" s="804" t="s">
        <v>6816</v>
      </c>
      <c r="E301" s="804" t="s">
        <v>6552</v>
      </c>
      <c r="F301" s="62">
        <v>1200</v>
      </c>
      <c r="G301" s="55">
        <v>279012</v>
      </c>
      <c r="H301" s="804"/>
      <c r="I301" s="802" t="s">
        <v>14586</v>
      </c>
      <c r="L301" s="5"/>
    </row>
    <row r="302" spans="1:12" s="59" customFormat="1" ht="33.75" x14ac:dyDescent="0.2">
      <c r="A302" s="804" t="s">
        <v>6736</v>
      </c>
      <c r="B302" s="804" t="s">
        <v>5990</v>
      </c>
      <c r="C302" s="913" t="s">
        <v>8492</v>
      </c>
      <c r="D302" s="804" t="s">
        <v>6815</v>
      </c>
      <c r="E302" s="804" t="s">
        <v>6552</v>
      </c>
      <c r="F302" s="62">
        <v>1200</v>
      </c>
      <c r="G302" s="55">
        <v>279012</v>
      </c>
      <c r="H302" s="804"/>
      <c r="I302" s="802" t="s">
        <v>14586</v>
      </c>
      <c r="L302" s="5"/>
    </row>
    <row r="303" spans="1:12" s="59" customFormat="1" ht="33.75" x14ac:dyDescent="0.2">
      <c r="A303" s="804" t="s">
        <v>6737</v>
      </c>
      <c r="B303" s="804" t="s">
        <v>5990</v>
      </c>
      <c r="C303" s="913" t="s">
        <v>8493</v>
      </c>
      <c r="D303" s="804" t="s">
        <v>6817</v>
      </c>
      <c r="E303" s="804" t="s">
        <v>6552</v>
      </c>
      <c r="F303" s="62">
        <v>1200</v>
      </c>
      <c r="G303" s="55">
        <v>279012</v>
      </c>
      <c r="H303" s="804"/>
      <c r="I303" s="802" t="s">
        <v>14586</v>
      </c>
      <c r="L303" s="5"/>
    </row>
    <row r="304" spans="1:12" s="59" customFormat="1" ht="33.75" x14ac:dyDescent="0.2">
      <c r="A304" s="804" t="s">
        <v>6738</v>
      </c>
      <c r="B304" s="804" t="s">
        <v>5990</v>
      </c>
      <c r="C304" s="913" t="s">
        <v>8494</v>
      </c>
      <c r="D304" s="804" t="s">
        <v>6818</v>
      </c>
      <c r="E304" s="804" t="s">
        <v>6552</v>
      </c>
      <c r="F304" s="62">
        <v>1200</v>
      </c>
      <c r="G304" s="55">
        <v>279012</v>
      </c>
      <c r="H304" s="804"/>
      <c r="I304" s="802" t="s">
        <v>14586</v>
      </c>
      <c r="L304" s="5"/>
    </row>
    <row r="305" spans="1:12" s="59" customFormat="1" ht="33.75" x14ac:dyDescent="0.2">
      <c r="A305" s="804" t="s">
        <v>6739</v>
      </c>
      <c r="B305" s="804" t="s">
        <v>5990</v>
      </c>
      <c r="C305" s="913" t="s">
        <v>8495</v>
      </c>
      <c r="D305" s="804" t="s">
        <v>6819</v>
      </c>
      <c r="E305" s="804" t="s">
        <v>6552</v>
      </c>
      <c r="F305" s="62">
        <v>1200</v>
      </c>
      <c r="G305" s="55">
        <v>279012</v>
      </c>
      <c r="H305" s="804"/>
      <c r="I305" s="802" t="s">
        <v>14586</v>
      </c>
      <c r="L305" s="5"/>
    </row>
    <row r="306" spans="1:12" s="59" customFormat="1" ht="33.75" x14ac:dyDescent="0.2">
      <c r="A306" s="804" t="s">
        <v>6740</v>
      </c>
      <c r="B306" s="804" t="s">
        <v>5990</v>
      </c>
      <c r="C306" s="913" t="s">
        <v>8496</v>
      </c>
      <c r="D306" s="804" t="s">
        <v>6820</v>
      </c>
      <c r="E306" s="804" t="s">
        <v>6552</v>
      </c>
      <c r="F306" s="62">
        <v>1200</v>
      </c>
      <c r="G306" s="55">
        <v>279012</v>
      </c>
      <c r="H306" s="804"/>
      <c r="I306" s="802" t="s">
        <v>14586</v>
      </c>
      <c r="L306" s="5"/>
    </row>
    <row r="307" spans="1:12" s="59" customFormat="1" ht="33.75" x14ac:dyDescent="0.2">
      <c r="A307" s="804" t="s">
        <v>6741</v>
      </c>
      <c r="B307" s="804" t="s">
        <v>5990</v>
      </c>
      <c r="C307" s="913" t="s">
        <v>8497</v>
      </c>
      <c r="D307" s="804" t="s">
        <v>6821</v>
      </c>
      <c r="E307" s="804" t="s">
        <v>6552</v>
      </c>
      <c r="F307" s="62">
        <v>1200</v>
      </c>
      <c r="G307" s="55">
        <v>279012</v>
      </c>
      <c r="H307" s="804"/>
      <c r="I307" s="802" t="s">
        <v>14586</v>
      </c>
      <c r="L307" s="5"/>
    </row>
    <row r="308" spans="1:12" s="59" customFormat="1" ht="33.75" x14ac:dyDescent="0.2">
      <c r="A308" s="804" t="s">
        <v>6742</v>
      </c>
      <c r="B308" s="804" t="s">
        <v>5990</v>
      </c>
      <c r="C308" s="913" t="s">
        <v>8498</v>
      </c>
      <c r="D308" s="804" t="s">
        <v>6822</v>
      </c>
      <c r="E308" s="804" t="s">
        <v>6552</v>
      </c>
      <c r="F308" s="62">
        <v>1200</v>
      </c>
      <c r="G308" s="55">
        <v>279012</v>
      </c>
      <c r="H308" s="804"/>
      <c r="I308" s="802" t="s">
        <v>14586</v>
      </c>
      <c r="L308" s="5"/>
    </row>
    <row r="309" spans="1:12" s="59" customFormat="1" ht="33.75" x14ac:dyDescent="0.2">
      <c r="A309" s="804" t="s">
        <v>6865</v>
      </c>
      <c r="B309" s="804" t="s">
        <v>5990</v>
      </c>
      <c r="C309" s="913" t="s">
        <v>8499</v>
      </c>
      <c r="D309" s="804" t="s">
        <v>6744</v>
      </c>
      <c r="E309" s="804" t="s">
        <v>6552</v>
      </c>
      <c r="F309" s="62">
        <v>1200</v>
      </c>
      <c r="G309" s="55">
        <v>279012</v>
      </c>
      <c r="H309" s="804"/>
      <c r="I309" s="802" t="s">
        <v>14586</v>
      </c>
      <c r="L309" s="5"/>
    </row>
    <row r="310" spans="1:12" s="59" customFormat="1" ht="33.75" x14ac:dyDescent="0.2">
      <c r="A310" s="804" t="s">
        <v>6866</v>
      </c>
      <c r="B310" s="804" t="s">
        <v>5990</v>
      </c>
      <c r="C310" s="913" t="s">
        <v>8500</v>
      </c>
      <c r="D310" s="804" t="s">
        <v>6745</v>
      </c>
      <c r="E310" s="804" t="s">
        <v>6552</v>
      </c>
      <c r="F310" s="62">
        <v>1200</v>
      </c>
      <c r="G310" s="55">
        <v>279012</v>
      </c>
      <c r="H310" s="804"/>
      <c r="I310" s="802" t="s">
        <v>14586</v>
      </c>
      <c r="L310" s="5"/>
    </row>
    <row r="311" spans="1:12" s="59" customFormat="1" ht="33.75" x14ac:dyDescent="0.2">
      <c r="A311" s="804" t="s">
        <v>6867</v>
      </c>
      <c r="B311" s="804" t="s">
        <v>5990</v>
      </c>
      <c r="C311" s="913" t="s">
        <v>8501</v>
      </c>
      <c r="D311" s="804" t="s">
        <v>6746</v>
      </c>
      <c r="E311" s="804" t="s">
        <v>6552</v>
      </c>
      <c r="F311" s="62">
        <v>1200</v>
      </c>
      <c r="G311" s="55">
        <v>279012</v>
      </c>
      <c r="H311" s="804"/>
      <c r="I311" s="802" t="s">
        <v>14586</v>
      </c>
      <c r="L311" s="5"/>
    </row>
    <row r="312" spans="1:12" s="59" customFormat="1" ht="33.75" x14ac:dyDescent="0.2">
      <c r="A312" s="804" t="s">
        <v>6868</v>
      </c>
      <c r="B312" s="804" t="s">
        <v>5990</v>
      </c>
      <c r="C312" s="913" t="s">
        <v>8502</v>
      </c>
      <c r="D312" s="804" t="s">
        <v>6747</v>
      </c>
      <c r="E312" s="804" t="s">
        <v>6552</v>
      </c>
      <c r="F312" s="62">
        <v>1200</v>
      </c>
      <c r="G312" s="55">
        <v>279012</v>
      </c>
      <c r="H312" s="804"/>
      <c r="I312" s="802" t="s">
        <v>14586</v>
      </c>
      <c r="L312" s="5"/>
    </row>
    <row r="313" spans="1:12" s="59" customFormat="1" ht="33.75" x14ac:dyDescent="0.2">
      <c r="A313" s="804" t="s">
        <v>6869</v>
      </c>
      <c r="B313" s="804" t="s">
        <v>5990</v>
      </c>
      <c r="C313" s="913" t="s">
        <v>8503</v>
      </c>
      <c r="D313" s="804" t="s">
        <v>6748</v>
      </c>
      <c r="E313" s="804" t="s">
        <v>6552</v>
      </c>
      <c r="F313" s="62">
        <v>1200</v>
      </c>
      <c r="G313" s="55">
        <v>279012</v>
      </c>
      <c r="H313" s="804"/>
      <c r="I313" s="802" t="s">
        <v>14586</v>
      </c>
      <c r="L313" s="5"/>
    </row>
    <row r="314" spans="1:12" s="59" customFormat="1" ht="33.75" x14ac:dyDescent="0.2">
      <c r="A314" s="804" t="s">
        <v>6870</v>
      </c>
      <c r="B314" s="804" t="s">
        <v>5990</v>
      </c>
      <c r="C314" s="913" t="s">
        <v>8504</v>
      </c>
      <c r="D314" s="804" t="s">
        <v>6749</v>
      </c>
      <c r="E314" s="804" t="s">
        <v>6552</v>
      </c>
      <c r="F314" s="62">
        <v>1200</v>
      </c>
      <c r="G314" s="55">
        <v>279012</v>
      </c>
      <c r="H314" s="804"/>
      <c r="I314" s="802" t="s">
        <v>14586</v>
      </c>
      <c r="L314" s="5"/>
    </row>
    <row r="315" spans="1:12" s="59" customFormat="1" ht="33.75" x14ac:dyDescent="0.2">
      <c r="A315" s="804" t="s">
        <v>6871</v>
      </c>
      <c r="B315" s="804" t="s">
        <v>5990</v>
      </c>
      <c r="C315" s="913" t="s">
        <v>14456</v>
      </c>
      <c r="D315" s="804" t="s">
        <v>6750</v>
      </c>
      <c r="E315" s="804" t="s">
        <v>6552</v>
      </c>
      <c r="F315" s="62">
        <v>1200</v>
      </c>
      <c r="G315" s="55">
        <v>279012</v>
      </c>
      <c r="H315" s="804"/>
      <c r="I315" s="802" t="s">
        <v>14586</v>
      </c>
      <c r="L315" s="5"/>
    </row>
    <row r="316" spans="1:12" s="59" customFormat="1" ht="33.75" x14ac:dyDescent="0.2">
      <c r="A316" s="804" t="s">
        <v>6872</v>
      </c>
      <c r="B316" s="804" t="s">
        <v>5990</v>
      </c>
      <c r="C316" s="913" t="s">
        <v>8505</v>
      </c>
      <c r="D316" s="804" t="s">
        <v>6751</v>
      </c>
      <c r="E316" s="804" t="s">
        <v>6552</v>
      </c>
      <c r="F316" s="62">
        <v>1200</v>
      </c>
      <c r="G316" s="55">
        <v>279012</v>
      </c>
      <c r="H316" s="804"/>
      <c r="I316" s="802" t="s">
        <v>14586</v>
      </c>
      <c r="L316" s="5"/>
    </row>
    <row r="317" spans="1:12" s="59" customFormat="1" ht="33.75" x14ac:dyDescent="0.2">
      <c r="A317" s="804" t="s">
        <v>6873</v>
      </c>
      <c r="B317" s="804" t="s">
        <v>5990</v>
      </c>
      <c r="C317" s="913" t="s">
        <v>8506</v>
      </c>
      <c r="D317" s="804" t="s">
        <v>6752</v>
      </c>
      <c r="E317" s="804" t="s">
        <v>6552</v>
      </c>
      <c r="F317" s="62">
        <v>1200</v>
      </c>
      <c r="G317" s="55">
        <v>273468</v>
      </c>
      <c r="H317" s="804"/>
      <c r="I317" s="802" t="s">
        <v>14586</v>
      </c>
      <c r="L317" s="5"/>
    </row>
    <row r="318" spans="1:12" s="59" customFormat="1" ht="33.75" x14ac:dyDescent="0.2">
      <c r="A318" s="804" t="s">
        <v>6874</v>
      </c>
      <c r="B318" s="804" t="s">
        <v>5990</v>
      </c>
      <c r="C318" s="913" t="s">
        <v>8507</v>
      </c>
      <c r="D318" s="804" t="s">
        <v>6754</v>
      </c>
      <c r="E318" s="804" t="s">
        <v>6552</v>
      </c>
      <c r="F318" s="62">
        <v>1200</v>
      </c>
      <c r="G318" s="55">
        <v>273468</v>
      </c>
      <c r="H318" s="804"/>
      <c r="I318" s="802" t="s">
        <v>14586</v>
      </c>
      <c r="L318" s="5"/>
    </row>
    <row r="319" spans="1:12" s="59" customFormat="1" ht="33.75" x14ac:dyDescent="0.2">
      <c r="A319" s="804" t="s">
        <v>6875</v>
      </c>
      <c r="B319" s="804" t="s">
        <v>5990</v>
      </c>
      <c r="C319" s="913" t="s">
        <v>8508</v>
      </c>
      <c r="D319" s="804" t="s">
        <v>6755</v>
      </c>
      <c r="E319" s="804" t="s">
        <v>6552</v>
      </c>
      <c r="F319" s="62">
        <v>1200</v>
      </c>
      <c r="G319" s="55">
        <v>273468</v>
      </c>
      <c r="H319" s="804"/>
      <c r="I319" s="802" t="s">
        <v>14586</v>
      </c>
      <c r="L319" s="5"/>
    </row>
    <row r="320" spans="1:12" s="59" customFormat="1" ht="33.75" x14ac:dyDescent="0.2">
      <c r="A320" s="804" t="s">
        <v>6876</v>
      </c>
      <c r="B320" s="804" t="s">
        <v>5990</v>
      </c>
      <c r="C320" s="913" t="s">
        <v>8511</v>
      </c>
      <c r="D320" s="804" t="s">
        <v>6756</v>
      </c>
      <c r="E320" s="804" t="s">
        <v>6552</v>
      </c>
      <c r="F320" s="62">
        <v>1200</v>
      </c>
      <c r="G320" s="55">
        <v>273468</v>
      </c>
      <c r="H320" s="804"/>
      <c r="I320" s="802" t="s">
        <v>14586</v>
      </c>
      <c r="L320" s="5"/>
    </row>
    <row r="321" spans="1:12" s="59" customFormat="1" ht="33.75" x14ac:dyDescent="0.2">
      <c r="A321" s="804" t="s">
        <v>6877</v>
      </c>
      <c r="B321" s="804" t="s">
        <v>5990</v>
      </c>
      <c r="C321" s="913" t="s">
        <v>8509</v>
      </c>
      <c r="D321" s="804" t="s">
        <v>6757</v>
      </c>
      <c r="E321" s="804" t="s">
        <v>6552</v>
      </c>
      <c r="F321" s="62">
        <v>1200</v>
      </c>
      <c r="G321" s="55">
        <v>273468</v>
      </c>
      <c r="H321" s="804"/>
      <c r="I321" s="802" t="s">
        <v>14586</v>
      </c>
      <c r="L321" s="5"/>
    </row>
    <row r="322" spans="1:12" s="59" customFormat="1" ht="33.75" x14ac:dyDescent="0.2">
      <c r="A322" s="804" t="s">
        <v>6878</v>
      </c>
      <c r="B322" s="804" t="s">
        <v>5990</v>
      </c>
      <c r="C322" s="913" t="s">
        <v>8510</v>
      </c>
      <c r="D322" s="804" t="s">
        <v>6758</v>
      </c>
      <c r="E322" s="804" t="s">
        <v>6552</v>
      </c>
      <c r="F322" s="62">
        <v>1200</v>
      </c>
      <c r="G322" s="55">
        <v>273468</v>
      </c>
      <c r="H322" s="804"/>
      <c r="I322" s="802" t="s">
        <v>14586</v>
      </c>
      <c r="L322" s="5"/>
    </row>
    <row r="323" spans="1:12" s="59" customFormat="1" ht="33.75" x14ac:dyDescent="0.2">
      <c r="A323" s="804" t="s">
        <v>6879</v>
      </c>
      <c r="B323" s="804" t="s">
        <v>5990</v>
      </c>
      <c r="C323" s="913" t="s">
        <v>8512</v>
      </c>
      <c r="D323" s="804" t="s">
        <v>6759</v>
      </c>
      <c r="E323" s="804" t="s">
        <v>6552</v>
      </c>
      <c r="F323" s="62">
        <v>1200</v>
      </c>
      <c r="G323" s="55">
        <v>273468</v>
      </c>
      <c r="H323" s="804"/>
      <c r="I323" s="802" t="s">
        <v>14586</v>
      </c>
      <c r="L323" s="5"/>
    </row>
    <row r="324" spans="1:12" s="59" customFormat="1" ht="33.75" x14ac:dyDescent="0.2">
      <c r="A324" s="804" t="s">
        <v>6880</v>
      </c>
      <c r="B324" s="804" t="s">
        <v>5990</v>
      </c>
      <c r="C324" s="913" t="s">
        <v>8513</v>
      </c>
      <c r="D324" s="804" t="s">
        <v>6760</v>
      </c>
      <c r="E324" s="804" t="s">
        <v>6552</v>
      </c>
      <c r="F324" s="62">
        <v>1200</v>
      </c>
      <c r="G324" s="55">
        <v>273468</v>
      </c>
      <c r="H324" s="804"/>
      <c r="I324" s="802" t="s">
        <v>14586</v>
      </c>
      <c r="L324" s="5"/>
    </row>
    <row r="325" spans="1:12" s="59" customFormat="1" ht="33.75" x14ac:dyDescent="0.2">
      <c r="A325" s="804" t="s">
        <v>6881</v>
      </c>
      <c r="B325" s="804" t="s">
        <v>5990</v>
      </c>
      <c r="C325" s="913" t="s">
        <v>8514</v>
      </c>
      <c r="D325" s="804" t="s">
        <v>6761</v>
      </c>
      <c r="E325" s="804" t="s">
        <v>6552</v>
      </c>
      <c r="F325" s="62">
        <v>1200</v>
      </c>
      <c r="G325" s="55">
        <v>273468</v>
      </c>
      <c r="H325" s="804"/>
      <c r="I325" s="802" t="s">
        <v>14586</v>
      </c>
      <c r="L325" s="5"/>
    </row>
    <row r="326" spans="1:12" s="59" customFormat="1" ht="33.75" x14ac:dyDescent="0.2">
      <c r="A326" s="804" t="s">
        <v>6882</v>
      </c>
      <c r="B326" s="804" t="s">
        <v>5990</v>
      </c>
      <c r="C326" s="913" t="s">
        <v>8515</v>
      </c>
      <c r="D326" s="804" t="s">
        <v>6762</v>
      </c>
      <c r="E326" s="804" t="s">
        <v>6552</v>
      </c>
      <c r="F326" s="62">
        <v>1200</v>
      </c>
      <c r="G326" s="55">
        <v>273468</v>
      </c>
      <c r="H326" s="804"/>
      <c r="I326" s="802" t="s">
        <v>14586</v>
      </c>
      <c r="L326" s="5"/>
    </row>
    <row r="327" spans="1:12" s="59" customFormat="1" ht="33.75" x14ac:dyDescent="0.2">
      <c r="A327" s="804" t="s">
        <v>6883</v>
      </c>
      <c r="B327" s="804" t="s">
        <v>5990</v>
      </c>
      <c r="C327" s="913" t="s">
        <v>8516</v>
      </c>
      <c r="D327" s="804" t="s">
        <v>6763</v>
      </c>
      <c r="E327" s="804" t="s">
        <v>6552</v>
      </c>
      <c r="F327" s="62">
        <v>1200</v>
      </c>
      <c r="G327" s="55">
        <v>273468</v>
      </c>
      <c r="H327" s="804"/>
      <c r="I327" s="802" t="s">
        <v>14586</v>
      </c>
      <c r="L327" s="5"/>
    </row>
    <row r="328" spans="1:12" s="59" customFormat="1" ht="33.75" x14ac:dyDescent="0.2">
      <c r="A328" s="804" t="s">
        <v>6884</v>
      </c>
      <c r="B328" s="804" t="s">
        <v>5990</v>
      </c>
      <c r="C328" s="913" t="s">
        <v>8517</v>
      </c>
      <c r="D328" s="804" t="s">
        <v>6764</v>
      </c>
      <c r="E328" s="804" t="s">
        <v>6552</v>
      </c>
      <c r="F328" s="62">
        <v>1200</v>
      </c>
      <c r="G328" s="55">
        <v>273468</v>
      </c>
      <c r="H328" s="804"/>
      <c r="I328" s="802" t="s">
        <v>14586</v>
      </c>
      <c r="L328" s="5"/>
    </row>
    <row r="329" spans="1:12" s="59" customFormat="1" ht="33.75" x14ac:dyDescent="0.2">
      <c r="A329" s="804" t="s">
        <v>6885</v>
      </c>
      <c r="B329" s="804" t="s">
        <v>5990</v>
      </c>
      <c r="C329" s="913" t="s">
        <v>8518</v>
      </c>
      <c r="D329" s="804" t="s">
        <v>6765</v>
      </c>
      <c r="E329" s="804" t="s">
        <v>6552</v>
      </c>
      <c r="F329" s="62">
        <v>1200</v>
      </c>
      <c r="G329" s="55">
        <v>273468</v>
      </c>
      <c r="H329" s="804"/>
      <c r="I329" s="802" t="s">
        <v>14586</v>
      </c>
      <c r="L329" s="5"/>
    </row>
    <row r="330" spans="1:12" s="59" customFormat="1" ht="33.75" x14ac:dyDescent="0.2">
      <c r="A330" s="804" t="s">
        <v>6886</v>
      </c>
      <c r="B330" s="804" t="s">
        <v>5990</v>
      </c>
      <c r="C330" s="913" t="s">
        <v>8519</v>
      </c>
      <c r="D330" s="804" t="s">
        <v>6753</v>
      </c>
      <c r="E330" s="804" t="s">
        <v>6552</v>
      </c>
      <c r="F330" s="62">
        <v>1200</v>
      </c>
      <c r="G330" s="55">
        <v>273468</v>
      </c>
      <c r="H330" s="804"/>
      <c r="I330" s="802" t="s">
        <v>14586</v>
      </c>
      <c r="L330" s="5"/>
    </row>
    <row r="331" spans="1:12" s="59" customFormat="1" ht="33.75" x14ac:dyDescent="0.2">
      <c r="A331" s="804" t="s">
        <v>6887</v>
      </c>
      <c r="B331" s="804" t="s">
        <v>5990</v>
      </c>
      <c r="C331" s="913" t="s">
        <v>8520</v>
      </c>
      <c r="D331" s="804" t="s">
        <v>6766</v>
      </c>
      <c r="E331" s="804" t="s">
        <v>6552</v>
      </c>
      <c r="F331" s="62">
        <v>1200</v>
      </c>
      <c r="G331" s="55">
        <v>279012</v>
      </c>
      <c r="H331" s="804"/>
      <c r="I331" s="802" t="s">
        <v>14586</v>
      </c>
      <c r="L331" s="5"/>
    </row>
    <row r="332" spans="1:12" s="59" customFormat="1" ht="33.75" x14ac:dyDescent="0.2">
      <c r="A332" s="804" t="s">
        <v>6888</v>
      </c>
      <c r="B332" s="804" t="s">
        <v>5990</v>
      </c>
      <c r="C332" s="913" t="s">
        <v>8521</v>
      </c>
      <c r="D332" s="804" t="s">
        <v>6767</v>
      </c>
      <c r="E332" s="804" t="s">
        <v>6552</v>
      </c>
      <c r="F332" s="62">
        <v>1200</v>
      </c>
      <c r="G332" s="55">
        <v>279012</v>
      </c>
      <c r="H332" s="804"/>
      <c r="I332" s="802" t="s">
        <v>14586</v>
      </c>
      <c r="L332" s="5"/>
    </row>
    <row r="333" spans="1:12" s="59" customFormat="1" ht="33.75" x14ac:dyDescent="0.2">
      <c r="A333" s="804" t="s">
        <v>6889</v>
      </c>
      <c r="B333" s="804" t="s">
        <v>5990</v>
      </c>
      <c r="C333" s="913" t="s">
        <v>8522</v>
      </c>
      <c r="D333" s="804" t="s">
        <v>6854</v>
      </c>
      <c r="E333" s="804" t="s">
        <v>6552</v>
      </c>
      <c r="F333" s="62">
        <v>1200</v>
      </c>
      <c r="G333" s="55">
        <v>273468</v>
      </c>
      <c r="H333" s="804"/>
      <c r="I333" s="802" t="s">
        <v>14586</v>
      </c>
      <c r="L333" s="5"/>
    </row>
    <row r="334" spans="1:12" s="59" customFormat="1" ht="33.75" x14ac:dyDescent="0.2">
      <c r="A334" s="804" t="s">
        <v>6890</v>
      </c>
      <c r="B334" s="804" t="s">
        <v>5990</v>
      </c>
      <c r="C334" s="913" t="s">
        <v>8523</v>
      </c>
      <c r="D334" s="804" t="s">
        <v>6855</v>
      </c>
      <c r="E334" s="804" t="s">
        <v>6552</v>
      </c>
      <c r="F334" s="62">
        <v>1200</v>
      </c>
      <c r="G334" s="55">
        <v>273468</v>
      </c>
      <c r="H334" s="804"/>
      <c r="I334" s="802" t="s">
        <v>14586</v>
      </c>
      <c r="L334" s="5"/>
    </row>
    <row r="335" spans="1:12" s="59" customFormat="1" ht="33.75" x14ac:dyDescent="0.2">
      <c r="A335" s="804" t="s">
        <v>6891</v>
      </c>
      <c r="B335" s="804" t="s">
        <v>5990</v>
      </c>
      <c r="C335" s="913" t="s">
        <v>8524</v>
      </c>
      <c r="D335" s="804" t="s">
        <v>6856</v>
      </c>
      <c r="E335" s="804" t="s">
        <v>6552</v>
      </c>
      <c r="F335" s="62">
        <v>1200</v>
      </c>
      <c r="G335" s="55">
        <v>273468</v>
      </c>
      <c r="H335" s="804"/>
      <c r="I335" s="802" t="s">
        <v>14586</v>
      </c>
      <c r="L335" s="5"/>
    </row>
    <row r="336" spans="1:12" s="59" customFormat="1" ht="33.75" x14ac:dyDescent="0.2">
      <c r="A336" s="804" t="s">
        <v>6892</v>
      </c>
      <c r="B336" s="804" t="s">
        <v>5990</v>
      </c>
      <c r="C336" s="913" t="s">
        <v>8525</v>
      </c>
      <c r="D336" s="804" t="s">
        <v>6857</v>
      </c>
      <c r="E336" s="804" t="s">
        <v>6552</v>
      </c>
      <c r="F336" s="62">
        <v>1200</v>
      </c>
      <c r="G336" s="55">
        <v>273468</v>
      </c>
      <c r="H336" s="804"/>
      <c r="I336" s="802" t="s">
        <v>14586</v>
      </c>
      <c r="L336" s="5"/>
    </row>
    <row r="337" spans="1:12" s="59" customFormat="1" ht="33.75" x14ac:dyDescent="0.2">
      <c r="A337" s="804" t="s">
        <v>6893</v>
      </c>
      <c r="B337" s="804" t="s">
        <v>5990</v>
      </c>
      <c r="C337" s="913" t="s">
        <v>8526</v>
      </c>
      <c r="D337" s="804" t="s">
        <v>6858</v>
      </c>
      <c r="E337" s="804" t="s">
        <v>6552</v>
      </c>
      <c r="F337" s="62">
        <v>1200</v>
      </c>
      <c r="G337" s="55">
        <v>273468</v>
      </c>
      <c r="H337" s="804"/>
      <c r="I337" s="802" t="s">
        <v>14586</v>
      </c>
      <c r="L337" s="5"/>
    </row>
    <row r="338" spans="1:12" s="59" customFormat="1" ht="33.75" x14ac:dyDescent="0.2">
      <c r="A338" s="804" t="s">
        <v>6894</v>
      </c>
      <c r="B338" s="804" t="s">
        <v>5990</v>
      </c>
      <c r="C338" s="913" t="s">
        <v>8527</v>
      </c>
      <c r="D338" s="804" t="s">
        <v>6859</v>
      </c>
      <c r="E338" s="804" t="s">
        <v>6552</v>
      </c>
      <c r="F338" s="62">
        <v>1200</v>
      </c>
      <c r="G338" s="55">
        <v>273468</v>
      </c>
      <c r="H338" s="804"/>
      <c r="I338" s="802" t="s">
        <v>14586</v>
      </c>
      <c r="L338" s="5"/>
    </row>
    <row r="339" spans="1:12" s="59" customFormat="1" ht="33.75" x14ac:dyDescent="0.2">
      <c r="A339" s="804" t="s">
        <v>6895</v>
      </c>
      <c r="B339" s="804" t="s">
        <v>5990</v>
      </c>
      <c r="C339" s="913" t="s">
        <v>8528</v>
      </c>
      <c r="D339" s="804" t="s">
        <v>6860</v>
      </c>
      <c r="E339" s="804" t="s">
        <v>6552</v>
      </c>
      <c r="F339" s="62">
        <v>1200</v>
      </c>
      <c r="G339" s="55">
        <v>273468</v>
      </c>
      <c r="H339" s="804"/>
      <c r="I339" s="802" t="s">
        <v>14586</v>
      </c>
      <c r="L339" s="5"/>
    </row>
    <row r="340" spans="1:12" s="59" customFormat="1" ht="33.75" x14ac:dyDescent="0.2">
      <c r="A340" s="804" t="s">
        <v>6896</v>
      </c>
      <c r="B340" s="804" t="s">
        <v>5990</v>
      </c>
      <c r="C340" s="913" t="s">
        <v>8529</v>
      </c>
      <c r="D340" s="804" t="s">
        <v>6861</v>
      </c>
      <c r="E340" s="804" t="s">
        <v>6552</v>
      </c>
      <c r="F340" s="62">
        <v>1200</v>
      </c>
      <c r="G340" s="55">
        <v>273468</v>
      </c>
      <c r="H340" s="804"/>
      <c r="I340" s="802" t="s">
        <v>14586</v>
      </c>
      <c r="L340" s="5"/>
    </row>
    <row r="341" spans="1:12" s="59" customFormat="1" ht="33.75" x14ac:dyDescent="0.2">
      <c r="A341" s="804" t="s">
        <v>6897</v>
      </c>
      <c r="B341" s="804" t="s">
        <v>5990</v>
      </c>
      <c r="C341" s="913" t="s">
        <v>8530</v>
      </c>
      <c r="D341" s="804" t="s">
        <v>6862</v>
      </c>
      <c r="E341" s="804" t="s">
        <v>6552</v>
      </c>
      <c r="F341" s="62">
        <v>1200</v>
      </c>
      <c r="G341" s="55">
        <v>273468</v>
      </c>
      <c r="H341" s="804"/>
      <c r="I341" s="802" t="s">
        <v>14586</v>
      </c>
      <c r="L341" s="5"/>
    </row>
    <row r="342" spans="1:12" s="59" customFormat="1" ht="33.75" x14ac:dyDescent="0.2">
      <c r="A342" s="804" t="s">
        <v>6898</v>
      </c>
      <c r="B342" s="804" t="s">
        <v>5990</v>
      </c>
      <c r="C342" s="913" t="s">
        <v>8531</v>
      </c>
      <c r="D342" s="804" t="s">
        <v>6863</v>
      </c>
      <c r="E342" s="804" t="s">
        <v>6552</v>
      </c>
      <c r="F342" s="62">
        <v>1200</v>
      </c>
      <c r="G342" s="55">
        <v>273468</v>
      </c>
      <c r="H342" s="804"/>
      <c r="I342" s="802" t="s">
        <v>14586</v>
      </c>
      <c r="L342" s="5"/>
    </row>
    <row r="343" spans="1:12" s="59" customFormat="1" ht="33.75" x14ac:dyDescent="0.2">
      <c r="A343" s="804" t="s">
        <v>6899</v>
      </c>
      <c r="B343" s="804" t="s">
        <v>5990</v>
      </c>
      <c r="C343" s="913" t="s">
        <v>8532</v>
      </c>
      <c r="D343" s="804" t="s">
        <v>6864</v>
      </c>
      <c r="E343" s="804" t="s">
        <v>6552</v>
      </c>
      <c r="F343" s="62">
        <v>1200</v>
      </c>
      <c r="G343" s="55">
        <v>273468</v>
      </c>
      <c r="H343" s="804"/>
      <c r="I343" s="802" t="s">
        <v>14586</v>
      </c>
      <c r="L343" s="5"/>
    </row>
    <row r="344" spans="1:12" s="59" customFormat="1" ht="33.75" x14ac:dyDescent="0.2">
      <c r="A344" s="804" t="s">
        <v>6773</v>
      </c>
      <c r="B344" s="804" t="s">
        <v>5990</v>
      </c>
      <c r="C344" s="913" t="s">
        <v>8533</v>
      </c>
      <c r="D344" s="804" t="s">
        <v>6900</v>
      </c>
      <c r="E344" s="804" t="s">
        <v>6552</v>
      </c>
      <c r="F344" s="62">
        <v>1200</v>
      </c>
      <c r="G344" s="55">
        <v>273468</v>
      </c>
      <c r="H344" s="804"/>
      <c r="I344" s="802" t="s">
        <v>14586</v>
      </c>
      <c r="L344" s="5"/>
    </row>
    <row r="345" spans="1:12" s="59" customFormat="1" ht="33.75" x14ac:dyDescent="0.2">
      <c r="A345" s="804" t="s">
        <v>6774</v>
      </c>
      <c r="B345" s="804" t="s">
        <v>5990</v>
      </c>
      <c r="C345" s="913" t="s">
        <v>8534</v>
      </c>
      <c r="D345" s="804" t="s">
        <v>6901</v>
      </c>
      <c r="E345" s="804" t="s">
        <v>6552</v>
      </c>
      <c r="F345" s="62">
        <v>1200</v>
      </c>
      <c r="G345" s="55">
        <v>273468</v>
      </c>
      <c r="H345" s="804"/>
      <c r="I345" s="802" t="s">
        <v>14586</v>
      </c>
      <c r="L345" s="5"/>
    </row>
    <row r="346" spans="1:12" s="59" customFormat="1" ht="33.75" x14ac:dyDescent="0.2">
      <c r="A346" s="804" t="s">
        <v>6775</v>
      </c>
      <c r="B346" s="804" t="s">
        <v>5990</v>
      </c>
      <c r="C346" s="913" t="s">
        <v>8535</v>
      </c>
      <c r="D346" s="804" t="s">
        <v>6902</v>
      </c>
      <c r="E346" s="804" t="s">
        <v>6552</v>
      </c>
      <c r="F346" s="62">
        <v>1200</v>
      </c>
      <c r="G346" s="55">
        <v>273468</v>
      </c>
      <c r="H346" s="804"/>
      <c r="I346" s="802" t="s">
        <v>14586</v>
      </c>
      <c r="L346" s="5"/>
    </row>
    <row r="347" spans="1:12" s="59" customFormat="1" ht="33.75" x14ac:dyDescent="0.2">
      <c r="A347" s="804" t="s">
        <v>6776</v>
      </c>
      <c r="B347" s="804" t="s">
        <v>5990</v>
      </c>
      <c r="C347" s="913" t="s">
        <v>8536</v>
      </c>
      <c r="D347" s="804" t="s">
        <v>6903</v>
      </c>
      <c r="E347" s="804" t="s">
        <v>6552</v>
      </c>
      <c r="F347" s="62">
        <v>1200</v>
      </c>
      <c r="G347" s="55">
        <v>279012</v>
      </c>
      <c r="H347" s="804"/>
      <c r="I347" s="802" t="s">
        <v>14586</v>
      </c>
      <c r="L347" s="5"/>
    </row>
    <row r="348" spans="1:12" s="59" customFormat="1" ht="33.75" x14ac:dyDescent="0.2">
      <c r="A348" s="804" t="s">
        <v>6777</v>
      </c>
      <c r="B348" s="804" t="s">
        <v>5990</v>
      </c>
      <c r="C348" s="913" t="s">
        <v>8537</v>
      </c>
      <c r="D348" s="804" t="s">
        <v>6904</v>
      </c>
      <c r="E348" s="804" t="s">
        <v>6552</v>
      </c>
      <c r="F348" s="62">
        <v>1200</v>
      </c>
      <c r="G348" s="55">
        <v>279012</v>
      </c>
      <c r="H348" s="804"/>
      <c r="I348" s="802" t="s">
        <v>14586</v>
      </c>
      <c r="L348" s="5"/>
    </row>
    <row r="349" spans="1:12" s="59" customFormat="1" ht="33.75" x14ac:dyDescent="0.2">
      <c r="A349" s="804" t="s">
        <v>6778</v>
      </c>
      <c r="B349" s="804" t="s">
        <v>5990</v>
      </c>
      <c r="C349" s="913" t="s">
        <v>8538</v>
      </c>
      <c r="D349" s="804" t="s">
        <v>6905</v>
      </c>
      <c r="E349" s="804" t="s">
        <v>6552</v>
      </c>
      <c r="F349" s="62">
        <v>1200</v>
      </c>
      <c r="G349" s="55">
        <v>273468</v>
      </c>
      <c r="H349" s="804"/>
      <c r="I349" s="802" t="s">
        <v>14586</v>
      </c>
      <c r="L349" s="5"/>
    </row>
    <row r="350" spans="1:12" s="59" customFormat="1" ht="33.75" x14ac:dyDescent="0.2">
      <c r="A350" s="804" t="s">
        <v>6779</v>
      </c>
      <c r="B350" s="804" t="s">
        <v>5990</v>
      </c>
      <c r="C350" s="913" t="s">
        <v>8539</v>
      </c>
      <c r="D350" s="804" t="s">
        <v>6906</v>
      </c>
      <c r="E350" s="804" t="s">
        <v>6552</v>
      </c>
      <c r="F350" s="62">
        <v>1200</v>
      </c>
      <c r="G350" s="55">
        <v>273468</v>
      </c>
      <c r="H350" s="804"/>
      <c r="I350" s="802" t="s">
        <v>14586</v>
      </c>
      <c r="L350" s="5"/>
    </row>
    <row r="351" spans="1:12" s="59" customFormat="1" ht="33.75" x14ac:dyDescent="0.2">
      <c r="A351" s="804" t="s">
        <v>6780</v>
      </c>
      <c r="B351" s="804" t="s">
        <v>5990</v>
      </c>
      <c r="C351" s="913" t="s">
        <v>8540</v>
      </c>
      <c r="D351" s="804" t="s">
        <v>6907</v>
      </c>
      <c r="E351" s="804" t="s">
        <v>6552</v>
      </c>
      <c r="F351" s="62">
        <v>1200</v>
      </c>
      <c r="G351" s="55">
        <v>275519.01</v>
      </c>
      <c r="H351" s="804"/>
      <c r="I351" s="802" t="s">
        <v>14586</v>
      </c>
      <c r="L351" s="5"/>
    </row>
    <row r="352" spans="1:12" s="59" customFormat="1" ht="33.75" x14ac:dyDescent="0.2">
      <c r="A352" s="804" t="s">
        <v>6781</v>
      </c>
      <c r="B352" s="804" t="s">
        <v>5990</v>
      </c>
      <c r="C352" s="913" t="s">
        <v>8541</v>
      </c>
      <c r="D352" s="804" t="s">
        <v>6908</v>
      </c>
      <c r="E352" s="804" t="s">
        <v>6552</v>
      </c>
      <c r="F352" s="62">
        <v>1200</v>
      </c>
      <c r="G352" s="55">
        <v>273468</v>
      </c>
      <c r="H352" s="804"/>
      <c r="I352" s="802" t="s">
        <v>14586</v>
      </c>
      <c r="L352" s="5"/>
    </row>
    <row r="353" spans="1:12" s="59" customFormat="1" ht="33.75" x14ac:dyDescent="0.2">
      <c r="A353" s="804" t="s">
        <v>6782</v>
      </c>
      <c r="B353" s="804" t="s">
        <v>5990</v>
      </c>
      <c r="C353" s="913" t="s">
        <v>8542</v>
      </c>
      <c r="D353" s="804" t="s">
        <v>6909</v>
      </c>
      <c r="E353" s="804" t="s">
        <v>6552</v>
      </c>
      <c r="F353" s="62">
        <v>1200</v>
      </c>
      <c r="G353" s="55">
        <v>279012</v>
      </c>
      <c r="H353" s="804"/>
      <c r="I353" s="802" t="s">
        <v>14586</v>
      </c>
      <c r="L353" s="5"/>
    </row>
    <row r="354" spans="1:12" s="59" customFormat="1" ht="33.75" x14ac:dyDescent="0.2">
      <c r="A354" s="804" t="s">
        <v>6783</v>
      </c>
      <c r="B354" s="804" t="s">
        <v>5990</v>
      </c>
      <c r="C354" s="913" t="s">
        <v>8543</v>
      </c>
      <c r="D354" s="804" t="s">
        <v>6910</v>
      </c>
      <c r="E354" s="804" t="s">
        <v>6552</v>
      </c>
      <c r="F354" s="62">
        <v>1200</v>
      </c>
      <c r="G354" s="55">
        <v>279012</v>
      </c>
      <c r="H354" s="804"/>
      <c r="I354" s="802" t="s">
        <v>14586</v>
      </c>
      <c r="L354" s="5"/>
    </row>
    <row r="355" spans="1:12" s="59" customFormat="1" ht="33.75" x14ac:dyDescent="0.2">
      <c r="A355" s="804" t="s">
        <v>6911</v>
      </c>
      <c r="B355" s="804" t="s">
        <v>5990</v>
      </c>
      <c r="C355" s="913" t="s">
        <v>8544</v>
      </c>
      <c r="D355" s="804" t="s">
        <v>6921</v>
      </c>
      <c r="E355" s="804" t="s">
        <v>6552</v>
      </c>
      <c r="F355" s="62">
        <v>1200</v>
      </c>
      <c r="G355" s="55">
        <v>279012</v>
      </c>
      <c r="H355" s="804"/>
      <c r="I355" s="802" t="s">
        <v>14586</v>
      </c>
      <c r="L355" s="5"/>
    </row>
    <row r="356" spans="1:12" s="59" customFormat="1" ht="33.75" x14ac:dyDescent="0.2">
      <c r="A356" s="804" t="s">
        <v>6912</v>
      </c>
      <c r="B356" s="804" t="s">
        <v>5990</v>
      </c>
      <c r="C356" s="913" t="s">
        <v>8545</v>
      </c>
      <c r="D356" s="804" t="s">
        <v>6922</v>
      </c>
      <c r="E356" s="804" t="s">
        <v>6552</v>
      </c>
      <c r="F356" s="62">
        <v>1200</v>
      </c>
      <c r="G356" s="55">
        <v>279012</v>
      </c>
      <c r="H356" s="804"/>
      <c r="I356" s="802" t="s">
        <v>14586</v>
      </c>
      <c r="L356" s="5"/>
    </row>
    <row r="357" spans="1:12" s="59" customFormat="1" ht="33.75" x14ac:dyDescent="0.2">
      <c r="A357" s="804" t="s">
        <v>6913</v>
      </c>
      <c r="B357" s="804" t="s">
        <v>5990</v>
      </c>
      <c r="C357" s="913" t="s">
        <v>8546</v>
      </c>
      <c r="D357" s="804" t="s">
        <v>6923</v>
      </c>
      <c r="E357" s="804" t="s">
        <v>6552</v>
      </c>
      <c r="F357" s="62">
        <v>1200</v>
      </c>
      <c r="G357" s="55">
        <v>279012</v>
      </c>
      <c r="H357" s="804"/>
      <c r="I357" s="802" t="s">
        <v>14586</v>
      </c>
      <c r="L357" s="5"/>
    </row>
    <row r="358" spans="1:12" s="59" customFormat="1" ht="33.75" x14ac:dyDescent="0.2">
      <c r="A358" s="804" t="s">
        <v>6914</v>
      </c>
      <c r="B358" s="804" t="s">
        <v>5990</v>
      </c>
      <c r="C358" s="913" t="s">
        <v>8547</v>
      </c>
      <c r="D358" s="804" t="s">
        <v>6926</v>
      </c>
      <c r="E358" s="804" t="s">
        <v>6552</v>
      </c>
      <c r="F358" s="62">
        <v>1200</v>
      </c>
      <c r="G358" s="55">
        <v>279012</v>
      </c>
      <c r="H358" s="804"/>
      <c r="I358" s="802" t="s">
        <v>14586</v>
      </c>
      <c r="L358" s="5"/>
    </row>
    <row r="359" spans="1:12" s="59" customFormat="1" ht="33.75" x14ac:dyDescent="0.2">
      <c r="A359" s="804" t="s">
        <v>6915</v>
      </c>
      <c r="B359" s="804" t="s">
        <v>5990</v>
      </c>
      <c r="C359" s="913" t="s">
        <v>8548</v>
      </c>
      <c r="D359" s="804" t="s">
        <v>6925</v>
      </c>
      <c r="E359" s="804" t="s">
        <v>6552</v>
      </c>
      <c r="F359" s="62">
        <v>1200</v>
      </c>
      <c r="G359" s="55">
        <v>279012</v>
      </c>
      <c r="H359" s="804"/>
      <c r="I359" s="802" t="s">
        <v>14586</v>
      </c>
      <c r="L359" s="5"/>
    </row>
    <row r="360" spans="1:12" s="59" customFormat="1" ht="33.75" x14ac:dyDescent="0.2">
      <c r="A360" s="804" t="s">
        <v>6916</v>
      </c>
      <c r="B360" s="804" t="s">
        <v>5990</v>
      </c>
      <c r="C360" s="913" t="s">
        <v>8549</v>
      </c>
      <c r="D360" s="804" t="s">
        <v>6927</v>
      </c>
      <c r="E360" s="804" t="s">
        <v>6552</v>
      </c>
      <c r="F360" s="62">
        <v>1200</v>
      </c>
      <c r="G360" s="55">
        <v>279012</v>
      </c>
      <c r="H360" s="804"/>
      <c r="I360" s="802" t="s">
        <v>14586</v>
      </c>
      <c r="L360" s="5"/>
    </row>
    <row r="361" spans="1:12" s="59" customFormat="1" ht="33.75" x14ac:dyDescent="0.2">
      <c r="A361" s="804" t="s">
        <v>6917</v>
      </c>
      <c r="B361" s="804" t="s">
        <v>5990</v>
      </c>
      <c r="C361" s="913" t="s">
        <v>8550</v>
      </c>
      <c r="D361" s="804" t="s">
        <v>6928</v>
      </c>
      <c r="E361" s="804" t="s">
        <v>6552</v>
      </c>
      <c r="F361" s="62">
        <v>1200</v>
      </c>
      <c r="G361" s="55">
        <v>279012</v>
      </c>
      <c r="H361" s="804"/>
      <c r="I361" s="802" t="s">
        <v>14586</v>
      </c>
      <c r="L361" s="5"/>
    </row>
    <row r="362" spans="1:12" s="59" customFormat="1" ht="33.75" x14ac:dyDescent="0.2">
      <c r="A362" s="804" t="s">
        <v>6918</v>
      </c>
      <c r="B362" s="804" t="s">
        <v>5990</v>
      </c>
      <c r="C362" s="913" t="s">
        <v>8551</v>
      </c>
      <c r="D362" s="804" t="s">
        <v>6929</v>
      </c>
      <c r="E362" s="804" t="s">
        <v>6552</v>
      </c>
      <c r="F362" s="62">
        <v>1200</v>
      </c>
      <c r="G362" s="55">
        <v>279012</v>
      </c>
      <c r="H362" s="804"/>
      <c r="I362" s="802" t="s">
        <v>14586</v>
      </c>
      <c r="L362" s="5"/>
    </row>
    <row r="363" spans="1:12" s="59" customFormat="1" ht="33.75" x14ac:dyDescent="0.2">
      <c r="A363" s="804" t="s">
        <v>6919</v>
      </c>
      <c r="B363" s="804" t="s">
        <v>5990</v>
      </c>
      <c r="C363" s="913" t="s">
        <v>8552</v>
      </c>
      <c r="D363" s="804" t="s">
        <v>6930</v>
      </c>
      <c r="E363" s="804" t="s">
        <v>6552</v>
      </c>
      <c r="F363" s="62">
        <v>1200</v>
      </c>
      <c r="G363" s="55">
        <v>279012</v>
      </c>
      <c r="H363" s="804"/>
      <c r="I363" s="802" t="s">
        <v>14586</v>
      </c>
      <c r="L363" s="5"/>
    </row>
    <row r="364" spans="1:12" s="59" customFormat="1" ht="33.75" x14ac:dyDescent="0.2">
      <c r="A364" s="804" t="s">
        <v>6920</v>
      </c>
      <c r="B364" s="804" t="s">
        <v>5990</v>
      </c>
      <c r="C364" s="913" t="s">
        <v>8553</v>
      </c>
      <c r="D364" s="804" t="s">
        <v>6924</v>
      </c>
      <c r="E364" s="804" t="s">
        <v>6552</v>
      </c>
      <c r="F364" s="62">
        <v>1200</v>
      </c>
      <c r="G364" s="55">
        <v>279012</v>
      </c>
      <c r="H364" s="804"/>
      <c r="I364" s="802" t="s">
        <v>14586</v>
      </c>
      <c r="L364" s="5"/>
    </row>
    <row r="365" spans="1:12" s="59" customFormat="1" ht="33.75" x14ac:dyDescent="0.2">
      <c r="A365" s="804" t="s">
        <v>6933</v>
      </c>
      <c r="B365" s="804" t="s">
        <v>5990</v>
      </c>
      <c r="C365" s="913" t="s">
        <v>8554</v>
      </c>
      <c r="D365" s="804" t="s">
        <v>7002</v>
      </c>
      <c r="E365" s="804" t="s">
        <v>6552</v>
      </c>
      <c r="F365" s="62">
        <v>1200</v>
      </c>
      <c r="G365" s="55">
        <v>273468</v>
      </c>
      <c r="H365" s="804"/>
      <c r="I365" s="802" t="s">
        <v>14586</v>
      </c>
      <c r="L365" s="5"/>
    </row>
    <row r="366" spans="1:12" s="59" customFormat="1" ht="33.75" x14ac:dyDescent="0.2">
      <c r="A366" s="804" t="s">
        <v>6934</v>
      </c>
      <c r="B366" s="804" t="s">
        <v>5990</v>
      </c>
      <c r="C366" s="913" t="s">
        <v>8555</v>
      </c>
      <c r="D366" s="804" t="s">
        <v>7003</v>
      </c>
      <c r="E366" s="804" t="s">
        <v>6552</v>
      </c>
      <c r="F366" s="62">
        <v>1200</v>
      </c>
      <c r="G366" s="55">
        <v>273468</v>
      </c>
      <c r="H366" s="804"/>
      <c r="I366" s="802" t="s">
        <v>14586</v>
      </c>
      <c r="L366" s="5"/>
    </row>
    <row r="367" spans="1:12" s="59" customFormat="1" ht="33.75" x14ac:dyDescent="0.2">
      <c r="A367" s="804" t="s">
        <v>6935</v>
      </c>
      <c r="B367" s="804" t="s">
        <v>5990</v>
      </c>
      <c r="C367" s="913" t="s">
        <v>8556</v>
      </c>
      <c r="D367" s="804" t="s">
        <v>7079</v>
      </c>
      <c r="E367" s="804" t="s">
        <v>6552</v>
      </c>
      <c r="F367" s="62">
        <v>1200</v>
      </c>
      <c r="G367" s="55">
        <v>279012</v>
      </c>
      <c r="H367" s="804"/>
      <c r="I367" s="802" t="s">
        <v>14586</v>
      </c>
      <c r="L367" s="5"/>
    </row>
    <row r="368" spans="1:12" s="59" customFormat="1" ht="33.75" x14ac:dyDescent="0.2">
      <c r="A368" s="804" t="s">
        <v>6936</v>
      </c>
      <c r="B368" s="804" t="s">
        <v>5990</v>
      </c>
      <c r="C368" s="913" t="s">
        <v>8557</v>
      </c>
      <c r="D368" s="804" t="s">
        <v>7080</v>
      </c>
      <c r="E368" s="804" t="s">
        <v>6552</v>
      </c>
      <c r="F368" s="62">
        <v>1200</v>
      </c>
      <c r="G368" s="55">
        <v>273468</v>
      </c>
      <c r="H368" s="804"/>
      <c r="I368" s="802" t="s">
        <v>14586</v>
      </c>
      <c r="L368" s="5"/>
    </row>
    <row r="369" spans="1:12" s="59" customFormat="1" ht="33.75" x14ac:dyDescent="0.2">
      <c r="A369" s="804" t="s">
        <v>6937</v>
      </c>
      <c r="B369" s="804" t="s">
        <v>5990</v>
      </c>
      <c r="C369" s="913" t="s">
        <v>8558</v>
      </c>
      <c r="D369" s="804" t="s">
        <v>6996</v>
      </c>
      <c r="E369" s="804" t="s">
        <v>6552</v>
      </c>
      <c r="F369" s="62">
        <v>1200</v>
      </c>
      <c r="G369" s="55">
        <v>273468</v>
      </c>
      <c r="H369" s="804"/>
      <c r="I369" s="802" t="s">
        <v>14586</v>
      </c>
      <c r="L369" s="5"/>
    </row>
    <row r="370" spans="1:12" s="59" customFormat="1" ht="33.75" x14ac:dyDescent="0.2">
      <c r="A370" s="804" t="s">
        <v>6938</v>
      </c>
      <c r="B370" s="804" t="s">
        <v>5990</v>
      </c>
      <c r="C370" s="913" t="s">
        <v>8559</v>
      </c>
      <c r="D370" s="804" t="s">
        <v>6997</v>
      </c>
      <c r="E370" s="804" t="s">
        <v>6552</v>
      </c>
      <c r="F370" s="62">
        <v>1200</v>
      </c>
      <c r="G370" s="55">
        <v>273468</v>
      </c>
      <c r="H370" s="804"/>
      <c r="I370" s="802" t="s">
        <v>14586</v>
      </c>
      <c r="L370" s="5"/>
    </row>
    <row r="371" spans="1:12" s="59" customFormat="1" ht="33.75" x14ac:dyDescent="0.2">
      <c r="A371" s="804" t="s">
        <v>6939</v>
      </c>
      <c r="B371" s="804" t="s">
        <v>5990</v>
      </c>
      <c r="C371" s="913" t="s">
        <v>8560</v>
      </c>
      <c r="D371" s="804" t="s">
        <v>6998</v>
      </c>
      <c r="E371" s="804" t="s">
        <v>6552</v>
      </c>
      <c r="F371" s="62">
        <v>1200</v>
      </c>
      <c r="G371" s="55">
        <v>273468</v>
      </c>
      <c r="H371" s="804"/>
      <c r="I371" s="802" t="s">
        <v>14586</v>
      </c>
      <c r="L371" s="5"/>
    </row>
    <row r="372" spans="1:12" s="59" customFormat="1" ht="33.75" x14ac:dyDescent="0.2">
      <c r="A372" s="804" t="s">
        <v>6940</v>
      </c>
      <c r="B372" s="804" t="s">
        <v>5990</v>
      </c>
      <c r="C372" s="913" t="s">
        <v>8561</v>
      </c>
      <c r="D372" s="804" t="s">
        <v>6999</v>
      </c>
      <c r="E372" s="804" t="s">
        <v>6552</v>
      </c>
      <c r="F372" s="62">
        <v>1200</v>
      </c>
      <c r="G372" s="55">
        <v>273468</v>
      </c>
      <c r="H372" s="804"/>
      <c r="I372" s="802" t="s">
        <v>14586</v>
      </c>
      <c r="L372" s="5"/>
    </row>
    <row r="373" spans="1:12" s="59" customFormat="1" ht="33.75" x14ac:dyDescent="0.2">
      <c r="A373" s="850" t="s">
        <v>6941</v>
      </c>
      <c r="B373" s="850" t="s">
        <v>5990</v>
      </c>
      <c r="C373" s="970" t="s">
        <v>8562</v>
      </c>
      <c r="D373" s="850" t="s">
        <v>7000</v>
      </c>
      <c r="E373" s="850" t="s">
        <v>6552</v>
      </c>
      <c r="F373" s="894">
        <v>1200</v>
      </c>
      <c r="G373" s="921">
        <v>273468</v>
      </c>
      <c r="H373" s="850"/>
      <c r="I373" s="802" t="s">
        <v>14586</v>
      </c>
      <c r="L373" s="5"/>
    </row>
    <row r="374" spans="1:12" s="59" customFormat="1" ht="33.75" x14ac:dyDescent="0.2">
      <c r="A374" s="804" t="s">
        <v>6942</v>
      </c>
      <c r="B374" s="804" t="s">
        <v>5990</v>
      </c>
      <c r="C374" s="913" t="s">
        <v>8563</v>
      </c>
      <c r="D374" s="804" t="s">
        <v>7001</v>
      </c>
      <c r="E374" s="804" t="s">
        <v>6552</v>
      </c>
      <c r="F374" s="62">
        <v>1200</v>
      </c>
      <c r="G374" s="55">
        <v>273468</v>
      </c>
      <c r="H374" s="804"/>
      <c r="I374" s="802" t="s">
        <v>14586</v>
      </c>
      <c r="L374" s="5"/>
    </row>
    <row r="375" spans="1:12" s="59" customFormat="1" ht="33.75" x14ac:dyDescent="0.2">
      <c r="A375" s="804" t="s">
        <v>6943</v>
      </c>
      <c r="B375" s="804" t="s">
        <v>5990</v>
      </c>
      <c r="C375" s="913" t="s">
        <v>8564</v>
      </c>
      <c r="D375" s="804" t="s">
        <v>6967</v>
      </c>
      <c r="E375" s="804" t="s">
        <v>6552</v>
      </c>
      <c r="F375" s="62">
        <v>1200</v>
      </c>
      <c r="G375" s="55">
        <v>273468</v>
      </c>
      <c r="H375" s="804"/>
      <c r="I375" s="802" t="s">
        <v>14586</v>
      </c>
      <c r="L375" s="5"/>
    </row>
    <row r="376" spans="1:12" s="59" customFormat="1" ht="33.75" x14ac:dyDescent="0.2">
      <c r="A376" s="804" t="s">
        <v>6944</v>
      </c>
      <c r="B376" s="804" t="s">
        <v>5990</v>
      </c>
      <c r="C376" s="913" t="s">
        <v>8565</v>
      </c>
      <c r="D376" s="804" t="s">
        <v>6968</v>
      </c>
      <c r="E376" s="804" t="s">
        <v>6552</v>
      </c>
      <c r="F376" s="62">
        <v>1200</v>
      </c>
      <c r="G376" s="55">
        <v>273468</v>
      </c>
      <c r="H376" s="804"/>
      <c r="I376" s="802" t="s">
        <v>14586</v>
      </c>
      <c r="L376" s="5"/>
    </row>
    <row r="377" spans="1:12" s="59" customFormat="1" ht="33.75" x14ac:dyDescent="0.2">
      <c r="A377" s="804" t="s">
        <v>6945</v>
      </c>
      <c r="B377" s="804" t="s">
        <v>5990</v>
      </c>
      <c r="C377" s="913" t="s">
        <v>8566</v>
      </c>
      <c r="D377" s="804" t="s">
        <v>6969</v>
      </c>
      <c r="E377" s="804" t="s">
        <v>6552</v>
      </c>
      <c r="F377" s="62">
        <v>1200</v>
      </c>
      <c r="G377" s="55">
        <v>273468</v>
      </c>
      <c r="H377" s="804"/>
      <c r="I377" s="802" t="s">
        <v>14586</v>
      </c>
      <c r="L377" s="5"/>
    </row>
    <row r="378" spans="1:12" s="59" customFormat="1" ht="33.75" x14ac:dyDescent="0.2">
      <c r="A378" s="804" t="s">
        <v>6946</v>
      </c>
      <c r="B378" s="804" t="s">
        <v>5990</v>
      </c>
      <c r="C378" s="913" t="s">
        <v>8567</v>
      </c>
      <c r="D378" s="804" t="s">
        <v>6970</v>
      </c>
      <c r="E378" s="804" t="s">
        <v>6552</v>
      </c>
      <c r="F378" s="62">
        <v>1200</v>
      </c>
      <c r="G378" s="55">
        <v>273468</v>
      </c>
      <c r="H378" s="804"/>
      <c r="I378" s="802" t="s">
        <v>14586</v>
      </c>
      <c r="L378" s="5"/>
    </row>
    <row r="379" spans="1:12" s="59" customFormat="1" ht="33.75" x14ac:dyDescent="0.2">
      <c r="A379" s="804" t="s">
        <v>6947</v>
      </c>
      <c r="B379" s="804" t="s">
        <v>5990</v>
      </c>
      <c r="C379" s="913" t="s">
        <v>8568</v>
      </c>
      <c r="D379" s="804" t="s">
        <v>6972</v>
      </c>
      <c r="E379" s="804" t="s">
        <v>6552</v>
      </c>
      <c r="F379" s="62">
        <v>1200</v>
      </c>
      <c r="G379" s="55">
        <v>273468</v>
      </c>
      <c r="H379" s="804"/>
      <c r="I379" s="802" t="s">
        <v>14586</v>
      </c>
      <c r="L379" s="5"/>
    </row>
    <row r="380" spans="1:12" s="59" customFormat="1" ht="33.75" x14ac:dyDescent="0.2">
      <c r="A380" s="804" t="s">
        <v>6948</v>
      </c>
      <c r="B380" s="804" t="s">
        <v>5990</v>
      </c>
      <c r="C380" s="913" t="s">
        <v>8569</v>
      </c>
      <c r="D380" s="804" t="s">
        <v>6973</v>
      </c>
      <c r="E380" s="804" t="s">
        <v>6552</v>
      </c>
      <c r="F380" s="62">
        <v>1200</v>
      </c>
      <c r="G380" s="55">
        <v>279012</v>
      </c>
      <c r="H380" s="804"/>
      <c r="I380" s="802" t="s">
        <v>14586</v>
      </c>
      <c r="L380" s="5"/>
    </row>
    <row r="381" spans="1:12" s="59" customFormat="1" ht="33.75" x14ac:dyDescent="0.2">
      <c r="A381" s="804" t="s">
        <v>6949</v>
      </c>
      <c r="B381" s="804" t="s">
        <v>5990</v>
      </c>
      <c r="C381" s="913" t="s">
        <v>8570</v>
      </c>
      <c r="D381" s="804" t="s">
        <v>6974</v>
      </c>
      <c r="E381" s="804" t="s">
        <v>6552</v>
      </c>
      <c r="F381" s="62">
        <v>1200</v>
      </c>
      <c r="G381" s="55">
        <v>279012</v>
      </c>
      <c r="H381" s="804"/>
      <c r="I381" s="802" t="s">
        <v>14586</v>
      </c>
      <c r="L381" s="5"/>
    </row>
    <row r="382" spans="1:12" s="59" customFormat="1" ht="33.75" x14ac:dyDescent="0.2">
      <c r="A382" s="804" t="s">
        <v>6950</v>
      </c>
      <c r="B382" s="804" t="s">
        <v>5990</v>
      </c>
      <c r="C382" s="913" t="s">
        <v>8571</v>
      </c>
      <c r="D382" s="804" t="s">
        <v>6975</v>
      </c>
      <c r="E382" s="804" t="s">
        <v>6552</v>
      </c>
      <c r="F382" s="62">
        <v>1200</v>
      </c>
      <c r="G382" s="55">
        <v>273468</v>
      </c>
      <c r="H382" s="804"/>
      <c r="I382" s="802" t="s">
        <v>14586</v>
      </c>
      <c r="L382" s="5"/>
    </row>
    <row r="383" spans="1:12" s="59" customFormat="1" ht="33.75" x14ac:dyDescent="0.2">
      <c r="A383" s="804" t="s">
        <v>6951</v>
      </c>
      <c r="B383" s="804" t="s">
        <v>5990</v>
      </c>
      <c r="C383" s="913" t="s">
        <v>8572</v>
      </c>
      <c r="D383" s="804" t="s">
        <v>6976</v>
      </c>
      <c r="E383" s="804" t="s">
        <v>6552</v>
      </c>
      <c r="F383" s="62">
        <v>1200</v>
      </c>
      <c r="G383" s="55">
        <v>273468</v>
      </c>
      <c r="H383" s="804"/>
      <c r="I383" s="802" t="s">
        <v>14586</v>
      </c>
      <c r="L383" s="5"/>
    </row>
    <row r="384" spans="1:12" s="59" customFormat="1" ht="33.75" x14ac:dyDescent="0.2">
      <c r="A384" s="804" t="s">
        <v>6952</v>
      </c>
      <c r="B384" s="804" t="s">
        <v>5990</v>
      </c>
      <c r="C384" s="913" t="s">
        <v>8573</v>
      </c>
      <c r="D384" s="804" t="s">
        <v>6977</v>
      </c>
      <c r="E384" s="804" t="s">
        <v>6552</v>
      </c>
      <c r="F384" s="62">
        <v>1200</v>
      </c>
      <c r="G384" s="55">
        <v>273468</v>
      </c>
      <c r="H384" s="804"/>
      <c r="I384" s="802" t="s">
        <v>14586</v>
      </c>
      <c r="L384" s="5"/>
    </row>
    <row r="385" spans="1:12" s="59" customFormat="1" ht="33.75" x14ac:dyDescent="0.2">
      <c r="A385" s="804" t="s">
        <v>6953</v>
      </c>
      <c r="B385" s="804" t="s">
        <v>5990</v>
      </c>
      <c r="C385" s="913" t="s">
        <v>8574</v>
      </c>
      <c r="D385" s="804" t="s">
        <v>6978</v>
      </c>
      <c r="E385" s="804" t="s">
        <v>6552</v>
      </c>
      <c r="F385" s="62">
        <v>1200</v>
      </c>
      <c r="G385" s="55">
        <v>273468</v>
      </c>
      <c r="H385" s="804"/>
      <c r="I385" s="802" t="s">
        <v>14586</v>
      </c>
      <c r="L385" s="5"/>
    </row>
    <row r="386" spans="1:12" s="59" customFormat="1" ht="33.75" x14ac:dyDescent="0.2">
      <c r="A386" s="804" t="s">
        <v>6954</v>
      </c>
      <c r="B386" s="804" t="s">
        <v>5990</v>
      </c>
      <c r="C386" s="913" t="s">
        <v>8575</v>
      </c>
      <c r="D386" s="804" t="s">
        <v>6979</v>
      </c>
      <c r="E386" s="804" t="s">
        <v>6552</v>
      </c>
      <c r="F386" s="62">
        <v>1200</v>
      </c>
      <c r="G386" s="55">
        <v>273468</v>
      </c>
      <c r="H386" s="804"/>
      <c r="I386" s="802" t="s">
        <v>14586</v>
      </c>
      <c r="L386" s="5"/>
    </row>
    <row r="387" spans="1:12" s="59" customFormat="1" ht="33.75" x14ac:dyDescent="0.2">
      <c r="A387" s="804" t="s">
        <v>6955</v>
      </c>
      <c r="B387" s="804" t="s">
        <v>5990</v>
      </c>
      <c r="C387" s="913" t="s">
        <v>8576</v>
      </c>
      <c r="D387" s="804" t="s">
        <v>6980</v>
      </c>
      <c r="E387" s="804" t="s">
        <v>6552</v>
      </c>
      <c r="F387" s="62">
        <v>1200</v>
      </c>
      <c r="G387" s="55">
        <v>273468</v>
      </c>
      <c r="H387" s="804"/>
      <c r="I387" s="802" t="s">
        <v>14586</v>
      </c>
      <c r="L387" s="5"/>
    </row>
    <row r="388" spans="1:12" s="59" customFormat="1" ht="33.75" x14ac:dyDescent="0.2">
      <c r="A388" s="804" t="s">
        <v>6956</v>
      </c>
      <c r="B388" s="804" t="s">
        <v>5990</v>
      </c>
      <c r="C388" s="913" t="s">
        <v>8577</v>
      </c>
      <c r="D388" s="804" t="s">
        <v>6981</v>
      </c>
      <c r="E388" s="804" t="s">
        <v>6552</v>
      </c>
      <c r="F388" s="62">
        <v>1200</v>
      </c>
      <c r="G388" s="55">
        <v>279912</v>
      </c>
      <c r="H388" s="804"/>
      <c r="I388" s="802" t="s">
        <v>14586</v>
      </c>
      <c r="L388" s="5"/>
    </row>
    <row r="389" spans="1:12" s="59" customFormat="1" ht="33.75" x14ac:dyDescent="0.2">
      <c r="A389" s="804" t="s">
        <v>6957</v>
      </c>
      <c r="B389" s="804" t="s">
        <v>5990</v>
      </c>
      <c r="C389" s="913" t="s">
        <v>8578</v>
      </c>
      <c r="D389" s="804" t="s">
        <v>6982</v>
      </c>
      <c r="E389" s="804" t="s">
        <v>6552</v>
      </c>
      <c r="F389" s="62">
        <v>1200</v>
      </c>
      <c r="G389" s="55">
        <v>279912</v>
      </c>
      <c r="H389" s="804"/>
      <c r="I389" s="802" t="s">
        <v>14586</v>
      </c>
      <c r="L389" s="5"/>
    </row>
    <row r="390" spans="1:12" s="59" customFormat="1" ht="33.75" x14ac:dyDescent="0.2">
      <c r="A390" s="804" t="s">
        <v>6958</v>
      </c>
      <c r="B390" s="804" t="s">
        <v>5990</v>
      </c>
      <c r="C390" s="913" t="s">
        <v>8579</v>
      </c>
      <c r="D390" s="804" t="s">
        <v>6984</v>
      </c>
      <c r="E390" s="804" t="s">
        <v>6552</v>
      </c>
      <c r="F390" s="62">
        <v>1200</v>
      </c>
      <c r="G390" s="55">
        <v>279912</v>
      </c>
      <c r="H390" s="804"/>
      <c r="I390" s="802" t="s">
        <v>14586</v>
      </c>
      <c r="L390" s="5"/>
    </row>
    <row r="391" spans="1:12" s="59" customFormat="1" ht="33.75" x14ac:dyDescent="0.2">
      <c r="A391" s="804" t="s">
        <v>6959</v>
      </c>
      <c r="B391" s="804" t="s">
        <v>5990</v>
      </c>
      <c r="C391" s="913" t="s">
        <v>8580</v>
      </c>
      <c r="D391" s="804" t="s">
        <v>6983</v>
      </c>
      <c r="E391" s="804" t="s">
        <v>6552</v>
      </c>
      <c r="F391" s="62">
        <v>1200</v>
      </c>
      <c r="G391" s="55">
        <v>279912</v>
      </c>
      <c r="H391" s="804"/>
      <c r="I391" s="802" t="s">
        <v>14586</v>
      </c>
      <c r="L391" s="5"/>
    </row>
    <row r="392" spans="1:12" s="59" customFormat="1" ht="33.75" x14ac:dyDescent="0.2">
      <c r="A392" s="804" t="s">
        <v>6960</v>
      </c>
      <c r="B392" s="804" t="s">
        <v>5990</v>
      </c>
      <c r="C392" s="913" t="s">
        <v>8581</v>
      </c>
      <c r="D392" s="804" t="s">
        <v>6985</v>
      </c>
      <c r="E392" s="804" t="s">
        <v>6552</v>
      </c>
      <c r="F392" s="62">
        <v>1200</v>
      </c>
      <c r="G392" s="55">
        <v>273468</v>
      </c>
      <c r="H392" s="804"/>
      <c r="I392" s="802" t="s">
        <v>14586</v>
      </c>
      <c r="L392" s="5"/>
    </row>
    <row r="393" spans="1:12" s="59" customFormat="1" ht="33.75" x14ac:dyDescent="0.2">
      <c r="A393" s="804" t="s">
        <v>6961</v>
      </c>
      <c r="B393" s="804" t="s">
        <v>5990</v>
      </c>
      <c r="C393" s="913" t="s">
        <v>8582</v>
      </c>
      <c r="D393" s="804" t="s">
        <v>6971</v>
      </c>
      <c r="E393" s="804" t="s">
        <v>6552</v>
      </c>
      <c r="F393" s="62">
        <v>1200</v>
      </c>
      <c r="G393" s="55">
        <v>273468</v>
      </c>
      <c r="H393" s="804"/>
      <c r="I393" s="802" t="s">
        <v>14586</v>
      </c>
      <c r="L393" s="5"/>
    </row>
    <row r="394" spans="1:12" s="59" customFormat="1" ht="33.75" x14ac:dyDescent="0.2">
      <c r="A394" s="850" t="s">
        <v>6962</v>
      </c>
      <c r="B394" s="850" t="s">
        <v>5990</v>
      </c>
      <c r="C394" s="970" t="s">
        <v>8583</v>
      </c>
      <c r="D394" s="850" t="s">
        <v>6986</v>
      </c>
      <c r="E394" s="850" t="s">
        <v>6552</v>
      </c>
      <c r="F394" s="894">
        <v>1200</v>
      </c>
      <c r="G394" s="921">
        <v>273468</v>
      </c>
      <c r="H394" s="850"/>
      <c r="I394" s="802" t="s">
        <v>14586</v>
      </c>
      <c r="L394" s="5"/>
    </row>
    <row r="395" spans="1:12" s="59" customFormat="1" ht="33.75" x14ac:dyDescent="0.2">
      <c r="A395" s="804" t="s">
        <v>6963</v>
      </c>
      <c r="B395" s="804" t="s">
        <v>5990</v>
      </c>
      <c r="C395" s="913" t="s">
        <v>8584</v>
      </c>
      <c r="D395" s="804" t="s">
        <v>6987</v>
      </c>
      <c r="E395" s="804" t="s">
        <v>6552</v>
      </c>
      <c r="F395" s="62">
        <v>1200</v>
      </c>
      <c r="G395" s="55">
        <v>273468</v>
      </c>
      <c r="H395" s="804"/>
      <c r="I395" s="802" t="s">
        <v>14586</v>
      </c>
      <c r="L395" s="5"/>
    </row>
    <row r="396" spans="1:12" s="59" customFormat="1" ht="33.75" x14ac:dyDescent="0.2">
      <c r="A396" s="804" t="s">
        <v>6964</v>
      </c>
      <c r="B396" s="804" t="s">
        <v>5990</v>
      </c>
      <c r="C396" s="913" t="s">
        <v>8585</v>
      </c>
      <c r="D396" s="804" t="s">
        <v>6988</v>
      </c>
      <c r="E396" s="804" t="s">
        <v>6552</v>
      </c>
      <c r="F396" s="62">
        <v>1200</v>
      </c>
      <c r="G396" s="55">
        <v>273468</v>
      </c>
      <c r="H396" s="804"/>
      <c r="I396" s="802" t="s">
        <v>14586</v>
      </c>
      <c r="L396" s="5"/>
    </row>
    <row r="397" spans="1:12" s="59" customFormat="1" ht="33.75" x14ac:dyDescent="0.2">
      <c r="A397" s="804" t="s">
        <v>6965</v>
      </c>
      <c r="B397" s="804" t="s">
        <v>5990</v>
      </c>
      <c r="C397" s="913" t="s">
        <v>8586</v>
      </c>
      <c r="D397" s="804" t="s">
        <v>6989</v>
      </c>
      <c r="E397" s="804" t="s">
        <v>6552</v>
      </c>
      <c r="F397" s="62">
        <v>1200</v>
      </c>
      <c r="G397" s="55">
        <v>273468</v>
      </c>
      <c r="H397" s="804"/>
      <c r="I397" s="802" t="s">
        <v>14586</v>
      </c>
      <c r="L397" s="5"/>
    </row>
    <row r="398" spans="1:12" s="59" customFormat="1" ht="33.75" x14ac:dyDescent="0.2">
      <c r="A398" s="804" t="s">
        <v>6966</v>
      </c>
      <c r="B398" s="804" t="s">
        <v>5990</v>
      </c>
      <c r="C398" s="913" t="s">
        <v>8587</v>
      </c>
      <c r="D398" s="804" t="s">
        <v>6990</v>
      </c>
      <c r="E398" s="804" t="s">
        <v>6552</v>
      </c>
      <c r="F398" s="62">
        <v>1200</v>
      </c>
      <c r="G398" s="55">
        <v>273468</v>
      </c>
      <c r="H398" s="804"/>
      <c r="I398" s="802" t="s">
        <v>14586</v>
      </c>
      <c r="L398" s="5"/>
    </row>
    <row r="399" spans="1:12" s="59" customFormat="1" ht="33.75" x14ac:dyDescent="0.2">
      <c r="A399" s="850" t="s">
        <v>7024</v>
      </c>
      <c r="B399" s="850" t="s">
        <v>5990</v>
      </c>
      <c r="C399" s="970" t="s">
        <v>8588</v>
      </c>
      <c r="D399" s="850" t="s">
        <v>6991</v>
      </c>
      <c r="E399" s="850" t="s">
        <v>6552</v>
      </c>
      <c r="F399" s="894">
        <v>1200</v>
      </c>
      <c r="G399" s="921">
        <v>273468</v>
      </c>
      <c r="H399" s="850"/>
      <c r="I399" s="802" t="s">
        <v>14586</v>
      </c>
      <c r="L399" s="5"/>
    </row>
    <row r="400" spans="1:12" s="59" customFormat="1" ht="33.75" x14ac:dyDescent="0.2">
      <c r="A400" s="804" t="s">
        <v>7025</v>
      </c>
      <c r="B400" s="804" t="s">
        <v>5990</v>
      </c>
      <c r="C400" s="913" t="s">
        <v>8589</v>
      </c>
      <c r="D400" s="804" t="s">
        <v>6992</v>
      </c>
      <c r="E400" s="804" t="s">
        <v>6552</v>
      </c>
      <c r="F400" s="62">
        <v>1200</v>
      </c>
      <c r="G400" s="55">
        <v>273468</v>
      </c>
      <c r="H400" s="804"/>
      <c r="I400" s="802" t="s">
        <v>14586</v>
      </c>
      <c r="L400" s="5"/>
    </row>
    <row r="401" spans="1:12" s="59" customFormat="1" ht="33.75" x14ac:dyDescent="0.2">
      <c r="A401" s="804" t="s">
        <v>7026</v>
      </c>
      <c r="B401" s="804" t="s">
        <v>5990</v>
      </c>
      <c r="C401" s="913" t="s">
        <v>8590</v>
      </c>
      <c r="D401" s="804" t="s">
        <v>6993</v>
      </c>
      <c r="E401" s="804" t="s">
        <v>6552</v>
      </c>
      <c r="F401" s="62">
        <v>1200</v>
      </c>
      <c r="G401" s="55">
        <v>273468</v>
      </c>
      <c r="H401" s="804"/>
      <c r="I401" s="802" t="s">
        <v>14586</v>
      </c>
      <c r="L401" s="5"/>
    </row>
    <row r="402" spans="1:12" s="59" customFormat="1" ht="33.75" x14ac:dyDescent="0.2">
      <c r="A402" s="804" t="s">
        <v>7027</v>
      </c>
      <c r="B402" s="804" t="s">
        <v>5990</v>
      </c>
      <c r="C402" s="913" t="s">
        <v>8591</v>
      </c>
      <c r="D402" s="804" t="s">
        <v>6994</v>
      </c>
      <c r="E402" s="804" t="s">
        <v>6552</v>
      </c>
      <c r="F402" s="62">
        <v>1200</v>
      </c>
      <c r="G402" s="55">
        <v>273468</v>
      </c>
      <c r="H402" s="804"/>
      <c r="I402" s="802" t="s">
        <v>14586</v>
      </c>
      <c r="L402" s="5"/>
    </row>
    <row r="403" spans="1:12" s="59" customFormat="1" ht="33.75" x14ac:dyDescent="0.2">
      <c r="A403" s="804" t="s">
        <v>7028</v>
      </c>
      <c r="B403" s="804" t="s">
        <v>5990</v>
      </c>
      <c r="C403" s="913" t="s">
        <v>8592</v>
      </c>
      <c r="D403" s="804" t="s">
        <v>6995</v>
      </c>
      <c r="E403" s="804" t="s">
        <v>6552</v>
      </c>
      <c r="F403" s="62">
        <v>1200</v>
      </c>
      <c r="G403" s="55">
        <v>273468</v>
      </c>
      <c r="H403" s="804"/>
      <c r="I403" s="802" t="s">
        <v>14586</v>
      </c>
      <c r="L403" s="5"/>
    </row>
    <row r="404" spans="1:12" s="59" customFormat="1" ht="33.75" x14ac:dyDescent="0.2">
      <c r="A404" s="804" t="s">
        <v>7029</v>
      </c>
      <c r="B404" s="804" t="s">
        <v>5990</v>
      </c>
      <c r="C404" s="913" t="s">
        <v>8593</v>
      </c>
      <c r="D404" s="804" t="s">
        <v>7058</v>
      </c>
      <c r="E404" s="804" t="s">
        <v>6552</v>
      </c>
      <c r="F404" s="62">
        <v>1200</v>
      </c>
      <c r="G404" s="55">
        <v>279012</v>
      </c>
      <c r="H404" s="804"/>
      <c r="I404" s="802" t="s">
        <v>14586</v>
      </c>
      <c r="L404" s="5"/>
    </row>
    <row r="405" spans="1:12" s="59" customFormat="1" ht="33.75" x14ac:dyDescent="0.2">
      <c r="A405" s="804" t="s">
        <v>7030</v>
      </c>
      <c r="B405" s="804" t="s">
        <v>5990</v>
      </c>
      <c r="C405" s="913" t="s">
        <v>8594</v>
      </c>
      <c r="D405" s="804" t="s">
        <v>7059</v>
      </c>
      <c r="E405" s="804" t="s">
        <v>6552</v>
      </c>
      <c r="F405" s="62">
        <v>1200</v>
      </c>
      <c r="G405" s="55">
        <v>279012</v>
      </c>
      <c r="H405" s="804"/>
      <c r="I405" s="802" t="s">
        <v>14586</v>
      </c>
      <c r="L405" s="5"/>
    </row>
    <row r="406" spans="1:12" s="59" customFormat="1" ht="33.75" x14ac:dyDescent="0.2">
      <c r="A406" s="804" t="s">
        <v>7031</v>
      </c>
      <c r="B406" s="804" t="s">
        <v>5990</v>
      </c>
      <c r="C406" s="913" t="s">
        <v>8595</v>
      </c>
      <c r="D406" s="804" t="s">
        <v>7092</v>
      </c>
      <c r="E406" s="804" t="s">
        <v>6552</v>
      </c>
      <c r="F406" s="62">
        <v>1200</v>
      </c>
      <c r="G406" s="55">
        <v>279012</v>
      </c>
      <c r="H406" s="804"/>
      <c r="I406" s="802" t="s">
        <v>14586</v>
      </c>
      <c r="L406" s="5"/>
    </row>
    <row r="407" spans="1:12" s="59" customFormat="1" ht="33.75" x14ac:dyDescent="0.2">
      <c r="A407" s="804" t="s">
        <v>7032</v>
      </c>
      <c r="B407" s="804" t="s">
        <v>5990</v>
      </c>
      <c r="C407" s="913" t="s">
        <v>8596</v>
      </c>
      <c r="D407" s="804" t="s">
        <v>7093</v>
      </c>
      <c r="E407" s="804" t="s">
        <v>6552</v>
      </c>
      <c r="F407" s="62">
        <v>1200</v>
      </c>
      <c r="G407" s="55">
        <v>279012</v>
      </c>
      <c r="H407" s="804"/>
      <c r="I407" s="802" t="s">
        <v>14586</v>
      </c>
      <c r="L407" s="5"/>
    </row>
    <row r="408" spans="1:12" s="59" customFormat="1" ht="33.75" x14ac:dyDescent="0.2">
      <c r="A408" s="804" t="s">
        <v>7033</v>
      </c>
      <c r="B408" s="804" t="s">
        <v>5990</v>
      </c>
      <c r="C408" s="913" t="s">
        <v>8597</v>
      </c>
      <c r="D408" s="804" t="s">
        <v>7094</v>
      </c>
      <c r="E408" s="804" t="s">
        <v>6552</v>
      </c>
      <c r="F408" s="62">
        <v>1200</v>
      </c>
      <c r="G408" s="55">
        <v>273468</v>
      </c>
      <c r="H408" s="804"/>
      <c r="I408" s="802" t="s">
        <v>14586</v>
      </c>
      <c r="L408" s="5"/>
    </row>
    <row r="409" spans="1:12" s="59" customFormat="1" ht="33.75" x14ac:dyDescent="0.2">
      <c r="A409" s="804" t="s">
        <v>7034</v>
      </c>
      <c r="B409" s="804" t="s">
        <v>5990</v>
      </c>
      <c r="C409" s="913" t="s">
        <v>8598</v>
      </c>
      <c r="D409" s="804" t="s">
        <v>7095</v>
      </c>
      <c r="E409" s="804" t="s">
        <v>6552</v>
      </c>
      <c r="F409" s="62">
        <v>1200</v>
      </c>
      <c r="G409" s="55">
        <v>279012</v>
      </c>
      <c r="H409" s="804"/>
      <c r="I409" s="802" t="s">
        <v>14586</v>
      </c>
      <c r="L409" s="5"/>
    </row>
    <row r="410" spans="1:12" s="59" customFormat="1" ht="33.75" x14ac:dyDescent="0.2">
      <c r="A410" s="804" t="s">
        <v>7035</v>
      </c>
      <c r="B410" s="804" t="s">
        <v>5990</v>
      </c>
      <c r="C410" s="913" t="s">
        <v>8599</v>
      </c>
      <c r="D410" s="804" t="s">
        <v>7096</v>
      </c>
      <c r="E410" s="804" t="s">
        <v>6552</v>
      </c>
      <c r="F410" s="62">
        <v>1200</v>
      </c>
      <c r="G410" s="55">
        <v>279012</v>
      </c>
      <c r="H410" s="804"/>
      <c r="I410" s="802" t="s">
        <v>14586</v>
      </c>
      <c r="L410" s="5"/>
    </row>
    <row r="411" spans="1:12" s="59" customFormat="1" ht="33.75" x14ac:dyDescent="0.2">
      <c r="A411" s="804" t="s">
        <v>7036</v>
      </c>
      <c r="B411" s="804" t="s">
        <v>5990</v>
      </c>
      <c r="C411" s="913" t="s">
        <v>8600</v>
      </c>
      <c r="D411" s="804" t="s">
        <v>7060</v>
      </c>
      <c r="E411" s="804" t="s">
        <v>6552</v>
      </c>
      <c r="F411" s="62">
        <v>1200</v>
      </c>
      <c r="G411" s="55">
        <v>279012</v>
      </c>
      <c r="H411" s="804"/>
      <c r="I411" s="802" t="s">
        <v>14586</v>
      </c>
      <c r="L411" s="5"/>
    </row>
    <row r="412" spans="1:12" s="59" customFormat="1" ht="33.75" x14ac:dyDescent="0.2">
      <c r="A412" s="850" t="s">
        <v>7037</v>
      </c>
      <c r="B412" s="850" t="s">
        <v>5990</v>
      </c>
      <c r="C412" s="970" t="s">
        <v>8601</v>
      </c>
      <c r="D412" s="850" t="s">
        <v>7061</v>
      </c>
      <c r="E412" s="850" t="s">
        <v>6552</v>
      </c>
      <c r="F412" s="894">
        <v>1200</v>
      </c>
      <c r="G412" s="921">
        <v>279912</v>
      </c>
      <c r="H412" s="850"/>
      <c r="I412" s="802" t="s">
        <v>14586</v>
      </c>
      <c r="L412" s="5"/>
    </row>
    <row r="413" spans="1:12" s="59" customFormat="1" ht="33.75" x14ac:dyDescent="0.2">
      <c r="A413" s="804" t="s">
        <v>7038</v>
      </c>
      <c r="B413" s="804" t="s">
        <v>5990</v>
      </c>
      <c r="C413" s="913" t="s">
        <v>8602</v>
      </c>
      <c r="D413" s="804" t="s">
        <v>7063</v>
      </c>
      <c r="E413" s="804" t="s">
        <v>6552</v>
      </c>
      <c r="F413" s="62">
        <v>1200</v>
      </c>
      <c r="G413" s="55">
        <v>273468</v>
      </c>
      <c r="H413" s="804"/>
      <c r="I413" s="802" t="s">
        <v>14586</v>
      </c>
      <c r="L413" s="5"/>
    </row>
    <row r="414" spans="1:12" s="59" customFormat="1" ht="33.75" x14ac:dyDescent="0.2">
      <c r="A414" s="804" t="s">
        <v>7039</v>
      </c>
      <c r="B414" s="804" t="s">
        <v>5990</v>
      </c>
      <c r="C414" s="913" t="s">
        <v>8603</v>
      </c>
      <c r="D414" s="804" t="s">
        <v>7064</v>
      </c>
      <c r="E414" s="804" t="s">
        <v>6552</v>
      </c>
      <c r="F414" s="62">
        <v>1200</v>
      </c>
      <c r="G414" s="55">
        <v>273468</v>
      </c>
      <c r="H414" s="804"/>
      <c r="I414" s="802" t="s">
        <v>14586</v>
      </c>
      <c r="L414" s="5"/>
    </row>
    <row r="415" spans="1:12" s="59" customFormat="1" ht="33.75" x14ac:dyDescent="0.2">
      <c r="A415" s="804" t="s">
        <v>7040</v>
      </c>
      <c r="B415" s="804" t="s">
        <v>5990</v>
      </c>
      <c r="C415" s="913" t="s">
        <v>8604</v>
      </c>
      <c r="D415" s="804" t="s">
        <v>7065</v>
      </c>
      <c r="E415" s="804" t="s">
        <v>6552</v>
      </c>
      <c r="F415" s="62">
        <v>1200</v>
      </c>
      <c r="G415" s="55">
        <v>273468</v>
      </c>
      <c r="H415" s="804"/>
      <c r="I415" s="802" t="s">
        <v>14586</v>
      </c>
      <c r="L415" s="5"/>
    </row>
    <row r="416" spans="1:12" s="59" customFormat="1" ht="33.75" x14ac:dyDescent="0.2">
      <c r="A416" s="804" t="s">
        <v>7041</v>
      </c>
      <c r="B416" s="804" t="s">
        <v>5990</v>
      </c>
      <c r="C416" s="913" t="s">
        <v>8605</v>
      </c>
      <c r="D416" s="804" t="s">
        <v>7066</v>
      </c>
      <c r="E416" s="804" t="s">
        <v>6552</v>
      </c>
      <c r="F416" s="62">
        <v>1200</v>
      </c>
      <c r="G416" s="55">
        <v>273468</v>
      </c>
      <c r="H416" s="804"/>
      <c r="I416" s="802" t="s">
        <v>14586</v>
      </c>
      <c r="L416" s="5"/>
    </row>
    <row r="417" spans="1:12" s="59" customFormat="1" ht="33.75" x14ac:dyDescent="0.2">
      <c r="A417" s="804" t="s">
        <v>7042</v>
      </c>
      <c r="B417" s="804" t="s">
        <v>5990</v>
      </c>
      <c r="C417" s="913" t="s">
        <v>8606</v>
      </c>
      <c r="D417" s="804" t="s">
        <v>7067</v>
      </c>
      <c r="E417" s="804" t="s">
        <v>6552</v>
      </c>
      <c r="F417" s="62">
        <v>1200</v>
      </c>
      <c r="G417" s="55">
        <v>273468</v>
      </c>
      <c r="H417" s="804"/>
      <c r="I417" s="802" t="s">
        <v>14586</v>
      </c>
      <c r="L417" s="5"/>
    </row>
    <row r="418" spans="1:12" s="59" customFormat="1" ht="33.75" x14ac:dyDescent="0.2">
      <c r="A418" s="804" t="s">
        <v>7043</v>
      </c>
      <c r="B418" s="804" t="s">
        <v>5990</v>
      </c>
      <c r="C418" s="913" t="s">
        <v>8607</v>
      </c>
      <c r="D418" s="804" t="s">
        <v>7068</v>
      </c>
      <c r="E418" s="804" t="s">
        <v>6552</v>
      </c>
      <c r="F418" s="62">
        <v>1200</v>
      </c>
      <c r="G418" s="55">
        <v>273468</v>
      </c>
      <c r="H418" s="804"/>
      <c r="I418" s="802" t="s">
        <v>14586</v>
      </c>
      <c r="L418" s="5"/>
    </row>
    <row r="419" spans="1:12" s="59" customFormat="1" ht="33.75" x14ac:dyDescent="0.2">
      <c r="A419" s="850" t="s">
        <v>7044</v>
      </c>
      <c r="B419" s="850" t="s">
        <v>5990</v>
      </c>
      <c r="C419" s="970" t="s">
        <v>8608</v>
      </c>
      <c r="D419" s="850" t="s">
        <v>7069</v>
      </c>
      <c r="E419" s="850" t="s">
        <v>6552</v>
      </c>
      <c r="F419" s="894">
        <v>1200</v>
      </c>
      <c r="G419" s="921">
        <v>273468</v>
      </c>
      <c r="H419" s="850"/>
      <c r="I419" s="802" t="s">
        <v>14586</v>
      </c>
      <c r="L419" s="5"/>
    </row>
    <row r="420" spans="1:12" s="59" customFormat="1" ht="33.75" x14ac:dyDescent="0.2">
      <c r="A420" s="804" t="s">
        <v>7045</v>
      </c>
      <c r="B420" s="804" t="s">
        <v>5990</v>
      </c>
      <c r="C420" s="913" t="s">
        <v>8609</v>
      </c>
      <c r="D420" s="804" t="s">
        <v>7070</v>
      </c>
      <c r="E420" s="804" t="s">
        <v>6552</v>
      </c>
      <c r="F420" s="62">
        <v>1200</v>
      </c>
      <c r="G420" s="55">
        <v>273468</v>
      </c>
      <c r="H420" s="804"/>
      <c r="I420" s="802" t="s">
        <v>14586</v>
      </c>
      <c r="L420" s="5"/>
    </row>
    <row r="421" spans="1:12" s="59" customFormat="1" ht="33.75" x14ac:dyDescent="0.2">
      <c r="A421" s="804" t="s">
        <v>7046</v>
      </c>
      <c r="B421" s="804" t="s">
        <v>5990</v>
      </c>
      <c r="C421" s="913" t="s">
        <v>8610</v>
      </c>
      <c r="D421" s="804" t="s">
        <v>7071</v>
      </c>
      <c r="E421" s="804" t="s">
        <v>6552</v>
      </c>
      <c r="F421" s="62">
        <v>1200</v>
      </c>
      <c r="G421" s="55">
        <v>273468</v>
      </c>
      <c r="H421" s="804"/>
      <c r="I421" s="802" t="s">
        <v>14586</v>
      </c>
      <c r="L421" s="5"/>
    </row>
    <row r="422" spans="1:12" s="59" customFormat="1" ht="33.75" x14ac:dyDescent="0.2">
      <c r="A422" s="804" t="s">
        <v>7047</v>
      </c>
      <c r="B422" s="804" t="s">
        <v>5990</v>
      </c>
      <c r="C422" s="913" t="s">
        <v>8611</v>
      </c>
      <c r="D422" s="804" t="s">
        <v>7072</v>
      </c>
      <c r="E422" s="804" t="s">
        <v>6552</v>
      </c>
      <c r="F422" s="62">
        <v>1200</v>
      </c>
      <c r="G422" s="55">
        <v>273468</v>
      </c>
      <c r="H422" s="804"/>
      <c r="I422" s="802" t="s">
        <v>14586</v>
      </c>
      <c r="L422" s="5"/>
    </row>
    <row r="423" spans="1:12" s="59" customFormat="1" ht="33.75" x14ac:dyDescent="0.2">
      <c r="A423" s="804" t="s">
        <v>7048</v>
      </c>
      <c r="B423" s="804" t="s">
        <v>5990</v>
      </c>
      <c r="C423" s="913" t="s">
        <v>8612</v>
      </c>
      <c r="D423" s="804" t="s">
        <v>7062</v>
      </c>
      <c r="E423" s="804" t="s">
        <v>6552</v>
      </c>
      <c r="F423" s="62">
        <v>1200</v>
      </c>
      <c r="G423" s="55">
        <v>273468</v>
      </c>
      <c r="H423" s="804"/>
      <c r="I423" s="802" t="s">
        <v>14586</v>
      </c>
      <c r="L423" s="5"/>
    </row>
    <row r="424" spans="1:12" s="59" customFormat="1" ht="33.75" x14ac:dyDescent="0.2">
      <c r="A424" s="804" t="s">
        <v>7049</v>
      </c>
      <c r="B424" s="804" t="s">
        <v>5990</v>
      </c>
      <c r="C424" s="913" t="s">
        <v>8613</v>
      </c>
      <c r="D424" s="804" t="s">
        <v>7073</v>
      </c>
      <c r="E424" s="804" t="s">
        <v>6552</v>
      </c>
      <c r="F424" s="62">
        <v>1200</v>
      </c>
      <c r="G424" s="55">
        <v>273468</v>
      </c>
      <c r="H424" s="804"/>
      <c r="I424" s="802" t="s">
        <v>14586</v>
      </c>
      <c r="L424" s="5"/>
    </row>
    <row r="425" spans="1:12" s="59" customFormat="1" ht="33.75" x14ac:dyDescent="0.2">
      <c r="A425" s="804" t="s">
        <v>7050</v>
      </c>
      <c r="B425" s="804" t="s">
        <v>5990</v>
      </c>
      <c r="C425" s="913" t="s">
        <v>8614</v>
      </c>
      <c r="D425" s="804" t="s">
        <v>7074</v>
      </c>
      <c r="E425" s="804" t="s">
        <v>6552</v>
      </c>
      <c r="F425" s="62">
        <v>1200</v>
      </c>
      <c r="G425" s="55">
        <v>279012</v>
      </c>
      <c r="H425" s="804"/>
      <c r="I425" s="802" t="s">
        <v>14586</v>
      </c>
      <c r="L425" s="5"/>
    </row>
    <row r="426" spans="1:12" s="59" customFormat="1" ht="33.75" x14ac:dyDescent="0.2">
      <c r="A426" s="804" t="s">
        <v>7051</v>
      </c>
      <c r="B426" s="804" t="s">
        <v>5990</v>
      </c>
      <c r="C426" s="913" t="s">
        <v>8615</v>
      </c>
      <c r="D426" s="804" t="s">
        <v>7097</v>
      </c>
      <c r="E426" s="804" t="s">
        <v>6552</v>
      </c>
      <c r="F426" s="62">
        <v>1200</v>
      </c>
      <c r="G426" s="55">
        <v>279012</v>
      </c>
      <c r="H426" s="804"/>
      <c r="I426" s="802" t="s">
        <v>14586</v>
      </c>
      <c r="L426" s="5"/>
    </row>
    <row r="427" spans="1:12" s="59" customFormat="1" ht="33.75" x14ac:dyDescent="0.2">
      <c r="A427" s="804" t="s">
        <v>7052</v>
      </c>
      <c r="B427" s="804" t="s">
        <v>5990</v>
      </c>
      <c r="C427" s="913" t="s">
        <v>8616</v>
      </c>
      <c r="D427" s="804" t="s">
        <v>7098</v>
      </c>
      <c r="E427" s="804" t="s">
        <v>6552</v>
      </c>
      <c r="F427" s="62">
        <v>1200</v>
      </c>
      <c r="G427" s="55">
        <v>279012</v>
      </c>
      <c r="H427" s="804"/>
      <c r="I427" s="802" t="s">
        <v>14586</v>
      </c>
      <c r="L427" s="5"/>
    </row>
    <row r="428" spans="1:12" s="59" customFormat="1" ht="33.75" x14ac:dyDescent="0.2">
      <c r="A428" s="804" t="s">
        <v>7053</v>
      </c>
      <c r="B428" s="804" t="s">
        <v>5990</v>
      </c>
      <c r="C428" s="913" t="s">
        <v>8617</v>
      </c>
      <c r="D428" s="804" t="s">
        <v>7099</v>
      </c>
      <c r="E428" s="804" t="s">
        <v>6552</v>
      </c>
      <c r="F428" s="62">
        <v>1200</v>
      </c>
      <c r="G428" s="55">
        <v>279012</v>
      </c>
      <c r="H428" s="804"/>
      <c r="I428" s="802" t="s">
        <v>14586</v>
      </c>
      <c r="L428" s="5"/>
    </row>
    <row r="429" spans="1:12" s="59" customFormat="1" ht="33.75" x14ac:dyDescent="0.2">
      <c r="A429" s="804" t="s">
        <v>7054</v>
      </c>
      <c r="B429" s="804" t="s">
        <v>5990</v>
      </c>
      <c r="C429" s="913" t="s">
        <v>8618</v>
      </c>
      <c r="D429" s="804" t="s">
        <v>7100</v>
      </c>
      <c r="E429" s="804" t="s">
        <v>6552</v>
      </c>
      <c r="F429" s="62">
        <v>1200</v>
      </c>
      <c r="G429" s="55">
        <v>279012</v>
      </c>
      <c r="H429" s="804"/>
      <c r="I429" s="802" t="s">
        <v>14586</v>
      </c>
      <c r="L429" s="5"/>
    </row>
    <row r="430" spans="1:12" s="59" customFormat="1" ht="33.75" x14ac:dyDescent="0.2">
      <c r="A430" s="804" t="s">
        <v>7055</v>
      </c>
      <c r="B430" s="804" t="s">
        <v>5990</v>
      </c>
      <c r="C430" s="913" t="s">
        <v>8619</v>
      </c>
      <c r="D430" s="804" t="s">
        <v>7075</v>
      </c>
      <c r="E430" s="804" t="s">
        <v>6552</v>
      </c>
      <c r="F430" s="62">
        <v>1200</v>
      </c>
      <c r="G430" s="55">
        <v>279012</v>
      </c>
      <c r="H430" s="804"/>
      <c r="I430" s="802" t="s">
        <v>14586</v>
      </c>
      <c r="L430" s="5"/>
    </row>
    <row r="431" spans="1:12" s="59" customFormat="1" ht="33.75" x14ac:dyDescent="0.2">
      <c r="A431" s="804" t="s">
        <v>7056</v>
      </c>
      <c r="B431" s="804" t="s">
        <v>5990</v>
      </c>
      <c r="C431" s="913" t="s">
        <v>8620</v>
      </c>
      <c r="D431" s="804" t="s">
        <v>7076</v>
      </c>
      <c r="E431" s="804" t="s">
        <v>6552</v>
      </c>
      <c r="F431" s="62">
        <v>1200</v>
      </c>
      <c r="G431" s="55">
        <v>279012</v>
      </c>
      <c r="H431" s="804"/>
      <c r="I431" s="802" t="s">
        <v>14586</v>
      </c>
      <c r="L431" s="5"/>
    </row>
    <row r="432" spans="1:12" s="59" customFormat="1" ht="33.75" x14ac:dyDescent="0.2">
      <c r="A432" s="804" t="s">
        <v>7057</v>
      </c>
      <c r="B432" s="804" t="s">
        <v>5990</v>
      </c>
      <c r="C432" s="913" t="s">
        <v>8621</v>
      </c>
      <c r="D432" s="804" t="s">
        <v>7101</v>
      </c>
      <c r="E432" s="804" t="s">
        <v>6552</v>
      </c>
      <c r="F432" s="62">
        <v>1200</v>
      </c>
      <c r="G432" s="55">
        <v>279012</v>
      </c>
      <c r="H432" s="804"/>
      <c r="I432" s="802" t="s">
        <v>14586</v>
      </c>
      <c r="L432" s="5"/>
    </row>
    <row r="433" spans="1:12" s="59" customFormat="1" ht="33.75" x14ac:dyDescent="0.2">
      <c r="A433" s="804" t="s">
        <v>7081</v>
      </c>
      <c r="B433" s="804" t="s">
        <v>5990</v>
      </c>
      <c r="C433" s="913" t="s">
        <v>8622</v>
      </c>
      <c r="D433" s="804" t="s">
        <v>7077</v>
      </c>
      <c r="E433" s="804" t="s">
        <v>6552</v>
      </c>
      <c r="F433" s="62">
        <v>1200</v>
      </c>
      <c r="G433" s="55">
        <v>279012</v>
      </c>
      <c r="H433" s="804"/>
      <c r="I433" s="802" t="s">
        <v>14586</v>
      </c>
      <c r="L433" s="5"/>
    </row>
    <row r="434" spans="1:12" s="59" customFormat="1" ht="33.75" x14ac:dyDescent="0.2">
      <c r="A434" s="804" t="s">
        <v>7082</v>
      </c>
      <c r="B434" s="804" t="s">
        <v>5990</v>
      </c>
      <c r="C434" s="913" t="s">
        <v>14457</v>
      </c>
      <c r="D434" s="804" t="s">
        <v>7078</v>
      </c>
      <c r="E434" s="804" t="s">
        <v>6552</v>
      </c>
      <c r="F434" s="62">
        <v>1200</v>
      </c>
      <c r="G434" s="55">
        <v>279012</v>
      </c>
      <c r="H434" s="804"/>
      <c r="I434" s="802" t="s">
        <v>14586</v>
      </c>
      <c r="L434" s="5"/>
    </row>
    <row r="435" spans="1:12" s="59" customFormat="1" ht="33.75" x14ac:dyDescent="0.2">
      <c r="A435" s="804" t="s">
        <v>7083</v>
      </c>
      <c r="B435" s="804" t="s">
        <v>5990</v>
      </c>
      <c r="C435" s="913" t="s">
        <v>8623</v>
      </c>
      <c r="D435" s="804" t="s">
        <v>7102</v>
      </c>
      <c r="E435" s="804" t="s">
        <v>6552</v>
      </c>
      <c r="F435" s="62">
        <v>1200</v>
      </c>
      <c r="G435" s="55">
        <v>273468</v>
      </c>
      <c r="H435" s="804"/>
      <c r="I435" s="802" t="s">
        <v>14586</v>
      </c>
      <c r="L435" s="5"/>
    </row>
    <row r="436" spans="1:12" s="59" customFormat="1" ht="33.75" x14ac:dyDescent="0.2">
      <c r="A436" s="804" t="s">
        <v>7084</v>
      </c>
      <c r="B436" s="804" t="s">
        <v>5990</v>
      </c>
      <c r="C436" s="913" t="s">
        <v>8624</v>
      </c>
      <c r="D436" s="804" t="s">
        <v>7103</v>
      </c>
      <c r="E436" s="804" t="s">
        <v>6552</v>
      </c>
      <c r="F436" s="62">
        <v>1200</v>
      </c>
      <c r="G436" s="55">
        <v>279012</v>
      </c>
      <c r="H436" s="804"/>
      <c r="I436" s="802" t="s">
        <v>14586</v>
      </c>
      <c r="L436" s="5"/>
    </row>
    <row r="437" spans="1:12" s="59" customFormat="1" ht="33.75" x14ac:dyDescent="0.2">
      <c r="A437" s="804" t="s">
        <v>7107</v>
      </c>
      <c r="B437" s="804" t="s">
        <v>5990</v>
      </c>
      <c r="C437" s="913" t="s">
        <v>8625</v>
      </c>
      <c r="D437" s="804" t="s">
        <v>7104</v>
      </c>
      <c r="E437" s="804" t="s">
        <v>6552</v>
      </c>
      <c r="F437" s="62">
        <v>1200</v>
      </c>
      <c r="G437" s="55">
        <v>279012</v>
      </c>
      <c r="H437" s="804"/>
      <c r="I437" s="802" t="s">
        <v>14586</v>
      </c>
      <c r="L437" s="5"/>
    </row>
    <row r="438" spans="1:12" s="59" customFormat="1" ht="33.75" x14ac:dyDescent="0.2">
      <c r="A438" s="804" t="s">
        <v>7108</v>
      </c>
      <c r="B438" s="804" t="s">
        <v>5990</v>
      </c>
      <c r="C438" s="913" t="s">
        <v>8626</v>
      </c>
      <c r="D438" s="804" t="s">
        <v>7105</v>
      </c>
      <c r="E438" s="804" t="s">
        <v>6552</v>
      </c>
      <c r="F438" s="62">
        <v>1200</v>
      </c>
      <c r="G438" s="55">
        <v>279012</v>
      </c>
      <c r="H438" s="804"/>
      <c r="I438" s="802" t="s">
        <v>14586</v>
      </c>
      <c r="L438" s="5"/>
    </row>
    <row r="439" spans="1:12" s="59" customFormat="1" ht="33.75" x14ac:dyDescent="0.2">
      <c r="A439" s="804" t="s">
        <v>7109</v>
      </c>
      <c r="B439" s="804" t="s">
        <v>5990</v>
      </c>
      <c r="C439" s="913" t="s">
        <v>8627</v>
      </c>
      <c r="D439" s="804" t="s">
        <v>7106</v>
      </c>
      <c r="E439" s="804" t="s">
        <v>6552</v>
      </c>
      <c r="F439" s="62">
        <v>1200</v>
      </c>
      <c r="G439" s="55">
        <v>279012</v>
      </c>
      <c r="H439" s="804"/>
      <c r="I439" s="802" t="s">
        <v>14586</v>
      </c>
      <c r="L439" s="5"/>
    </row>
    <row r="440" spans="1:12" s="59" customFormat="1" ht="33.75" x14ac:dyDescent="0.2">
      <c r="A440" s="804" t="s">
        <v>7110</v>
      </c>
      <c r="B440" s="804" t="s">
        <v>5990</v>
      </c>
      <c r="C440" s="913" t="s">
        <v>8628</v>
      </c>
      <c r="D440" s="804" t="s">
        <v>7128</v>
      </c>
      <c r="E440" s="804" t="s">
        <v>6552</v>
      </c>
      <c r="F440" s="62">
        <v>1200</v>
      </c>
      <c r="G440" s="55">
        <v>279012</v>
      </c>
      <c r="H440" s="804"/>
      <c r="I440" s="802" t="s">
        <v>14586</v>
      </c>
      <c r="L440" s="5"/>
    </row>
    <row r="441" spans="1:12" s="59" customFormat="1" ht="33.75" x14ac:dyDescent="0.2">
      <c r="A441" s="804" t="s">
        <v>7111</v>
      </c>
      <c r="B441" s="804" t="s">
        <v>5990</v>
      </c>
      <c r="C441" s="913" t="s">
        <v>8629</v>
      </c>
      <c r="D441" s="804" t="s">
        <v>7115</v>
      </c>
      <c r="E441" s="804" t="s">
        <v>6552</v>
      </c>
      <c r="F441" s="62">
        <v>1200</v>
      </c>
      <c r="G441" s="55">
        <v>279012</v>
      </c>
      <c r="H441" s="804"/>
      <c r="I441" s="802" t="s">
        <v>14586</v>
      </c>
      <c r="L441" s="5"/>
    </row>
    <row r="442" spans="1:12" s="59" customFormat="1" ht="33.75" x14ac:dyDescent="0.2">
      <c r="A442" s="804" t="s">
        <v>7112</v>
      </c>
      <c r="B442" s="804" t="s">
        <v>5990</v>
      </c>
      <c r="C442" s="913" t="s">
        <v>8630</v>
      </c>
      <c r="D442" s="804" t="s">
        <v>7116</v>
      </c>
      <c r="E442" s="804" t="s">
        <v>6552</v>
      </c>
      <c r="F442" s="62">
        <v>1200</v>
      </c>
      <c r="G442" s="55">
        <v>316446.11</v>
      </c>
      <c r="H442" s="804"/>
      <c r="I442" s="802" t="s">
        <v>14586</v>
      </c>
      <c r="L442" s="5"/>
    </row>
    <row r="443" spans="1:12" s="59" customFormat="1" ht="33.75" x14ac:dyDescent="0.2">
      <c r="A443" s="804" t="s">
        <v>7113</v>
      </c>
      <c r="B443" s="804" t="s">
        <v>5990</v>
      </c>
      <c r="C443" s="913" t="s">
        <v>8631</v>
      </c>
      <c r="D443" s="804" t="s">
        <v>7117</v>
      </c>
      <c r="E443" s="804" t="s">
        <v>6552</v>
      </c>
      <c r="F443" s="62">
        <v>1200</v>
      </c>
      <c r="G443" s="55">
        <v>279012</v>
      </c>
      <c r="H443" s="804"/>
      <c r="I443" s="802" t="s">
        <v>14586</v>
      </c>
      <c r="L443" s="5"/>
    </row>
    <row r="444" spans="1:12" s="59" customFormat="1" ht="33.75" x14ac:dyDescent="0.2">
      <c r="A444" s="804" t="s">
        <v>7114</v>
      </c>
      <c r="B444" s="804" t="s">
        <v>5990</v>
      </c>
      <c r="C444" s="913" t="s">
        <v>8632</v>
      </c>
      <c r="D444" s="804" t="s">
        <v>7118</v>
      </c>
      <c r="E444" s="804" t="s">
        <v>6552</v>
      </c>
      <c r="F444" s="62">
        <v>1200</v>
      </c>
      <c r="G444" s="55">
        <v>279012</v>
      </c>
      <c r="H444" s="804"/>
      <c r="I444" s="802" t="s">
        <v>14586</v>
      </c>
      <c r="L444" s="5"/>
    </row>
    <row r="445" spans="1:12" s="59" customFormat="1" ht="33.75" x14ac:dyDescent="0.2">
      <c r="A445" s="804" t="s">
        <v>7119</v>
      </c>
      <c r="B445" s="804" t="s">
        <v>5990</v>
      </c>
      <c r="C445" s="913" t="s">
        <v>8633</v>
      </c>
      <c r="D445" s="804" t="s">
        <v>7129</v>
      </c>
      <c r="E445" s="804" t="s">
        <v>6552</v>
      </c>
      <c r="F445" s="62">
        <v>1200</v>
      </c>
      <c r="G445" s="55">
        <v>279012</v>
      </c>
      <c r="H445" s="804"/>
      <c r="I445" s="802" t="s">
        <v>14586</v>
      </c>
      <c r="L445" s="5"/>
    </row>
    <row r="446" spans="1:12" s="59" customFormat="1" ht="33.75" x14ac:dyDescent="0.2">
      <c r="A446" s="804" t="s">
        <v>7120</v>
      </c>
      <c r="B446" s="804" t="s">
        <v>5990</v>
      </c>
      <c r="C446" s="913" t="s">
        <v>8634</v>
      </c>
      <c r="D446" s="804" t="s">
        <v>7130</v>
      </c>
      <c r="E446" s="804" t="s">
        <v>6552</v>
      </c>
      <c r="F446" s="62">
        <v>1200</v>
      </c>
      <c r="G446" s="55">
        <v>273468</v>
      </c>
      <c r="H446" s="804"/>
      <c r="I446" s="802" t="s">
        <v>14586</v>
      </c>
      <c r="L446" s="5"/>
    </row>
    <row r="447" spans="1:12" s="59" customFormat="1" ht="33.75" x14ac:dyDescent="0.2">
      <c r="A447" s="804" t="s">
        <v>7121</v>
      </c>
      <c r="B447" s="804" t="s">
        <v>5990</v>
      </c>
      <c r="C447" s="913" t="s">
        <v>8635</v>
      </c>
      <c r="D447" s="804" t="s">
        <v>7131</v>
      </c>
      <c r="E447" s="804" t="s">
        <v>6552</v>
      </c>
      <c r="F447" s="62">
        <v>1200</v>
      </c>
      <c r="G447" s="55">
        <v>273468</v>
      </c>
      <c r="H447" s="804"/>
      <c r="I447" s="802" t="s">
        <v>14586</v>
      </c>
      <c r="L447" s="5"/>
    </row>
    <row r="448" spans="1:12" s="59" customFormat="1" ht="33.75" x14ac:dyDescent="0.2">
      <c r="A448" s="804" t="s">
        <v>7122</v>
      </c>
      <c r="B448" s="804" t="s">
        <v>5990</v>
      </c>
      <c r="C448" s="913" t="s">
        <v>8636</v>
      </c>
      <c r="D448" s="804" t="s">
        <v>7133</v>
      </c>
      <c r="E448" s="804" t="s">
        <v>6552</v>
      </c>
      <c r="F448" s="62">
        <v>1200</v>
      </c>
      <c r="G448" s="55">
        <v>273468</v>
      </c>
      <c r="H448" s="804"/>
      <c r="I448" s="802" t="s">
        <v>14586</v>
      </c>
      <c r="L448" s="5"/>
    </row>
    <row r="449" spans="1:12" s="59" customFormat="1" ht="33.75" x14ac:dyDescent="0.2">
      <c r="A449" s="804" t="s">
        <v>7123</v>
      </c>
      <c r="B449" s="804" t="s">
        <v>5990</v>
      </c>
      <c r="C449" s="913" t="s">
        <v>8637</v>
      </c>
      <c r="D449" s="804" t="s">
        <v>7134</v>
      </c>
      <c r="E449" s="804" t="s">
        <v>6552</v>
      </c>
      <c r="F449" s="62">
        <v>1200</v>
      </c>
      <c r="G449" s="55">
        <v>273468</v>
      </c>
      <c r="H449" s="804"/>
      <c r="I449" s="802" t="s">
        <v>14586</v>
      </c>
      <c r="L449" s="5"/>
    </row>
    <row r="450" spans="1:12" s="59" customFormat="1" ht="33.75" x14ac:dyDescent="0.2">
      <c r="A450" s="804" t="s">
        <v>7124</v>
      </c>
      <c r="B450" s="804" t="s">
        <v>5990</v>
      </c>
      <c r="C450" s="913" t="s">
        <v>8638</v>
      </c>
      <c r="D450" s="804" t="s">
        <v>7132</v>
      </c>
      <c r="E450" s="804" t="s">
        <v>6552</v>
      </c>
      <c r="F450" s="62">
        <v>1200</v>
      </c>
      <c r="G450" s="55">
        <v>273468</v>
      </c>
      <c r="H450" s="804"/>
      <c r="I450" s="802" t="s">
        <v>14586</v>
      </c>
      <c r="L450" s="5"/>
    </row>
    <row r="451" spans="1:12" s="59" customFormat="1" ht="33.75" x14ac:dyDescent="0.2">
      <c r="A451" s="804" t="s">
        <v>7125</v>
      </c>
      <c r="B451" s="804" t="s">
        <v>5990</v>
      </c>
      <c r="C451" s="913" t="s">
        <v>8639</v>
      </c>
      <c r="D451" s="804" t="s">
        <v>7135</v>
      </c>
      <c r="E451" s="804" t="s">
        <v>6552</v>
      </c>
      <c r="F451" s="62">
        <v>1200</v>
      </c>
      <c r="G451" s="55">
        <v>273468</v>
      </c>
      <c r="H451" s="804"/>
      <c r="I451" s="802" t="s">
        <v>14586</v>
      </c>
      <c r="L451" s="5"/>
    </row>
    <row r="452" spans="1:12" s="59" customFormat="1" ht="33.75" x14ac:dyDescent="0.2">
      <c r="A452" s="804" t="s">
        <v>7126</v>
      </c>
      <c r="B452" s="804" t="s">
        <v>5990</v>
      </c>
      <c r="C452" s="913" t="s">
        <v>8775</v>
      </c>
      <c r="D452" s="804" t="s">
        <v>7136</v>
      </c>
      <c r="E452" s="804" t="s">
        <v>6552</v>
      </c>
      <c r="F452" s="62">
        <v>1200</v>
      </c>
      <c r="G452" s="55">
        <v>273468</v>
      </c>
      <c r="H452" s="804"/>
      <c r="I452" s="802" t="s">
        <v>14586</v>
      </c>
      <c r="L452" s="5"/>
    </row>
    <row r="453" spans="1:12" s="59" customFormat="1" ht="33.75" x14ac:dyDescent="0.2">
      <c r="A453" s="804" t="s">
        <v>7127</v>
      </c>
      <c r="B453" s="804" t="s">
        <v>5990</v>
      </c>
      <c r="C453" s="913" t="s">
        <v>8776</v>
      </c>
      <c r="D453" s="804" t="s">
        <v>7137</v>
      </c>
      <c r="E453" s="804" t="s">
        <v>6552</v>
      </c>
      <c r="F453" s="62">
        <v>1200</v>
      </c>
      <c r="G453" s="55">
        <v>273468</v>
      </c>
      <c r="H453" s="804"/>
      <c r="I453" s="802" t="s">
        <v>14586</v>
      </c>
      <c r="L453" s="5"/>
    </row>
    <row r="454" spans="1:12" s="59" customFormat="1" ht="33.75" x14ac:dyDescent="0.2">
      <c r="A454" s="804" t="s">
        <v>7146</v>
      </c>
      <c r="B454" s="804" t="s">
        <v>5990</v>
      </c>
      <c r="C454" s="913" t="s">
        <v>8777</v>
      </c>
      <c r="D454" s="804" t="s">
        <v>7138</v>
      </c>
      <c r="E454" s="804" t="s">
        <v>6552</v>
      </c>
      <c r="F454" s="62">
        <v>1200</v>
      </c>
      <c r="G454" s="55">
        <v>273468</v>
      </c>
      <c r="H454" s="804"/>
      <c r="I454" s="802" t="s">
        <v>14586</v>
      </c>
      <c r="L454" s="5"/>
    </row>
    <row r="455" spans="1:12" s="59" customFormat="1" ht="33.75" x14ac:dyDescent="0.2">
      <c r="A455" s="804" t="s">
        <v>7147</v>
      </c>
      <c r="B455" s="804" t="s">
        <v>5990</v>
      </c>
      <c r="C455" s="913" t="s">
        <v>8778</v>
      </c>
      <c r="D455" s="804" t="s">
        <v>7140</v>
      </c>
      <c r="E455" s="804" t="s">
        <v>6552</v>
      </c>
      <c r="F455" s="62">
        <v>1200</v>
      </c>
      <c r="G455" s="55">
        <v>273468</v>
      </c>
      <c r="H455" s="804"/>
      <c r="I455" s="802" t="s">
        <v>14586</v>
      </c>
      <c r="L455" s="5"/>
    </row>
    <row r="456" spans="1:12" s="59" customFormat="1" ht="33.75" x14ac:dyDescent="0.2">
      <c r="A456" s="804" t="s">
        <v>7148</v>
      </c>
      <c r="B456" s="804" t="s">
        <v>5990</v>
      </c>
      <c r="C456" s="913" t="s">
        <v>8779</v>
      </c>
      <c r="D456" s="804" t="s">
        <v>7141</v>
      </c>
      <c r="E456" s="804" t="s">
        <v>6552</v>
      </c>
      <c r="F456" s="62">
        <v>1200</v>
      </c>
      <c r="G456" s="55">
        <v>273468</v>
      </c>
      <c r="H456" s="804"/>
      <c r="I456" s="802" t="s">
        <v>14586</v>
      </c>
      <c r="L456" s="5"/>
    </row>
    <row r="457" spans="1:12" s="59" customFormat="1" ht="33.75" x14ac:dyDescent="0.2">
      <c r="A457" s="804" t="s">
        <v>7149</v>
      </c>
      <c r="B457" s="804" t="s">
        <v>5990</v>
      </c>
      <c r="C457" s="913" t="s">
        <v>8780</v>
      </c>
      <c r="D457" s="804" t="s">
        <v>7142</v>
      </c>
      <c r="E457" s="804" t="s">
        <v>6552</v>
      </c>
      <c r="F457" s="62">
        <v>1200</v>
      </c>
      <c r="G457" s="55">
        <v>273468</v>
      </c>
      <c r="H457" s="804"/>
      <c r="I457" s="802" t="s">
        <v>14586</v>
      </c>
      <c r="L457" s="5"/>
    </row>
    <row r="458" spans="1:12" s="59" customFormat="1" ht="33.75" x14ac:dyDescent="0.2">
      <c r="A458" s="804" t="s">
        <v>7150</v>
      </c>
      <c r="B458" s="804" t="s">
        <v>5990</v>
      </c>
      <c r="C458" s="913" t="s">
        <v>8781</v>
      </c>
      <c r="D458" s="804" t="s">
        <v>7143</v>
      </c>
      <c r="E458" s="804" t="s">
        <v>6552</v>
      </c>
      <c r="F458" s="62">
        <v>1200</v>
      </c>
      <c r="G458" s="55">
        <v>273468</v>
      </c>
      <c r="H458" s="804"/>
      <c r="I458" s="802" t="s">
        <v>14586</v>
      </c>
      <c r="L458" s="5"/>
    </row>
    <row r="459" spans="1:12" s="59" customFormat="1" ht="33.75" x14ac:dyDescent="0.2">
      <c r="A459" s="804" t="s">
        <v>7151</v>
      </c>
      <c r="B459" s="804" t="s">
        <v>5990</v>
      </c>
      <c r="C459" s="913" t="s">
        <v>8782</v>
      </c>
      <c r="D459" s="804" t="s">
        <v>7144</v>
      </c>
      <c r="E459" s="804" t="s">
        <v>6552</v>
      </c>
      <c r="F459" s="62">
        <v>1200</v>
      </c>
      <c r="G459" s="55">
        <v>273468</v>
      </c>
      <c r="H459" s="804"/>
      <c r="I459" s="802" t="s">
        <v>14586</v>
      </c>
      <c r="L459" s="5"/>
    </row>
    <row r="460" spans="1:12" s="59" customFormat="1" ht="33.75" x14ac:dyDescent="0.2">
      <c r="A460" s="804" t="s">
        <v>7152</v>
      </c>
      <c r="B460" s="804" t="s">
        <v>5990</v>
      </c>
      <c r="C460" s="913" t="s">
        <v>8783</v>
      </c>
      <c r="D460" s="804" t="s">
        <v>7139</v>
      </c>
      <c r="E460" s="804" t="s">
        <v>6552</v>
      </c>
      <c r="F460" s="62">
        <v>1200</v>
      </c>
      <c r="G460" s="55">
        <v>273468</v>
      </c>
      <c r="H460" s="804"/>
      <c r="I460" s="802" t="s">
        <v>14586</v>
      </c>
      <c r="L460" s="5"/>
    </row>
    <row r="461" spans="1:12" s="59" customFormat="1" ht="33.75" x14ac:dyDescent="0.2">
      <c r="A461" s="804" t="s">
        <v>7153</v>
      </c>
      <c r="B461" s="804" t="s">
        <v>5990</v>
      </c>
      <c r="C461" s="913" t="s">
        <v>8784</v>
      </c>
      <c r="D461" s="804" t="s">
        <v>7145</v>
      </c>
      <c r="E461" s="804" t="s">
        <v>6552</v>
      </c>
      <c r="F461" s="62">
        <v>1200</v>
      </c>
      <c r="G461" s="55">
        <v>273468</v>
      </c>
      <c r="H461" s="804"/>
      <c r="I461" s="802" t="s">
        <v>14586</v>
      </c>
      <c r="L461" s="5"/>
    </row>
    <row r="462" spans="1:12" s="59" customFormat="1" ht="33.75" x14ac:dyDescent="0.2">
      <c r="A462" s="804" t="s">
        <v>7154</v>
      </c>
      <c r="B462" s="804" t="s">
        <v>5990</v>
      </c>
      <c r="C462" s="913" t="s">
        <v>8785</v>
      </c>
      <c r="D462" s="804" t="s">
        <v>7175</v>
      </c>
      <c r="E462" s="804" t="s">
        <v>6552</v>
      </c>
      <c r="F462" s="62">
        <v>1200</v>
      </c>
      <c r="G462" s="55">
        <v>279012</v>
      </c>
      <c r="H462" s="804"/>
      <c r="I462" s="802" t="s">
        <v>14586</v>
      </c>
      <c r="L462" s="5"/>
    </row>
    <row r="463" spans="1:12" s="59" customFormat="1" ht="33.75" x14ac:dyDescent="0.2">
      <c r="A463" s="804" t="s">
        <v>7155</v>
      </c>
      <c r="B463" s="804" t="s">
        <v>5990</v>
      </c>
      <c r="C463" s="913" t="s">
        <v>8786</v>
      </c>
      <c r="D463" s="804" t="s">
        <v>7177</v>
      </c>
      <c r="E463" s="804" t="s">
        <v>6552</v>
      </c>
      <c r="F463" s="62">
        <v>1200</v>
      </c>
      <c r="G463" s="55">
        <v>279012</v>
      </c>
      <c r="H463" s="804"/>
      <c r="I463" s="802" t="s">
        <v>14586</v>
      </c>
      <c r="L463" s="5"/>
    </row>
    <row r="464" spans="1:12" s="59" customFormat="1" ht="33.75" x14ac:dyDescent="0.2">
      <c r="A464" s="804" t="s">
        <v>7156</v>
      </c>
      <c r="B464" s="804" t="s">
        <v>5990</v>
      </c>
      <c r="C464" s="913" t="s">
        <v>8787</v>
      </c>
      <c r="D464" s="804" t="s">
        <v>7178</v>
      </c>
      <c r="E464" s="804" t="s">
        <v>6552</v>
      </c>
      <c r="F464" s="62">
        <v>1200</v>
      </c>
      <c r="G464" s="55">
        <v>253900.92</v>
      </c>
      <c r="H464" s="804"/>
      <c r="I464" s="802" t="s">
        <v>14586</v>
      </c>
      <c r="L464" s="5"/>
    </row>
    <row r="465" spans="1:12" s="59" customFormat="1" ht="33.75" x14ac:dyDescent="0.2">
      <c r="A465" s="804" t="s">
        <v>7157</v>
      </c>
      <c r="B465" s="804" t="s">
        <v>5990</v>
      </c>
      <c r="C465" s="913" t="s">
        <v>8788</v>
      </c>
      <c r="D465" s="804" t="s">
        <v>7176</v>
      </c>
      <c r="E465" s="804" t="s">
        <v>6552</v>
      </c>
      <c r="F465" s="62">
        <v>1200</v>
      </c>
      <c r="G465" s="55">
        <v>279012</v>
      </c>
      <c r="H465" s="804"/>
      <c r="I465" s="802" t="s">
        <v>14586</v>
      </c>
      <c r="L465" s="5"/>
    </row>
    <row r="466" spans="1:12" s="59" customFormat="1" ht="33.75" x14ac:dyDescent="0.2">
      <c r="A466" s="804" t="s">
        <v>7158</v>
      </c>
      <c r="B466" s="804" t="s">
        <v>7476</v>
      </c>
      <c r="C466" s="913" t="s">
        <v>8789</v>
      </c>
      <c r="D466" s="804" t="s">
        <v>7195</v>
      </c>
      <c r="E466" s="804" t="s">
        <v>6552</v>
      </c>
      <c r="F466" s="62">
        <v>1200</v>
      </c>
      <c r="G466" s="55">
        <v>273468</v>
      </c>
      <c r="H466" s="804"/>
      <c r="I466" s="802" t="s">
        <v>14586</v>
      </c>
      <c r="L466" s="5"/>
    </row>
    <row r="467" spans="1:12" s="59" customFormat="1" ht="33.75" x14ac:dyDescent="0.2">
      <c r="A467" s="804" t="s">
        <v>7159</v>
      </c>
      <c r="B467" s="804" t="s">
        <v>7476</v>
      </c>
      <c r="C467" s="913" t="s">
        <v>8790</v>
      </c>
      <c r="D467" s="804" t="s">
        <v>7196</v>
      </c>
      <c r="E467" s="804" t="s">
        <v>6552</v>
      </c>
      <c r="F467" s="62">
        <v>1200</v>
      </c>
      <c r="G467" s="55">
        <v>279012</v>
      </c>
      <c r="H467" s="804"/>
      <c r="I467" s="802" t="s">
        <v>14586</v>
      </c>
      <c r="L467" s="5"/>
    </row>
    <row r="468" spans="1:12" s="59" customFormat="1" ht="33.75" x14ac:dyDescent="0.2">
      <c r="A468" s="804" t="s">
        <v>7160</v>
      </c>
      <c r="B468" s="804" t="s">
        <v>7476</v>
      </c>
      <c r="C468" s="913" t="s">
        <v>8791</v>
      </c>
      <c r="D468" s="804" t="s">
        <v>7197</v>
      </c>
      <c r="E468" s="804" t="s">
        <v>6552</v>
      </c>
      <c r="F468" s="62">
        <v>1200</v>
      </c>
      <c r="G468" s="55">
        <v>279012</v>
      </c>
      <c r="H468" s="804"/>
      <c r="I468" s="802" t="s">
        <v>14586</v>
      </c>
      <c r="L468" s="5"/>
    </row>
    <row r="469" spans="1:12" s="59" customFormat="1" ht="33.75" x14ac:dyDescent="0.2">
      <c r="A469" s="804" t="s">
        <v>7161</v>
      </c>
      <c r="B469" s="804" t="s">
        <v>7476</v>
      </c>
      <c r="C469" s="913" t="s">
        <v>8792</v>
      </c>
      <c r="D469" s="804" t="s">
        <v>7170</v>
      </c>
      <c r="E469" s="804" t="s">
        <v>6552</v>
      </c>
      <c r="F469" s="62">
        <v>1200</v>
      </c>
      <c r="G469" s="55">
        <v>279012</v>
      </c>
      <c r="H469" s="804"/>
      <c r="I469" s="802" t="s">
        <v>14586</v>
      </c>
      <c r="L469" s="5"/>
    </row>
    <row r="470" spans="1:12" s="59" customFormat="1" ht="33.75" x14ac:dyDescent="0.2">
      <c r="A470" s="804" t="s">
        <v>7162</v>
      </c>
      <c r="B470" s="804" t="s">
        <v>7476</v>
      </c>
      <c r="C470" s="913" t="s">
        <v>8793</v>
      </c>
      <c r="D470" s="804" t="s">
        <v>7179</v>
      </c>
      <c r="E470" s="804" t="s">
        <v>6552</v>
      </c>
      <c r="F470" s="62">
        <v>1200</v>
      </c>
      <c r="G470" s="55">
        <v>279012</v>
      </c>
      <c r="H470" s="804"/>
      <c r="I470" s="802" t="s">
        <v>14586</v>
      </c>
      <c r="L470" s="5"/>
    </row>
    <row r="471" spans="1:12" s="59" customFormat="1" ht="33.75" x14ac:dyDescent="0.2">
      <c r="A471" s="804" t="s">
        <v>7163</v>
      </c>
      <c r="B471" s="804" t="s">
        <v>7476</v>
      </c>
      <c r="C471" s="913" t="s">
        <v>8794</v>
      </c>
      <c r="D471" s="804" t="s">
        <v>7180</v>
      </c>
      <c r="E471" s="804" t="s">
        <v>6552</v>
      </c>
      <c r="F471" s="62">
        <v>1200</v>
      </c>
      <c r="G471" s="55">
        <v>279012</v>
      </c>
      <c r="H471" s="804"/>
      <c r="I471" s="802" t="s">
        <v>14586</v>
      </c>
      <c r="L471" s="5"/>
    </row>
    <row r="472" spans="1:12" s="59" customFormat="1" ht="33.75" x14ac:dyDescent="0.2">
      <c r="A472" s="804" t="s">
        <v>7164</v>
      </c>
      <c r="B472" s="804" t="s">
        <v>7476</v>
      </c>
      <c r="C472" s="913" t="s">
        <v>9008</v>
      </c>
      <c r="D472" s="804" t="s">
        <v>7171</v>
      </c>
      <c r="E472" s="804" t="s">
        <v>6552</v>
      </c>
      <c r="F472" s="62">
        <v>1200</v>
      </c>
      <c r="G472" s="55">
        <v>279012</v>
      </c>
      <c r="H472" s="804"/>
      <c r="I472" s="802" t="s">
        <v>14586</v>
      </c>
      <c r="L472" s="5"/>
    </row>
    <row r="473" spans="1:12" s="59" customFormat="1" ht="33.75" x14ac:dyDescent="0.2">
      <c r="A473" s="804" t="s">
        <v>7165</v>
      </c>
      <c r="B473" s="804" t="s">
        <v>7476</v>
      </c>
      <c r="C473" s="913" t="s">
        <v>8795</v>
      </c>
      <c r="D473" s="804" t="s">
        <v>7181</v>
      </c>
      <c r="E473" s="804" t="s">
        <v>6552</v>
      </c>
      <c r="F473" s="62">
        <v>1200</v>
      </c>
      <c r="G473" s="55">
        <v>273468</v>
      </c>
      <c r="H473" s="804"/>
      <c r="I473" s="802" t="s">
        <v>14586</v>
      </c>
      <c r="L473" s="5"/>
    </row>
    <row r="474" spans="1:12" s="59" customFormat="1" ht="33.75" x14ac:dyDescent="0.2">
      <c r="A474" s="804" t="s">
        <v>7172</v>
      </c>
      <c r="B474" s="804" t="s">
        <v>7476</v>
      </c>
      <c r="C474" s="913" t="s">
        <v>8796</v>
      </c>
      <c r="D474" s="804" t="s">
        <v>7183</v>
      </c>
      <c r="E474" s="804" t="s">
        <v>6552</v>
      </c>
      <c r="F474" s="62">
        <v>1200</v>
      </c>
      <c r="G474" s="55">
        <v>273468</v>
      </c>
      <c r="H474" s="804"/>
      <c r="I474" s="802" t="s">
        <v>14586</v>
      </c>
      <c r="L474" s="5"/>
    </row>
    <row r="475" spans="1:12" s="59" customFormat="1" ht="33.75" x14ac:dyDescent="0.2">
      <c r="A475" s="804" t="s">
        <v>7173</v>
      </c>
      <c r="B475" s="804" t="s">
        <v>7476</v>
      </c>
      <c r="C475" s="913" t="s">
        <v>8797</v>
      </c>
      <c r="D475" s="804" t="s">
        <v>7182</v>
      </c>
      <c r="E475" s="804" t="s">
        <v>6552</v>
      </c>
      <c r="F475" s="62">
        <v>1200</v>
      </c>
      <c r="G475" s="55">
        <v>273468</v>
      </c>
      <c r="H475" s="804"/>
      <c r="I475" s="802" t="s">
        <v>14586</v>
      </c>
      <c r="L475" s="5"/>
    </row>
    <row r="476" spans="1:12" s="59" customFormat="1" ht="33.75" x14ac:dyDescent="0.2">
      <c r="A476" s="804" t="s">
        <v>7174</v>
      </c>
      <c r="B476" s="804" t="s">
        <v>7476</v>
      </c>
      <c r="C476" s="913" t="s">
        <v>8798</v>
      </c>
      <c r="D476" s="804" t="s">
        <v>7198</v>
      </c>
      <c r="E476" s="804" t="s">
        <v>6552</v>
      </c>
      <c r="F476" s="62">
        <v>1200</v>
      </c>
      <c r="G476" s="55">
        <v>273468</v>
      </c>
      <c r="H476" s="804"/>
      <c r="I476" s="802" t="s">
        <v>14586</v>
      </c>
      <c r="L476" s="5"/>
    </row>
    <row r="477" spans="1:12" s="59" customFormat="1" ht="33.75" x14ac:dyDescent="0.2">
      <c r="A477" s="804" t="s">
        <v>7184</v>
      </c>
      <c r="B477" s="804" t="s">
        <v>7476</v>
      </c>
      <c r="C477" s="913" t="s">
        <v>8799</v>
      </c>
      <c r="D477" s="804" t="s">
        <v>7199</v>
      </c>
      <c r="E477" s="804" t="s">
        <v>6552</v>
      </c>
      <c r="F477" s="62">
        <v>1200</v>
      </c>
      <c r="G477" s="55">
        <v>273468</v>
      </c>
      <c r="H477" s="804"/>
      <c r="I477" s="802" t="s">
        <v>14586</v>
      </c>
      <c r="L477" s="5"/>
    </row>
    <row r="478" spans="1:12" s="59" customFormat="1" ht="33.75" x14ac:dyDescent="0.2">
      <c r="A478" s="804" t="s">
        <v>7185</v>
      </c>
      <c r="B478" s="804" t="s">
        <v>7476</v>
      </c>
      <c r="C478" s="913" t="s">
        <v>8800</v>
      </c>
      <c r="D478" s="804" t="s">
        <v>7201</v>
      </c>
      <c r="E478" s="804" t="s">
        <v>6552</v>
      </c>
      <c r="F478" s="62">
        <v>1200</v>
      </c>
      <c r="G478" s="55">
        <v>273468</v>
      </c>
      <c r="H478" s="804"/>
      <c r="I478" s="802" t="s">
        <v>14586</v>
      </c>
      <c r="L478" s="5"/>
    </row>
    <row r="479" spans="1:12" s="59" customFormat="1" ht="33.75" x14ac:dyDescent="0.2">
      <c r="A479" s="804" t="s">
        <v>7186</v>
      </c>
      <c r="B479" s="804" t="s">
        <v>7476</v>
      </c>
      <c r="C479" s="913" t="s">
        <v>8801</v>
      </c>
      <c r="D479" s="804" t="s">
        <v>7202</v>
      </c>
      <c r="E479" s="804" t="s">
        <v>6552</v>
      </c>
      <c r="F479" s="62">
        <v>1200</v>
      </c>
      <c r="G479" s="55">
        <v>273468</v>
      </c>
      <c r="H479" s="804"/>
      <c r="I479" s="802" t="s">
        <v>14586</v>
      </c>
      <c r="L479" s="5"/>
    </row>
    <row r="480" spans="1:12" s="59" customFormat="1" ht="33.75" x14ac:dyDescent="0.2">
      <c r="A480" s="804" t="s">
        <v>7187</v>
      </c>
      <c r="B480" s="804" t="s">
        <v>7476</v>
      </c>
      <c r="C480" s="913" t="s">
        <v>8802</v>
      </c>
      <c r="D480" s="804" t="s">
        <v>7203</v>
      </c>
      <c r="E480" s="804" t="s">
        <v>6552</v>
      </c>
      <c r="F480" s="62">
        <v>1200</v>
      </c>
      <c r="G480" s="55">
        <v>273468</v>
      </c>
      <c r="H480" s="804"/>
      <c r="I480" s="802" t="s">
        <v>14586</v>
      </c>
      <c r="L480" s="5"/>
    </row>
    <row r="481" spans="1:12" s="59" customFormat="1" ht="33.75" x14ac:dyDescent="0.2">
      <c r="A481" s="804" t="s">
        <v>7188</v>
      </c>
      <c r="B481" s="804" t="s">
        <v>7476</v>
      </c>
      <c r="C481" s="913" t="s">
        <v>8803</v>
      </c>
      <c r="D481" s="804" t="s">
        <v>7204</v>
      </c>
      <c r="E481" s="804" t="s">
        <v>6552</v>
      </c>
      <c r="F481" s="62">
        <v>1200</v>
      </c>
      <c r="G481" s="55">
        <v>273468</v>
      </c>
      <c r="H481" s="804"/>
      <c r="I481" s="802" t="s">
        <v>14586</v>
      </c>
      <c r="L481" s="5"/>
    </row>
    <row r="482" spans="1:12" s="59" customFormat="1" ht="33.75" x14ac:dyDescent="0.2">
      <c r="A482" s="850" t="s">
        <v>7189</v>
      </c>
      <c r="B482" s="850" t="s">
        <v>7476</v>
      </c>
      <c r="C482" s="970" t="s">
        <v>8804</v>
      </c>
      <c r="D482" s="850" t="s">
        <v>7205</v>
      </c>
      <c r="E482" s="850" t="s">
        <v>6552</v>
      </c>
      <c r="F482" s="894">
        <v>1200</v>
      </c>
      <c r="G482" s="921">
        <v>279912</v>
      </c>
      <c r="H482" s="850"/>
      <c r="I482" s="802" t="s">
        <v>14586</v>
      </c>
      <c r="L482" s="5"/>
    </row>
    <row r="483" spans="1:12" s="59" customFormat="1" ht="33.75" x14ac:dyDescent="0.2">
      <c r="A483" s="804" t="s">
        <v>7190</v>
      </c>
      <c r="B483" s="804" t="s">
        <v>7476</v>
      </c>
      <c r="C483" s="913" t="s">
        <v>8805</v>
      </c>
      <c r="D483" s="804" t="s">
        <v>7207</v>
      </c>
      <c r="E483" s="804" t="s">
        <v>6552</v>
      </c>
      <c r="F483" s="62">
        <v>1200</v>
      </c>
      <c r="G483" s="55">
        <v>279912</v>
      </c>
      <c r="H483" s="804"/>
      <c r="I483" s="802" t="s">
        <v>14586</v>
      </c>
      <c r="L483" s="5"/>
    </row>
    <row r="484" spans="1:12" s="59" customFormat="1" ht="33.75" x14ac:dyDescent="0.2">
      <c r="A484" s="804" t="s">
        <v>7191</v>
      </c>
      <c r="B484" s="804" t="s">
        <v>7476</v>
      </c>
      <c r="C484" s="913" t="s">
        <v>8806</v>
      </c>
      <c r="D484" s="804" t="s">
        <v>7219</v>
      </c>
      <c r="E484" s="804" t="s">
        <v>6552</v>
      </c>
      <c r="F484" s="62">
        <v>1200</v>
      </c>
      <c r="G484" s="55">
        <v>273468</v>
      </c>
      <c r="H484" s="804"/>
      <c r="I484" s="802" t="s">
        <v>14586</v>
      </c>
      <c r="L484" s="5"/>
    </row>
    <row r="485" spans="1:12" s="59" customFormat="1" ht="33.75" x14ac:dyDescent="0.2">
      <c r="A485" s="804" t="s">
        <v>7192</v>
      </c>
      <c r="B485" s="804" t="s">
        <v>7476</v>
      </c>
      <c r="C485" s="913" t="s">
        <v>8807</v>
      </c>
      <c r="D485" s="804" t="s">
        <v>7220</v>
      </c>
      <c r="E485" s="804" t="s">
        <v>6552</v>
      </c>
      <c r="F485" s="62">
        <v>1200</v>
      </c>
      <c r="G485" s="55">
        <v>273468</v>
      </c>
      <c r="H485" s="804"/>
      <c r="I485" s="802" t="s">
        <v>14586</v>
      </c>
      <c r="L485" s="5"/>
    </row>
    <row r="486" spans="1:12" s="59" customFormat="1" ht="33.75" x14ac:dyDescent="0.2">
      <c r="A486" s="804" t="s">
        <v>7193</v>
      </c>
      <c r="B486" s="804" t="s">
        <v>7476</v>
      </c>
      <c r="C486" s="913" t="s">
        <v>8808</v>
      </c>
      <c r="D486" s="804" t="s">
        <v>7221</v>
      </c>
      <c r="E486" s="804" t="s">
        <v>6552</v>
      </c>
      <c r="F486" s="62">
        <v>1200</v>
      </c>
      <c r="G486" s="55">
        <v>273468</v>
      </c>
      <c r="H486" s="804"/>
      <c r="I486" s="802" t="s">
        <v>14586</v>
      </c>
      <c r="L486" s="5"/>
    </row>
    <row r="487" spans="1:12" s="59" customFormat="1" ht="33.75" x14ac:dyDescent="0.2">
      <c r="A487" s="804" t="s">
        <v>7194</v>
      </c>
      <c r="B487" s="804" t="s">
        <v>7476</v>
      </c>
      <c r="C487" s="913" t="s">
        <v>8809</v>
      </c>
      <c r="D487" s="804" t="s">
        <v>7222</v>
      </c>
      <c r="E487" s="804" t="s">
        <v>6552</v>
      </c>
      <c r="F487" s="62">
        <v>1200</v>
      </c>
      <c r="G487" s="55">
        <v>273468</v>
      </c>
      <c r="H487" s="804"/>
      <c r="I487" s="802" t="s">
        <v>14586</v>
      </c>
      <c r="L487" s="5"/>
    </row>
    <row r="488" spans="1:12" s="59" customFormat="1" ht="33.75" x14ac:dyDescent="0.2">
      <c r="A488" s="850" t="s">
        <v>7210</v>
      </c>
      <c r="B488" s="850" t="s">
        <v>7476</v>
      </c>
      <c r="C488" s="970" t="s">
        <v>8810</v>
      </c>
      <c r="D488" s="850" t="s">
        <v>7218</v>
      </c>
      <c r="E488" s="850" t="s">
        <v>6552</v>
      </c>
      <c r="F488" s="894">
        <v>1200</v>
      </c>
      <c r="G488" s="921">
        <v>273468</v>
      </c>
      <c r="H488" s="850"/>
      <c r="I488" s="802" t="s">
        <v>14586</v>
      </c>
      <c r="L488" s="5"/>
    </row>
    <row r="489" spans="1:12" s="59" customFormat="1" ht="33.75" x14ac:dyDescent="0.2">
      <c r="A489" s="804" t="s">
        <v>7211</v>
      </c>
      <c r="B489" s="804" t="s">
        <v>7476</v>
      </c>
      <c r="C489" s="913" t="s">
        <v>8811</v>
      </c>
      <c r="D489" s="804" t="s">
        <v>7223</v>
      </c>
      <c r="E489" s="804" t="s">
        <v>6552</v>
      </c>
      <c r="F489" s="62">
        <v>1200</v>
      </c>
      <c r="G489" s="55">
        <v>273468</v>
      </c>
      <c r="H489" s="804"/>
      <c r="I489" s="802" t="s">
        <v>14586</v>
      </c>
      <c r="L489" s="5"/>
    </row>
    <row r="490" spans="1:12" s="59" customFormat="1" ht="33.75" x14ac:dyDescent="0.2">
      <c r="A490" s="804" t="s">
        <v>7212</v>
      </c>
      <c r="B490" s="804" t="s">
        <v>7476</v>
      </c>
      <c r="C490" s="913" t="s">
        <v>8812</v>
      </c>
      <c r="D490" s="804" t="s">
        <v>7200</v>
      </c>
      <c r="E490" s="804" t="s">
        <v>6552</v>
      </c>
      <c r="F490" s="62">
        <v>1200</v>
      </c>
      <c r="G490" s="55">
        <v>273468</v>
      </c>
      <c r="H490" s="804"/>
      <c r="I490" s="802" t="s">
        <v>14586</v>
      </c>
      <c r="L490" s="5"/>
    </row>
    <row r="491" spans="1:12" s="59" customFormat="1" ht="33.75" x14ac:dyDescent="0.2">
      <c r="A491" s="804" t="s">
        <v>7213</v>
      </c>
      <c r="B491" s="804" t="s">
        <v>7476</v>
      </c>
      <c r="C491" s="913" t="s">
        <v>8813</v>
      </c>
      <c r="D491" s="804" t="s">
        <v>7208</v>
      </c>
      <c r="E491" s="804" t="s">
        <v>6552</v>
      </c>
      <c r="F491" s="62">
        <v>1200</v>
      </c>
      <c r="G491" s="55">
        <v>273468</v>
      </c>
      <c r="H491" s="804"/>
      <c r="I491" s="802" t="s">
        <v>14586</v>
      </c>
      <c r="L491" s="5"/>
    </row>
    <row r="492" spans="1:12" s="59" customFormat="1" ht="33.75" x14ac:dyDescent="0.2">
      <c r="A492" s="804" t="s">
        <v>7214</v>
      </c>
      <c r="B492" s="804" t="s">
        <v>7476</v>
      </c>
      <c r="C492" s="913" t="s">
        <v>8814</v>
      </c>
      <c r="D492" s="804" t="s">
        <v>7209</v>
      </c>
      <c r="E492" s="804" t="s">
        <v>6552</v>
      </c>
      <c r="F492" s="62">
        <v>1200</v>
      </c>
      <c r="G492" s="55">
        <v>279912</v>
      </c>
      <c r="H492" s="804"/>
      <c r="I492" s="802" t="s">
        <v>14586</v>
      </c>
      <c r="L492" s="5"/>
    </row>
    <row r="493" spans="1:12" s="59" customFormat="1" ht="33.75" x14ac:dyDescent="0.2">
      <c r="A493" s="804" t="s">
        <v>7215</v>
      </c>
      <c r="B493" s="804" t="s">
        <v>7476</v>
      </c>
      <c r="C493" s="913" t="s">
        <v>8815</v>
      </c>
      <c r="D493" s="804" t="s">
        <v>7224</v>
      </c>
      <c r="E493" s="804" t="s">
        <v>6552</v>
      </c>
      <c r="F493" s="62">
        <v>1200</v>
      </c>
      <c r="G493" s="55">
        <v>279912</v>
      </c>
      <c r="H493" s="804"/>
      <c r="I493" s="802" t="s">
        <v>14586</v>
      </c>
      <c r="L493" s="5"/>
    </row>
    <row r="494" spans="1:12" s="59" customFormat="1" ht="33.75" x14ac:dyDescent="0.2">
      <c r="A494" s="804" t="s">
        <v>7216</v>
      </c>
      <c r="B494" s="804" t="s">
        <v>7476</v>
      </c>
      <c r="C494" s="913" t="s">
        <v>8818</v>
      </c>
      <c r="D494" s="804" t="s">
        <v>7225</v>
      </c>
      <c r="E494" s="804" t="s">
        <v>6552</v>
      </c>
      <c r="F494" s="62">
        <v>1200</v>
      </c>
      <c r="G494" s="55">
        <v>279912</v>
      </c>
      <c r="H494" s="804"/>
      <c r="I494" s="802" t="s">
        <v>14586</v>
      </c>
      <c r="L494" s="5"/>
    </row>
    <row r="495" spans="1:12" s="59" customFormat="1" ht="33.75" x14ac:dyDescent="0.2">
      <c r="A495" s="804" t="s">
        <v>7217</v>
      </c>
      <c r="B495" s="804" t="s">
        <v>7476</v>
      </c>
      <c r="C495" s="913" t="s">
        <v>8819</v>
      </c>
      <c r="D495" s="804" t="s">
        <v>7206</v>
      </c>
      <c r="E495" s="804" t="s">
        <v>6552</v>
      </c>
      <c r="F495" s="62">
        <v>1200</v>
      </c>
      <c r="G495" s="55">
        <v>279912</v>
      </c>
      <c r="H495" s="804"/>
      <c r="I495" s="802" t="s">
        <v>14586</v>
      </c>
      <c r="L495" s="5"/>
    </row>
    <row r="496" spans="1:12" s="59" customFormat="1" ht="33.75" x14ac:dyDescent="0.2">
      <c r="A496" s="804" t="s">
        <v>7226</v>
      </c>
      <c r="B496" s="804" t="s">
        <v>7476</v>
      </c>
      <c r="C496" s="913" t="s">
        <v>8820</v>
      </c>
      <c r="D496" s="804" t="s">
        <v>7295</v>
      </c>
      <c r="E496" s="804" t="s">
        <v>6552</v>
      </c>
      <c r="F496" s="62">
        <v>1200</v>
      </c>
      <c r="G496" s="55">
        <v>279012</v>
      </c>
      <c r="H496" s="804"/>
      <c r="I496" s="802" t="s">
        <v>14586</v>
      </c>
      <c r="L496" s="5"/>
    </row>
    <row r="497" spans="1:12" s="59" customFormat="1" ht="33.75" x14ac:dyDescent="0.2">
      <c r="A497" s="804" t="s">
        <v>7227</v>
      </c>
      <c r="B497" s="804" t="s">
        <v>7476</v>
      </c>
      <c r="C497" s="913" t="s">
        <v>8821</v>
      </c>
      <c r="D497" s="804" t="s">
        <v>7277</v>
      </c>
      <c r="E497" s="804" t="s">
        <v>6552</v>
      </c>
      <c r="F497" s="62">
        <v>1200</v>
      </c>
      <c r="G497" s="55">
        <v>279012</v>
      </c>
      <c r="H497" s="804"/>
      <c r="I497" s="802" t="s">
        <v>14586</v>
      </c>
      <c r="L497" s="5"/>
    </row>
    <row r="498" spans="1:12" s="59" customFormat="1" ht="33.75" x14ac:dyDescent="0.2">
      <c r="A498" s="804" t="s">
        <v>7228</v>
      </c>
      <c r="B498" s="804" t="s">
        <v>7476</v>
      </c>
      <c r="C498" s="913" t="s">
        <v>8822</v>
      </c>
      <c r="D498" s="804" t="s">
        <v>7278</v>
      </c>
      <c r="E498" s="804" t="s">
        <v>6552</v>
      </c>
      <c r="F498" s="62">
        <v>1200</v>
      </c>
      <c r="G498" s="55">
        <v>279012</v>
      </c>
      <c r="H498" s="804"/>
      <c r="I498" s="802" t="s">
        <v>14586</v>
      </c>
      <c r="L498" s="5"/>
    </row>
    <row r="499" spans="1:12" s="59" customFormat="1" ht="33.75" x14ac:dyDescent="0.2">
      <c r="A499" s="804" t="s">
        <v>7234</v>
      </c>
      <c r="B499" s="804" t="s">
        <v>7476</v>
      </c>
      <c r="C499" s="913" t="s">
        <v>8823</v>
      </c>
      <c r="D499" s="804" t="s">
        <v>7279</v>
      </c>
      <c r="E499" s="804" t="s">
        <v>6552</v>
      </c>
      <c r="F499" s="62">
        <v>1200</v>
      </c>
      <c r="G499" s="55">
        <v>279012</v>
      </c>
      <c r="H499" s="804"/>
      <c r="I499" s="802" t="s">
        <v>14586</v>
      </c>
      <c r="L499" s="5"/>
    </row>
    <row r="500" spans="1:12" s="59" customFormat="1" ht="33.75" x14ac:dyDescent="0.2">
      <c r="A500" s="804" t="s">
        <v>7236</v>
      </c>
      <c r="B500" s="804" t="s">
        <v>7476</v>
      </c>
      <c r="C500" s="913" t="s">
        <v>8824</v>
      </c>
      <c r="D500" s="804" t="s">
        <v>7280</v>
      </c>
      <c r="E500" s="804" t="s">
        <v>6552</v>
      </c>
      <c r="F500" s="62">
        <v>1200</v>
      </c>
      <c r="G500" s="55">
        <v>279012</v>
      </c>
      <c r="H500" s="804"/>
      <c r="I500" s="802" t="s">
        <v>14586</v>
      </c>
      <c r="L500" s="5"/>
    </row>
    <row r="501" spans="1:12" s="59" customFormat="1" ht="33.75" x14ac:dyDescent="0.2">
      <c r="A501" s="804" t="s">
        <v>7237</v>
      </c>
      <c r="B501" s="804" t="s">
        <v>7476</v>
      </c>
      <c r="C501" s="913" t="s">
        <v>8825</v>
      </c>
      <c r="D501" s="804" t="s">
        <v>7281</v>
      </c>
      <c r="E501" s="804" t="s">
        <v>6552</v>
      </c>
      <c r="F501" s="62">
        <v>1200</v>
      </c>
      <c r="G501" s="55">
        <v>279012</v>
      </c>
      <c r="H501" s="804"/>
      <c r="I501" s="802" t="s">
        <v>14586</v>
      </c>
      <c r="L501" s="5"/>
    </row>
    <row r="502" spans="1:12" s="59" customFormat="1" ht="33.75" x14ac:dyDescent="0.2">
      <c r="A502" s="804" t="s">
        <v>7238</v>
      </c>
      <c r="B502" s="804" t="s">
        <v>7476</v>
      </c>
      <c r="C502" s="913" t="s">
        <v>8826</v>
      </c>
      <c r="D502" s="804" t="s">
        <v>7282</v>
      </c>
      <c r="E502" s="804" t="s">
        <v>6552</v>
      </c>
      <c r="F502" s="62">
        <v>1200</v>
      </c>
      <c r="G502" s="55">
        <v>279012</v>
      </c>
      <c r="H502" s="804"/>
      <c r="I502" s="802" t="s">
        <v>14586</v>
      </c>
      <c r="L502" s="5"/>
    </row>
    <row r="503" spans="1:12" s="59" customFormat="1" ht="33.75" x14ac:dyDescent="0.2">
      <c r="A503" s="804" t="s">
        <v>7241</v>
      </c>
      <c r="B503" s="804" t="s">
        <v>7476</v>
      </c>
      <c r="C503" s="913" t="s">
        <v>8817</v>
      </c>
      <c r="D503" s="804" t="s">
        <v>7296</v>
      </c>
      <c r="E503" s="804" t="s">
        <v>6552</v>
      </c>
      <c r="F503" s="62">
        <v>1200</v>
      </c>
      <c r="G503" s="55">
        <v>279012</v>
      </c>
      <c r="H503" s="804"/>
      <c r="I503" s="802" t="s">
        <v>14586</v>
      </c>
      <c r="L503" s="5"/>
    </row>
    <row r="504" spans="1:12" s="59" customFormat="1" ht="33.75" x14ac:dyDescent="0.2">
      <c r="A504" s="804" t="s">
        <v>7242</v>
      </c>
      <c r="B504" s="804" t="s">
        <v>7476</v>
      </c>
      <c r="C504" s="913" t="s">
        <v>8816</v>
      </c>
      <c r="D504" s="804" t="s">
        <v>7297</v>
      </c>
      <c r="E504" s="804" t="s">
        <v>6552</v>
      </c>
      <c r="F504" s="62">
        <v>1200</v>
      </c>
      <c r="G504" s="55">
        <v>279012</v>
      </c>
      <c r="H504" s="804"/>
      <c r="I504" s="802" t="s">
        <v>14586</v>
      </c>
      <c r="L504" s="5"/>
    </row>
    <row r="505" spans="1:12" s="59" customFormat="1" ht="33.75" x14ac:dyDescent="0.2">
      <c r="A505" s="804" t="s">
        <v>7243</v>
      </c>
      <c r="B505" s="804" t="s">
        <v>7476</v>
      </c>
      <c r="C505" s="913" t="s">
        <v>8827</v>
      </c>
      <c r="D505" s="804" t="s">
        <v>7298</v>
      </c>
      <c r="E505" s="804" t="s">
        <v>6552</v>
      </c>
      <c r="F505" s="62">
        <v>1200</v>
      </c>
      <c r="G505" s="55">
        <v>279012</v>
      </c>
      <c r="H505" s="804"/>
      <c r="I505" s="802" t="s">
        <v>14586</v>
      </c>
      <c r="L505" s="5"/>
    </row>
    <row r="506" spans="1:12" s="59" customFormat="1" ht="33.75" x14ac:dyDescent="0.2">
      <c r="A506" s="804" t="s">
        <v>7244</v>
      </c>
      <c r="B506" s="804" t="s">
        <v>7476</v>
      </c>
      <c r="C506" s="913" t="s">
        <v>8828</v>
      </c>
      <c r="D506" s="804" t="s">
        <v>7299</v>
      </c>
      <c r="E506" s="804" t="s">
        <v>6552</v>
      </c>
      <c r="F506" s="62">
        <v>1200</v>
      </c>
      <c r="G506" s="55">
        <v>279012</v>
      </c>
      <c r="H506" s="804"/>
      <c r="I506" s="802" t="s">
        <v>14586</v>
      </c>
      <c r="L506" s="5"/>
    </row>
    <row r="507" spans="1:12" s="59" customFormat="1" ht="33.75" x14ac:dyDescent="0.2">
      <c r="A507" s="804" t="s">
        <v>7245</v>
      </c>
      <c r="B507" s="804" t="s">
        <v>7476</v>
      </c>
      <c r="C507" s="913" t="s">
        <v>8829</v>
      </c>
      <c r="D507" s="804" t="s">
        <v>7269</v>
      </c>
      <c r="E507" s="804" t="s">
        <v>6552</v>
      </c>
      <c r="F507" s="62">
        <v>1200</v>
      </c>
      <c r="G507" s="55">
        <v>279012</v>
      </c>
      <c r="H507" s="804"/>
      <c r="I507" s="802" t="s">
        <v>14586</v>
      </c>
      <c r="L507" s="5"/>
    </row>
    <row r="508" spans="1:12" s="59" customFormat="1" ht="33.75" x14ac:dyDescent="0.2">
      <c r="A508" s="804" t="s">
        <v>7246</v>
      </c>
      <c r="B508" s="804" t="s">
        <v>7476</v>
      </c>
      <c r="C508" s="913" t="s">
        <v>8830</v>
      </c>
      <c r="D508" s="804" t="s">
        <v>7270</v>
      </c>
      <c r="E508" s="804" t="s">
        <v>6552</v>
      </c>
      <c r="F508" s="62">
        <v>1200</v>
      </c>
      <c r="G508" s="55">
        <v>279012</v>
      </c>
      <c r="H508" s="804"/>
      <c r="I508" s="802" t="s">
        <v>14586</v>
      </c>
      <c r="L508" s="5"/>
    </row>
    <row r="509" spans="1:12" s="59" customFormat="1" ht="33.75" x14ac:dyDescent="0.2">
      <c r="A509" s="804" t="s">
        <v>7247</v>
      </c>
      <c r="B509" s="804" t="s">
        <v>7476</v>
      </c>
      <c r="C509" s="913" t="s">
        <v>8831</v>
      </c>
      <c r="D509" s="804" t="s">
        <v>7300</v>
      </c>
      <c r="E509" s="804" t="s">
        <v>6552</v>
      </c>
      <c r="F509" s="62">
        <v>1200</v>
      </c>
      <c r="G509" s="55">
        <v>279012</v>
      </c>
      <c r="H509" s="804"/>
      <c r="I509" s="802" t="s">
        <v>14586</v>
      </c>
      <c r="L509" s="5"/>
    </row>
    <row r="510" spans="1:12" s="59" customFormat="1" ht="33.75" x14ac:dyDescent="0.2">
      <c r="A510" s="850" t="s">
        <v>7248</v>
      </c>
      <c r="B510" s="850" t="s">
        <v>7476</v>
      </c>
      <c r="C510" s="970" t="s">
        <v>8832</v>
      </c>
      <c r="D510" s="850" t="s">
        <v>7283</v>
      </c>
      <c r="E510" s="850" t="s">
        <v>6552</v>
      </c>
      <c r="F510" s="894">
        <v>1200</v>
      </c>
      <c r="G510" s="921">
        <v>279012</v>
      </c>
      <c r="H510" s="850"/>
      <c r="I510" s="802" t="s">
        <v>14586</v>
      </c>
      <c r="L510" s="5"/>
    </row>
    <row r="511" spans="1:12" s="59" customFormat="1" ht="33.75" x14ac:dyDescent="0.2">
      <c r="A511" s="850" t="s">
        <v>7249</v>
      </c>
      <c r="B511" s="850" t="s">
        <v>7476</v>
      </c>
      <c r="C511" s="970" t="s">
        <v>8833</v>
      </c>
      <c r="D511" s="850" t="s">
        <v>7301</v>
      </c>
      <c r="E511" s="850" t="s">
        <v>6552</v>
      </c>
      <c r="F511" s="894">
        <v>1200</v>
      </c>
      <c r="G511" s="921">
        <v>273468</v>
      </c>
      <c r="H511" s="850"/>
      <c r="I511" s="802" t="s">
        <v>14586</v>
      </c>
      <c r="L511" s="5"/>
    </row>
    <row r="512" spans="1:12" s="59" customFormat="1" ht="33.75" x14ac:dyDescent="0.2">
      <c r="A512" s="804" t="s">
        <v>7263</v>
      </c>
      <c r="B512" s="804" t="s">
        <v>7476</v>
      </c>
      <c r="C512" s="913" t="s">
        <v>8834</v>
      </c>
      <c r="D512" s="804" t="s">
        <v>7302</v>
      </c>
      <c r="E512" s="804" t="s">
        <v>6552</v>
      </c>
      <c r="F512" s="62">
        <v>1200</v>
      </c>
      <c r="G512" s="55">
        <v>273468</v>
      </c>
      <c r="H512" s="804"/>
      <c r="I512" s="802" t="s">
        <v>14586</v>
      </c>
      <c r="L512" s="5"/>
    </row>
    <row r="513" spans="1:12" s="59" customFormat="1" ht="33.75" x14ac:dyDescent="0.2">
      <c r="A513" s="850" t="s">
        <v>7264</v>
      </c>
      <c r="B513" s="850" t="s">
        <v>7476</v>
      </c>
      <c r="C513" s="970" t="s">
        <v>8835</v>
      </c>
      <c r="D513" s="850" t="s">
        <v>7303</v>
      </c>
      <c r="E513" s="850" t="s">
        <v>6552</v>
      </c>
      <c r="F513" s="894">
        <v>1200</v>
      </c>
      <c r="G513" s="921">
        <v>273468</v>
      </c>
      <c r="H513" s="850"/>
      <c r="I513" s="802" t="s">
        <v>14586</v>
      </c>
      <c r="L513" s="5"/>
    </row>
    <row r="514" spans="1:12" s="59" customFormat="1" ht="33.75" x14ac:dyDescent="0.2">
      <c r="A514" s="804" t="s">
        <v>7265</v>
      </c>
      <c r="B514" s="804" t="s">
        <v>7476</v>
      </c>
      <c r="C514" s="913" t="s">
        <v>8836</v>
      </c>
      <c r="D514" s="804" t="s">
        <v>7304</v>
      </c>
      <c r="E514" s="804" t="s">
        <v>6552</v>
      </c>
      <c r="F514" s="62">
        <v>1200</v>
      </c>
      <c r="G514" s="55">
        <v>273468</v>
      </c>
      <c r="H514" s="804"/>
      <c r="I514" s="802" t="s">
        <v>14586</v>
      </c>
      <c r="L514" s="5"/>
    </row>
    <row r="515" spans="1:12" s="59" customFormat="1" ht="33.75" x14ac:dyDescent="0.2">
      <c r="A515" s="804" t="s">
        <v>7266</v>
      </c>
      <c r="B515" s="804" t="s">
        <v>7476</v>
      </c>
      <c r="C515" s="913" t="s">
        <v>8837</v>
      </c>
      <c r="D515" s="804" t="s">
        <v>7340</v>
      </c>
      <c r="E515" s="804" t="s">
        <v>6552</v>
      </c>
      <c r="F515" s="62">
        <v>1200</v>
      </c>
      <c r="G515" s="55">
        <v>279912</v>
      </c>
      <c r="H515" s="804"/>
      <c r="I515" s="802" t="s">
        <v>14586</v>
      </c>
      <c r="L515" s="5"/>
    </row>
    <row r="516" spans="1:12" s="59" customFormat="1" ht="33.75" x14ac:dyDescent="0.2">
      <c r="A516" s="804" t="s">
        <v>7271</v>
      </c>
      <c r="B516" s="804" t="s">
        <v>7476</v>
      </c>
      <c r="C516" s="913" t="s">
        <v>8838</v>
      </c>
      <c r="D516" s="804" t="s">
        <v>7305</v>
      </c>
      <c r="E516" s="804" t="s">
        <v>6552</v>
      </c>
      <c r="F516" s="62">
        <v>1200</v>
      </c>
      <c r="G516" s="55">
        <v>279912</v>
      </c>
      <c r="H516" s="804"/>
      <c r="I516" s="802" t="s">
        <v>14586</v>
      </c>
      <c r="L516" s="5"/>
    </row>
    <row r="517" spans="1:12" s="59" customFormat="1" ht="33.75" x14ac:dyDescent="0.2">
      <c r="A517" s="804" t="s">
        <v>7272</v>
      </c>
      <c r="B517" s="804" t="s">
        <v>7476</v>
      </c>
      <c r="C517" s="913" t="s">
        <v>8839</v>
      </c>
      <c r="D517" s="804" t="s">
        <v>7339</v>
      </c>
      <c r="E517" s="804" t="s">
        <v>6552</v>
      </c>
      <c r="F517" s="62">
        <v>1200</v>
      </c>
      <c r="G517" s="55">
        <v>273468</v>
      </c>
      <c r="H517" s="804"/>
      <c r="I517" s="802" t="s">
        <v>14586</v>
      </c>
      <c r="L517" s="5"/>
    </row>
    <row r="518" spans="1:12" s="59" customFormat="1" ht="33.75" x14ac:dyDescent="0.2">
      <c r="A518" s="804" t="s">
        <v>7284</v>
      </c>
      <c r="B518" s="804" t="s">
        <v>7476</v>
      </c>
      <c r="C518" s="913" t="s">
        <v>8840</v>
      </c>
      <c r="D518" s="804" t="s">
        <v>7307</v>
      </c>
      <c r="E518" s="804" t="s">
        <v>6552</v>
      </c>
      <c r="F518" s="62">
        <v>1200</v>
      </c>
      <c r="G518" s="55">
        <v>273468</v>
      </c>
      <c r="H518" s="804"/>
      <c r="I518" s="802" t="s">
        <v>14586</v>
      </c>
      <c r="L518" s="5"/>
    </row>
    <row r="519" spans="1:12" s="59" customFormat="1" ht="33.75" x14ac:dyDescent="0.2">
      <c r="A519" s="804" t="s">
        <v>7285</v>
      </c>
      <c r="B519" s="804" t="s">
        <v>7476</v>
      </c>
      <c r="C519" s="913" t="s">
        <v>8841</v>
      </c>
      <c r="D519" s="804" t="s">
        <v>7308</v>
      </c>
      <c r="E519" s="804" t="s">
        <v>6552</v>
      </c>
      <c r="F519" s="62">
        <v>1200</v>
      </c>
      <c r="G519" s="55">
        <v>273468</v>
      </c>
      <c r="H519" s="804"/>
      <c r="I519" s="802" t="s">
        <v>14586</v>
      </c>
      <c r="L519" s="5"/>
    </row>
    <row r="520" spans="1:12" s="59" customFormat="1" ht="33.75" x14ac:dyDescent="0.2">
      <c r="A520" s="804" t="s">
        <v>7286</v>
      </c>
      <c r="B520" s="804" t="s">
        <v>7476</v>
      </c>
      <c r="C520" s="913" t="s">
        <v>8842</v>
      </c>
      <c r="D520" s="804" t="s">
        <v>7312</v>
      </c>
      <c r="E520" s="804" t="s">
        <v>6552</v>
      </c>
      <c r="F520" s="62">
        <v>1200</v>
      </c>
      <c r="G520" s="55">
        <v>273468</v>
      </c>
      <c r="H520" s="180"/>
      <c r="I520" s="802" t="s">
        <v>14586</v>
      </c>
      <c r="L520" s="5"/>
    </row>
    <row r="521" spans="1:12" s="59" customFormat="1" ht="33.75" x14ac:dyDescent="0.2">
      <c r="A521" s="804" t="s">
        <v>7287</v>
      </c>
      <c r="B521" s="804" t="s">
        <v>7476</v>
      </c>
      <c r="C521" s="913" t="s">
        <v>8843</v>
      </c>
      <c r="D521" s="804" t="s">
        <v>7313</v>
      </c>
      <c r="E521" s="804" t="s">
        <v>6552</v>
      </c>
      <c r="F521" s="62">
        <v>1200</v>
      </c>
      <c r="G521" s="55">
        <v>273468</v>
      </c>
      <c r="H521" s="804"/>
      <c r="I521" s="802" t="s">
        <v>14586</v>
      </c>
      <c r="L521" s="5"/>
    </row>
    <row r="522" spans="1:12" s="59" customFormat="1" ht="33.75" x14ac:dyDescent="0.2">
      <c r="A522" s="804" t="s">
        <v>7288</v>
      </c>
      <c r="B522" s="804" t="s">
        <v>7476</v>
      </c>
      <c r="C522" s="913" t="s">
        <v>8844</v>
      </c>
      <c r="D522" s="804" t="s">
        <v>7314</v>
      </c>
      <c r="E522" s="804" t="s">
        <v>6552</v>
      </c>
      <c r="F522" s="62">
        <v>1200</v>
      </c>
      <c r="G522" s="55">
        <v>273468</v>
      </c>
      <c r="H522" s="804"/>
      <c r="I522" s="802" t="s">
        <v>14586</v>
      </c>
      <c r="L522" s="5"/>
    </row>
    <row r="523" spans="1:12" s="59" customFormat="1" ht="33.75" x14ac:dyDescent="0.2">
      <c r="A523" s="850" t="s">
        <v>7289</v>
      </c>
      <c r="B523" s="850" t="s">
        <v>7476</v>
      </c>
      <c r="C523" s="970" t="s">
        <v>8845</v>
      </c>
      <c r="D523" s="850" t="s">
        <v>7315</v>
      </c>
      <c r="E523" s="850" t="s">
        <v>6552</v>
      </c>
      <c r="F523" s="894">
        <v>1200</v>
      </c>
      <c r="G523" s="921">
        <v>273468</v>
      </c>
      <c r="H523" s="850"/>
      <c r="I523" s="802" t="s">
        <v>14586</v>
      </c>
      <c r="L523" s="5"/>
    </row>
    <row r="524" spans="1:12" s="59" customFormat="1" ht="33.75" x14ac:dyDescent="0.2">
      <c r="A524" s="804" t="s">
        <v>7316</v>
      </c>
      <c r="B524" s="804" t="s">
        <v>7476</v>
      </c>
      <c r="C524" s="913" t="s">
        <v>8846</v>
      </c>
      <c r="D524" s="804" t="s">
        <v>7309</v>
      </c>
      <c r="E524" s="804" t="s">
        <v>6552</v>
      </c>
      <c r="F524" s="62">
        <v>1200</v>
      </c>
      <c r="G524" s="55" t="s">
        <v>14424</v>
      </c>
      <c r="H524" s="804"/>
      <c r="I524" s="802" t="s">
        <v>14586</v>
      </c>
      <c r="L524" s="5"/>
    </row>
    <row r="525" spans="1:12" s="59" customFormat="1" ht="33.75" x14ac:dyDescent="0.2">
      <c r="A525" s="850" t="s">
        <v>7317</v>
      </c>
      <c r="B525" s="850" t="s">
        <v>7476</v>
      </c>
      <c r="C525" s="970" t="s">
        <v>8847</v>
      </c>
      <c r="D525" s="850" t="s">
        <v>7310</v>
      </c>
      <c r="E525" s="850" t="s">
        <v>6552</v>
      </c>
      <c r="F525" s="894">
        <v>1200</v>
      </c>
      <c r="G525" s="921">
        <v>279912</v>
      </c>
      <c r="H525" s="850"/>
      <c r="I525" s="802" t="s">
        <v>14586</v>
      </c>
      <c r="L525" s="5"/>
    </row>
    <row r="526" spans="1:12" s="59" customFormat="1" ht="33.75" x14ac:dyDescent="0.2">
      <c r="A526" s="804" t="s">
        <v>7318</v>
      </c>
      <c r="B526" s="804" t="s">
        <v>7476</v>
      </c>
      <c r="C526" s="913" t="s">
        <v>8848</v>
      </c>
      <c r="D526" s="804" t="s">
        <v>7311</v>
      </c>
      <c r="E526" s="804" t="s">
        <v>6552</v>
      </c>
      <c r="F526" s="62">
        <v>1200</v>
      </c>
      <c r="G526" s="55">
        <v>279912</v>
      </c>
      <c r="H526" s="804"/>
      <c r="I526" s="802" t="s">
        <v>14586</v>
      </c>
      <c r="L526" s="5"/>
    </row>
    <row r="527" spans="1:12" s="59" customFormat="1" ht="33.75" x14ac:dyDescent="0.2">
      <c r="A527" s="850" t="s">
        <v>7319</v>
      </c>
      <c r="B527" s="850" t="s">
        <v>7476</v>
      </c>
      <c r="C527" s="970" t="s">
        <v>8849</v>
      </c>
      <c r="D527" s="850" t="s">
        <v>7306</v>
      </c>
      <c r="E527" s="850" t="s">
        <v>6552</v>
      </c>
      <c r="F527" s="894">
        <v>1153</v>
      </c>
      <c r="G527" s="921">
        <v>279912</v>
      </c>
      <c r="H527" s="850"/>
      <c r="I527" s="802" t="s">
        <v>14586</v>
      </c>
      <c r="L527" s="5"/>
    </row>
    <row r="528" spans="1:12" s="59" customFormat="1" ht="33.75" x14ac:dyDescent="0.2">
      <c r="A528" s="804" t="s">
        <v>7320</v>
      </c>
      <c r="B528" s="804" t="s">
        <v>7476</v>
      </c>
      <c r="C528" s="913" t="s">
        <v>8850</v>
      </c>
      <c r="D528" s="804" t="s">
        <v>7364</v>
      </c>
      <c r="E528" s="804" t="s">
        <v>6552</v>
      </c>
      <c r="F528" s="62">
        <v>1200</v>
      </c>
      <c r="G528" s="55">
        <v>273468</v>
      </c>
      <c r="H528" s="804"/>
      <c r="I528" s="802" t="s">
        <v>14586</v>
      </c>
      <c r="L528" s="5"/>
    </row>
    <row r="529" spans="1:12" s="59" customFormat="1" ht="33.75" x14ac:dyDescent="0.2">
      <c r="A529" s="804" t="s">
        <v>7321</v>
      </c>
      <c r="B529" s="804" t="s">
        <v>7476</v>
      </c>
      <c r="C529" s="913" t="s">
        <v>8851</v>
      </c>
      <c r="D529" s="804" t="s">
        <v>7365</v>
      </c>
      <c r="E529" s="804" t="s">
        <v>6552</v>
      </c>
      <c r="F529" s="62">
        <v>1200</v>
      </c>
      <c r="G529" s="55">
        <v>273468</v>
      </c>
      <c r="H529" s="804"/>
      <c r="I529" s="802" t="s">
        <v>14586</v>
      </c>
      <c r="L529" s="5"/>
    </row>
    <row r="530" spans="1:12" s="59" customFormat="1" ht="33.75" x14ac:dyDescent="0.2">
      <c r="A530" s="804" t="s">
        <v>7322</v>
      </c>
      <c r="B530" s="804" t="s">
        <v>7476</v>
      </c>
      <c r="C530" s="913" t="s">
        <v>8852</v>
      </c>
      <c r="D530" s="804" t="s">
        <v>7366</v>
      </c>
      <c r="E530" s="804" t="s">
        <v>6552</v>
      </c>
      <c r="F530" s="62">
        <v>1200</v>
      </c>
      <c r="G530" s="55">
        <v>273468</v>
      </c>
      <c r="H530" s="804"/>
      <c r="I530" s="802" t="s">
        <v>14586</v>
      </c>
      <c r="L530" s="5"/>
    </row>
    <row r="531" spans="1:12" s="59" customFormat="1" ht="33.75" x14ac:dyDescent="0.2">
      <c r="A531" s="804" t="s">
        <v>7323</v>
      </c>
      <c r="B531" s="804" t="s">
        <v>7476</v>
      </c>
      <c r="C531" s="913" t="s">
        <v>8853</v>
      </c>
      <c r="D531" s="804" t="s">
        <v>7367</v>
      </c>
      <c r="E531" s="804" t="s">
        <v>6552</v>
      </c>
      <c r="F531" s="62">
        <v>1200</v>
      </c>
      <c r="G531" s="55">
        <v>273468</v>
      </c>
      <c r="H531" s="804"/>
      <c r="I531" s="802" t="s">
        <v>14586</v>
      </c>
      <c r="L531" s="5"/>
    </row>
    <row r="532" spans="1:12" s="59" customFormat="1" ht="33.75" x14ac:dyDescent="0.2">
      <c r="A532" s="804" t="s">
        <v>7324</v>
      </c>
      <c r="B532" s="804" t="s">
        <v>7476</v>
      </c>
      <c r="C532" s="913" t="s">
        <v>8854</v>
      </c>
      <c r="D532" s="804" t="s">
        <v>7369</v>
      </c>
      <c r="E532" s="804" t="s">
        <v>6552</v>
      </c>
      <c r="F532" s="62">
        <v>1200</v>
      </c>
      <c r="G532" s="55">
        <v>273468</v>
      </c>
      <c r="H532" s="804"/>
      <c r="I532" s="802" t="s">
        <v>14586</v>
      </c>
      <c r="L532" s="5"/>
    </row>
    <row r="533" spans="1:12" s="59" customFormat="1" ht="33.75" x14ac:dyDescent="0.2">
      <c r="A533" s="804" t="s">
        <v>7325</v>
      </c>
      <c r="B533" s="804" t="s">
        <v>7476</v>
      </c>
      <c r="C533" s="913" t="s">
        <v>8855</v>
      </c>
      <c r="D533" s="804" t="s">
        <v>7370</v>
      </c>
      <c r="E533" s="804" t="s">
        <v>6552</v>
      </c>
      <c r="F533" s="62">
        <v>1200</v>
      </c>
      <c r="G533" s="55">
        <v>273468</v>
      </c>
      <c r="H533" s="804"/>
      <c r="I533" s="802" t="s">
        <v>14586</v>
      </c>
      <c r="L533" s="5"/>
    </row>
    <row r="534" spans="1:12" s="59" customFormat="1" ht="33.75" x14ac:dyDescent="0.2">
      <c r="A534" s="804" t="s">
        <v>7326</v>
      </c>
      <c r="B534" s="804" t="s">
        <v>7476</v>
      </c>
      <c r="C534" s="913" t="s">
        <v>8856</v>
      </c>
      <c r="D534" s="804" t="s">
        <v>7372</v>
      </c>
      <c r="E534" s="804" t="s">
        <v>6552</v>
      </c>
      <c r="F534" s="62">
        <v>1200</v>
      </c>
      <c r="G534" s="55">
        <v>273468</v>
      </c>
      <c r="H534" s="804"/>
      <c r="I534" s="802" t="s">
        <v>14586</v>
      </c>
      <c r="L534" s="5"/>
    </row>
    <row r="535" spans="1:12" s="59" customFormat="1" ht="33.75" x14ac:dyDescent="0.2">
      <c r="A535" s="804" t="s">
        <v>7327</v>
      </c>
      <c r="B535" s="804" t="s">
        <v>7476</v>
      </c>
      <c r="C535" s="913" t="s">
        <v>8857</v>
      </c>
      <c r="D535" s="804" t="s">
        <v>7373</v>
      </c>
      <c r="E535" s="804" t="s">
        <v>6552</v>
      </c>
      <c r="F535" s="62">
        <v>1200</v>
      </c>
      <c r="G535" s="55">
        <v>273468</v>
      </c>
      <c r="H535" s="804"/>
      <c r="I535" s="802" t="s">
        <v>14586</v>
      </c>
      <c r="L535" s="5"/>
    </row>
    <row r="536" spans="1:12" s="59" customFormat="1" ht="33.75" x14ac:dyDescent="0.2">
      <c r="A536" s="804" t="s">
        <v>7328</v>
      </c>
      <c r="B536" s="804" t="s">
        <v>7476</v>
      </c>
      <c r="C536" s="913" t="s">
        <v>8858</v>
      </c>
      <c r="D536" s="804" t="s">
        <v>7374</v>
      </c>
      <c r="E536" s="804" t="s">
        <v>6552</v>
      </c>
      <c r="F536" s="62">
        <v>1200</v>
      </c>
      <c r="G536" s="55">
        <v>273468</v>
      </c>
      <c r="H536" s="804"/>
      <c r="I536" s="802" t="s">
        <v>14586</v>
      </c>
      <c r="L536" s="5"/>
    </row>
    <row r="537" spans="1:12" s="59" customFormat="1" ht="33.75" x14ac:dyDescent="0.2">
      <c r="A537" s="804" t="s">
        <v>7329</v>
      </c>
      <c r="B537" s="804" t="s">
        <v>7476</v>
      </c>
      <c r="C537" s="913" t="s">
        <v>8859</v>
      </c>
      <c r="D537" s="804" t="s">
        <v>7376</v>
      </c>
      <c r="E537" s="804" t="s">
        <v>6552</v>
      </c>
      <c r="F537" s="62">
        <v>1200</v>
      </c>
      <c r="G537" s="55">
        <v>273468</v>
      </c>
      <c r="H537" s="804"/>
      <c r="I537" s="802" t="s">
        <v>14586</v>
      </c>
      <c r="L537" s="5"/>
    </row>
    <row r="538" spans="1:12" s="59" customFormat="1" ht="33.75" x14ac:dyDescent="0.2">
      <c r="A538" s="804" t="s">
        <v>7330</v>
      </c>
      <c r="B538" s="804" t="s">
        <v>7476</v>
      </c>
      <c r="C538" s="913" t="s">
        <v>8860</v>
      </c>
      <c r="D538" s="804" t="s">
        <v>7377</v>
      </c>
      <c r="E538" s="804" t="s">
        <v>6552</v>
      </c>
      <c r="F538" s="62">
        <v>1200</v>
      </c>
      <c r="G538" s="55">
        <v>273468</v>
      </c>
      <c r="H538" s="804"/>
      <c r="I538" s="802" t="s">
        <v>14586</v>
      </c>
      <c r="L538" s="5"/>
    </row>
    <row r="539" spans="1:12" s="59" customFormat="1" ht="33.75" x14ac:dyDescent="0.2">
      <c r="A539" s="804" t="s">
        <v>7331</v>
      </c>
      <c r="B539" s="804" t="s">
        <v>7476</v>
      </c>
      <c r="C539" s="913" t="s">
        <v>8861</v>
      </c>
      <c r="D539" s="804" t="s">
        <v>7371</v>
      </c>
      <c r="E539" s="804" t="s">
        <v>6552</v>
      </c>
      <c r="F539" s="62">
        <v>1200</v>
      </c>
      <c r="G539" s="55">
        <v>273468</v>
      </c>
      <c r="H539" s="804"/>
      <c r="I539" s="802" t="s">
        <v>14586</v>
      </c>
      <c r="L539" s="5"/>
    </row>
    <row r="540" spans="1:12" s="59" customFormat="1" ht="33.75" x14ac:dyDescent="0.2">
      <c r="A540" s="804" t="s">
        <v>7534</v>
      </c>
      <c r="B540" s="804" t="s">
        <v>7476</v>
      </c>
      <c r="C540" s="913" t="s">
        <v>8862</v>
      </c>
      <c r="D540" s="804" t="s">
        <v>7379</v>
      </c>
      <c r="E540" s="804" t="s">
        <v>6552</v>
      </c>
      <c r="F540" s="62">
        <v>1200</v>
      </c>
      <c r="G540" s="55">
        <v>273468</v>
      </c>
      <c r="H540" s="804"/>
      <c r="I540" s="802" t="s">
        <v>14586</v>
      </c>
      <c r="L540" s="5"/>
    </row>
    <row r="541" spans="1:12" s="59" customFormat="1" ht="33.75" x14ac:dyDescent="0.2">
      <c r="A541" s="804" t="s">
        <v>7535</v>
      </c>
      <c r="B541" s="804" t="s">
        <v>7476</v>
      </c>
      <c r="C541" s="913" t="s">
        <v>8863</v>
      </c>
      <c r="D541" s="804" t="s">
        <v>7380</v>
      </c>
      <c r="E541" s="804" t="s">
        <v>6552</v>
      </c>
      <c r="F541" s="62">
        <v>1200</v>
      </c>
      <c r="G541" s="55">
        <v>273468</v>
      </c>
      <c r="H541" s="804"/>
      <c r="I541" s="802" t="s">
        <v>14586</v>
      </c>
      <c r="L541" s="5"/>
    </row>
    <row r="542" spans="1:12" s="59" customFormat="1" ht="33.75" x14ac:dyDescent="0.2">
      <c r="A542" s="804" t="s">
        <v>7332</v>
      </c>
      <c r="B542" s="804" t="s">
        <v>7476</v>
      </c>
      <c r="C542" s="913" t="s">
        <v>8864</v>
      </c>
      <c r="D542" s="804" t="s">
        <v>7381</v>
      </c>
      <c r="E542" s="804" t="s">
        <v>6552</v>
      </c>
      <c r="F542" s="62">
        <v>1200</v>
      </c>
      <c r="G542" s="55">
        <v>273468</v>
      </c>
      <c r="H542" s="804"/>
      <c r="I542" s="802" t="s">
        <v>14586</v>
      </c>
      <c r="L542" s="5"/>
    </row>
    <row r="543" spans="1:12" s="59" customFormat="1" ht="33.75" x14ac:dyDescent="0.2">
      <c r="A543" s="804" t="s">
        <v>7333</v>
      </c>
      <c r="B543" s="804" t="s">
        <v>7476</v>
      </c>
      <c r="C543" s="913" t="s">
        <v>8865</v>
      </c>
      <c r="D543" s="804" t="s">
        <v>7368</v>
      </c>
      <c r="E543" s="804" t="s">
        <v>6552</v>
      </c>
      <c r="F543" s="62">
        <v>1200</v>
      </c>
      <c r="G543" s="55">
        <v>273468</v>
      </c>
      <c r="H543" s="804"/>
      <c r="I543" s="802" t="s">
        <v>14586</v>
      </c>
      <c r="L543" s="5"/>
    </row>
    <row r="544" spans="1:12" s="59" customFormat="1" ht="33.75" x14ac:dyDescent="0.2">
      <c r="A544" s="804" t="s">
        <v>7334</v>
      </c>
      <c r="B544" s="804" t="s">
        <v>7476</v>
      </c>
      <c r="C544" s="913" t="s">
        <v>8866</v>
      </c>
      <c r="D544" s="804" t="s">
        <v>7378</v>
      </c>
      <c r="E544" s="804" t="s">
        <v>6552</v>
      </c>
      <c r="F544" s="62">
        <v>1200</v>
      </c>
      <c r="G544" s="55">
        <v>273468</v>
      </c>
      <c r="H544" s="804"/>
      <c r="I544" s="802" t="s">
        <v>14586</v>
      </c>
      <c r="L544" s="5"/>
    </row>
    <row r="545" spans="1:12" s="59" customFormat="1" ht="33.75" x14ac:dyDescent="0.2">
      <c r="A545" s="804" t="s">
        <v>7335</v>
      </c>
      <c r="B545" s="804" t="s">
        <v>7476</v>
      </c>
      <c r="C545" s="913" t="s">
        <v>8867</v>
      </c>
      <c r="D545" s="804" t="s">
        <v>7382</v>
      </c>
      <c r="E545" s="804" t="s">
        <v>6552</v>
      </c>
      <c r="F545" s="62">
        <v>1200</v>
      </c>
      <c r="G545" s="55">
        <v>273468</v>
      </c>
      <c r="H545" s="804"/>
      <c r="I545" s="802" t="s">
        <v>14586</v>
      </c>
      <c r="L545" s="5"/>
    </row>
    <row r="546" spans="1:12" s="59" customFormat="1" ht="33.75" x14ac:dyDescent="0.2">
      <c r="A546" s="804" t="s">
        <v>7336</v>
      </c>
      <c r="B546" s="804" t="s">
        <v>7476</v>
      </c>
      <c r="C546" s="913" t="s">
        <v>8868</v>
      </c>
      <c r="D546" s="804" t="s">
        <v>7363</v>
      </c>
      <c r="E546" s="804" t="s">
        <v>6552</v>
      </c>
      <c r="F546" s="62">
        <v>1200</v>
      </c>
      <c r="G546" s="55">
        <v>273468</v>
      </c>
      <c r="H546" s="804"/>
      <c r="I546" s="802" t="s">
        <v>14586</v>
      </c>
      <c r="L546" s="5"/>
    </row>
    <row r="547" spans="1:12" s="59" customFormat="1" ht="33.75" x14ac:dyDescent="0.2">
      <c r="A547" s="804" t="s">
        <v>7341</v>
      </c>
      <c r="B547" s="804" t="s">
        <v>7476</v>
      </c>
      <c r="C547" s="913" t="s">
        <v>8869</v>
      </c>
      <c r="D547" s="804" t="s">
        <v>7229</v>
      </c>
      <c r="E547" s="804" t="s">
        <v>6552</v>
      </c>
      <c r="F547" s="62">
        <v>1200</v>
      </c>
      <c r="G547" s="55">
        <v>273468</v>
      </c>
      <c r="H547" s="804"/>
      <c r="I547" s="802" t="s">
        <v>14586</v>
      </c>
      <c r="L547" s="5"/>
    </row>
    <row r="548" spans="1:12" s="59" customFormat="1" ht="33.75" x14ac:dyDescent="0.2">
      <c r="A548" s="804" t="s">
        <v>7342</v>
      </c>
      <c r="B548" s="804" t="s">
        <v>7476</v>
      </c>
      <c r="C548" s="913" t="s">
        <v>8870</v>
      </c>
      <c r="D548" s="804" t="s">
        <v>7230</v>
      </c>
      <c r="E548" s="804" t="s">
        <v>6552</v>
      </c>
      <c r="F548" s="62">
        <v>1200</v>
      </c>
      <c r="G548" s="55">
        <v>273468</v>
      </c>
      <c r="H548" s="804"/>
      <c r="I548" s="802" t="s">
        <v>14586</v>
      </c>
      <c r="L548" s="5"/>
    </row>
    <row r="549" spans="1:12" s="59" customFormat="1" ht="33.75" x14ac:dyDescent="0.2">
      <c r="A549" s="804" t="s">
        <v>7343</v>
      </c>
      <c r="B549" s="804" t="s">
        <v>7476</v>
      </c>
      <c r="C549" s="913" t="s">
        <v>8871</v>
      </c>
      <c r="D549" s="804" t="s">
        <v>7390</v>
      </c>
      <c r="E549" s="804" t="s">
        <v>6552</v>
      </c>
      <c r="F549" s="62">
        <v>1200</v>
      </c>
      <c r="G549" s="55">
        <v>136032</v>
      </c>
      <c r="H549" s="804"/>
      <c r="I549" s="802" t="s">
        <v>14586</v>
      </c>
      <c r="L549" s="5"/>
    </row>
    <row r="550" spans="1:12" s="59" customFormat="1" ht="33.75" x14ac:dyDescent="0.2">
      <c r="A550" s="804" t="s">
        <v>7344</v>
      </c>
      <c r="B550" s="804" t="s">
        <v>7476</v>
      </c>
      <c r="C550" s="913" t="s">
        <v>8872</v>
      </c>
      <c r="D550" s="804" t="s">
        <v>7290</v>
      </c>
      <c r="E550" s="804" t="s">
        <v>6552</v>
      </c>
      <c r="F550" s="62">
        <v>1200</v>
      </c>
      <c r="G550" s="55">
        <v>279012</v>
      </c>
      <c r="H550" s="804"/>
      <c r="I550" s="802" t="s">
        <v>14586</v>
      </c>
      <c r="L550" s="5"/>
    </row>
    <row r="551" spans="1:12" s="59" customFormat="1" ht="33.75" x14ac:dyDescent="0.2">
      <c r="A551" s="804" t="s">
        <v>7536</v>
      </c>
      <c r="B551" s="804" t="s">
        <v>7476</v>
      </c>
      <c r="C551" s="913" t="s">
        <v>8873</v>
      </c>
      <c r="D551" s="804" t="s">
        <v>7255</v>
      </c>
      <c r="E551" s="804" t="s">
        <v>6552</v>
      </c>
      <c r="F551" s="62">
        <v>1200</v>
      </c>
      <c r="G551" s="55">
        <v>279012</v>
      </c>
      <c r="H551" s="804"/>
      <c r="I551" s="802" t="s">
        <v>14586</v>
      </c>
      <c r="L551" s="5"/>
    </row>
    <row r="552" spans="1:12" s="59" customFormat="1" ht="33.75" x14ac:dyDescent="0.2">
      <c r="A552" s="804" t="s">
        <v>7537</v>
      </c>
      <c r="B552" s="804" t="s">
        <v>7476</v>
      </c>
      <c r="C552" s="913" t="s">
        <v>8874</v>
      </c>
      <c r="D552" s="804" t="s">
        <v>7256</v>
      </c>
      <c r="E552" s="804" t="s">
        <v>6552</v>
      </c>
      <c r="F552" s="62">
        <v>1200</v>
      </c>
      <c r="G552" s="55">
        <v>279012</v>
      </c>
      <c r="H552" s="804"/>
      <c r="I552" s="802" t="s">
        <v>14586</v>
      </c>
      <c r="L552" s="5"/>
    </row>
    <row r="553" spans="1:12" s="59" customFormat="1" ht="33.75" x14ac:dyDescent="0.2">
      <c r="A553" s="804" t="s">
        <v>7538</v>
      </c>
      <c r="B553" s="804" t="s">
        <v>7476</v>
      </c>
      <c r="C553" s="913" t="s">
        <v>8875</v>
      </c>
      <c r="D553" s="804" t="s">
        <v>7257</v>
      </c>
      <c r="E553" s="804" t="s">
        <v>6552</v>
      </c>
      <c r="F553" s="62">
        <v>1200</v>
      </c>
      <c r="G553" s="55">
        <v>279012</v>
      </c>
      <c r="H553" s="804"/>
      <c r="I553" s="802" t="s">
        <v>14586</v>
      </c>
      <c r="L553" s="5"/>
    </row>
    <row r="554" spans="1:12" s="59" customFormat="1" ht="33.75" x14ac:dyDescent="0.2">
      <c r="A554" s="804" t="s">
        <v>7539</v>
      </c>
      <c r="B554" s="804" t="s">
        <v>7476</v>
      </c>
      <c r="C554" s="913" t="s">
        <v>8876</v>
      </c>
      <c r="D554" s="804" t="s">
        <v>7337</v>
      </c>
      <c r="E554" s="804" t="s">
        <v>6552</v>
      </c>
      <c r="F554" s="62">
        <v>1200</v>
      </c>
      <c r="G554" s="55">
        <v>279012</v>
      </c>
      <c r="H554" s="804"/>
      <c r="I554" s="802" t="s">
        <v>14586</v>
      </c>
      <c r="L554" s="5"/>
    </row>
    <row r="555" spans="1:12" s="59" customFormat="1" ht="33.75" x14ac:dyDescent="0.2">
      <c r="A555" s="804" t="s">
        <v>7345</v>
      </c>
      <c r="B555" s="804" t="s">
        <v>7476</v>
      </c>
      <c r="C555" s="913" t="s">
        <v>8877</v>
      </c>
      <c r="D555" s="804" t="s">
        <v>7258</v>
      </c>
      <c r="E555" s="804" t="s">
        <v>6552</v>
      </c>
      <c r="F555" s="62">
        <v>1200</v>
      </c>
      <c r="G555" s="55">
        <v>279012</v>
      </c>
      <c r="H555" s="804"/>
      <c r="I555" s="802" t="s">
        <v>14586</v>
      </c>
      <c r="L555" s="5"/>
    </row>
    <row r="556" spans="1:12" s="59" customFormat="1" ht="33.75" x14ac:dyDescent="0.2">
      <c r="A556" s="804" t="s">
        <v>7346</v>
      </c>
      <c r="B556" s="804" t="s">
        <v>7476</v>
      </c>
      <c r="C556" s="913" t="s">
        <v>8878</v>
      </c>
      <c r="D556" s="804" t="s">
        <v>7259</v>
      </c>
      <c r="E556" s="804" t="s">
        <v>6552</v>
      </c>
      <c r="F556" s="62">
        <v>1200</v>
      </c>
      <c r="G556" s="55">
        <v>279012</v>
      </c>
      <c r="H556" s="804"/>
      <c r="I556" s="802" t="s">
        <v>14586</v>
      </c>
      <c r="L556" s="5"/>
    </row>
    <row r="557" spans="1:12" s="59" customFormat="1" ht="33.75" x14ac:dyDescent="0.2">
      <c r="A557" s="804" t="s">
        <v>7347</v>
      </c>
      <c r="B557" s="804" t="s">
        <v>7476</v>
      </c>
      <c r="C557" s="913" t="s">
        <v>8879</v>
      </c>
      <c r="D557" s="804" t="s">
        <v>7260</v>
      </c>
      <c r="E557" s="804" t="s">
        <v>6552</v>
      </c>
      <c r="F557" s="62">
        <v>1200</v>
      </c>
      <c r="G557" s="55">
        <v>279012</v>
      </c>
      <c r="H557" s="804"/>
      <c r="I557" s="802" t="s">
        <v>14586</v>
      </c>
      <c r="L557" s="5"/>
    </row>
    <row r="558" spans="1:12" s="59" customFormat="1" ht="33.75" x14ac:dyDescent="0.2">
      <c r="A558" s="804" t="s">
        <v>7348</v>
      </c>
      <c r="B558" s="804" t="s">
        <v>7476</v>
      </c>
      <c r="C558" s="913" t="s">
        <v>8880</v>
      </c>
      <c r="D558" s="804" t="s">
        <v>7261</v>
      </c>
      <c r="E558" s="804" t="s">
        <v>6552</v>
      </c>
      <c r="F558" s="62">
        <v>1200</v>
      </c>
      <c r="G558" s="55">
        <v>279012</v>
      </c>
      <c r="H558" s="804"/>
      <c r="I558" s="802" t="s">
        <v>14586</v>
      </c>
      <c r="L558" s="5"/>
    </row>
    <row r="559" spans="1:12" s="59" customFormat="1" ht="33.75" x14ac:dyDescent="0.2">
      <c r="A559" s="804" t="s">
        <v>7349</v>
      </c>
      <c r="B559" s="804" t="s">
        <v>7476</v>
      </c>
      <c r="C559" s="913" t="s">
        <v>8881</v>
      </c>
      <c r="D559" s="804" t="s">
        <v>7262</v>
      </c>
      <c r="E559" s="804" t="s">
        <v>6552</v>
      </c>
      <c r="F559" s="62">
        <v>1200</v>
      </c>
      <c r="G559" s="55">
        <v>279012</v>
      </c>
      <c r="H559" s="804"/>
      <c r="I559" s="802" t="s">
        <v>14586</v>
      </c>
      <c r="L559" s="5"/>
    </row>
    <row r="560" spans="1:12" s="59" customFormat="1" ht="33.75" x14ac:dyDescent="0.2">
      <c r="A560" s="804" t="s">
        <v>7350</v>
      </c>
      <c r="B560" s="804" t="s">
        <v>7476</v>
      </c>
      <c r="C560" s="913" t="s">
        <v>8882</v>
      </c>
      <c r="D560" s="804" t="s">
        <v>7235</v>
      </c>
      <c r="E560" s="804" t="s">
        <v>6552</v>
      </c>
      <c r="F560" s="62">
        <v>1200</v>
      </c>
      <c r="G560" s="55">
        <v>279012</v>
      </c>
      <c r="H560" s="804"/>
      <c r="I560" s="802" t="s">
        <v>14586</v>
      </c>
      <c r="L560" s="5"/>
    </row>
    <row r="561" spans="1:12" s="59" customFormat="1" ht="33.75" x14ac:dyDescent="0.2">
      <c r="A561" s="804" t="s">
        <v>7351</v>
      </c>
      <c r="B561" s="804" t="s">
        <v>7476</v>
      </c>
      <c r="C561" s="913" t="s">
        <v>8883</v>
      </c>
      <c r="D561" s="804" t="s">
        <v>7273</v>
      </c>
      <c r="E561" s="804" t="s">
        <v>6552</v>
      </c>
      <c r="F561" s="62">
        <v>1200</v>
      </c>
      <c r="G561" s="55">
        <v>279012</v>
      </c>
      <c r="H561" s="804"/>
      <c r="I561" s="802" t="s">
        <v>14586</v>
      </c>
      <c r="L561" s="5"/>
    </row>
    <row r="562" spans="1:12" s="59" customFormat="1" ht="33.75" x14ac:dyDescent="0.2">
      <c r="A562" s="804" t="s">
        <v>7352</v>
      </c>
      <c r="B562" s="804" t="s">
        <v>7476</v>
      </c>
      <c r="C562" s="913" t="s">
        <v>8884</v>
      </c>
      <c r="D562" s="804" t="s">
        <v>7274</v>
      </c>
      <c r="E562" s="804" t="s">
        <v>6552</v>
      </c>
      <c r="F562" s="62">
        <v>1200</v>
      </c>
      <c r="G562" s="55">
        <v>279012</v>
      </c>
      <c r="H562" s="804"/>
      <c r="I562" s="802" t="s">
        <v>14586</v>
      </c>
      <c r="L562" s="5"/>
    </row>
    <row r="563" spans="1:12" s="59" customFormat="1" ht="33.75" x14ac:dyDescent="0.2">
      <c r="A563" s="804" t="s">
        <v>7353</v>
      </c>
      <c r="B563" s="804" t="s">
        <v>7476</v>
      </c>
      <c r="C563" s="913" t="s">
        <v>8885</v>
      </c>
      <c r="D563" s="804" t="s">
        <v>7275</v>
      </c>
      <c r="E563" s="804" t="s">
        <v>6552</v>
      </c>
      <c r="F563" s="62">
        <v>1200</v>
      </c>
      <c r="G563" s="55">
        <v>279012</v>
      </c>
      <c r="H563" s="804"/>
      <c r="I563" s="802" t="s">
        <v>14586</v>
      </c>
      <c r="L563" s="5"/>
    </row>
    <row r="564" spans="1:12" s="59" customFormat="1" ht="33.75" x14ac:dyDescent="0.2">
      <c r="A564" s="804" t="s">
        <v>7354</v>
      </c>
      <c r="B564" s="804" t="s">
        <v>7476</v>
      </c>
      <c r="C564" s="913" t="s">
        <v>8886</v>
      </c>
      <c r="D564" s="804" t="s">
        <v>7276</v>
      </c>
      <c r="E564" s="804" t="s">
        <v>6552</v>
      </c>
      <c r="F564" s="62">
        <v>1200</v>
      </c>
      <c r="G564" s="55">
        <v>279012</v>
      </c>
      <c r="H564" s="804"/>
      <c r="I564" s="802" t="s">
        <v>14586</v>
      </c>
      <c r="L564" s="5"/>
    </row>
    <row r="565" spans="1:12" s="59" customFormat="1" ht="33.75" x14ac:dyDescent="0.2">
      <c r="A565" s="804" t="s">
        <v>7355</v>
      </c>
      <c r="B565" s="804" t="s">
        <v>7476</v>
      </c>
      <c r="C565" s="913" t="s">
        <v>8887</v>
      </c>
      <c r="D565" s="804" t="s">
        <v>7291</v>
      </c>
      <c r="E565" s="804" t="s">
        <v>6552</v>
      </c>
      <c r="F565" s="62">
        <v>1200</v>
      </c>
      <c r="G565" s="55">
        <v>279012</v>
      </c>
      <c r="H565" s="804"/>
      <c r="I565" s="802" t="s">
        <v>14586</v>
      </c>
      <c r="L565" s="5"/>
    </row>
    <row r="566" spans="1:12" s="59" customFormat="1" ht="33.75" x14ac:dyDescent="0.2">
      <c r="A566" s="804" t="s">
        <v>7356</v>
      </c>
      <c r="B566" s="804" t="s">
        <v>7476</v>
      </c>
      <c r="C566" s="913" t="s">
        <v>8888</v>
      </c>
      <c r="D566" s="804" t="s">
        <v>7267</v>
      </c>
      <c r="E566" s="804" t="s">
        <v>6552</v>
      </c>
      <c r="F566" s="62">
        <v>1200</v>
      </c>
      <c r="G566" s="55">
        <v>279012</v>
      </c>
      <c r="H566" s="804"/>
      <c r="I566" s="802" t="s">
        <v>14586</v>
      </c>
      <c r="L566" s="5"/>
    </row>
    <row r="567" spans="1:12" s="59" customFormat="1" ht="33.75" x14ac:dyDescent="0.2">
      <c r="A567" s="804" t="s">
        <v>7357</v>
      </c>
      <c r="B567" s="804" t="s">
        <v>7476</v>
      </c>
      <c r="C567" s="913" t="s">
        <v>8889</v>
      </c>
      <c r="D567" s="804" t="s">
        <v>7338</v>
      </c>
      <c r="E567" s="804" t="s">
        <v>6552</v>
      </c>
      <c r="F567" s="62">
        <v>1200</v>
      </c>
      <c r="G567" s="55">
        <v>279012</v>
      </c>
      <c r="H567" s="804"/>
      <c r="I567" s="802" t="s">
        <v>14586</v>
      </c>
      <c r="L567" s="5"/>
    </row>
    <row r="568" spans="1:12" s="59" customFormat="1" ht="33.75" x14ac:dyDescent="0.2">
      <c r="A568" s="804" t="s">
        <v>7358</v>
      </c>
      <c r="B568" s="804" t="s">
        <v>7476</v>
      </c>
      <c r="C568" s="913" t="s">
        <v>8890</v>
      </c>
      <c r="D568" s="804" t="s">
        <v>7240</v>
      </c>
      <c r="E568" s="804" t="s">
        <v>6552</v>
      </c>
      <c r="F568" s="62">
        <v>1200</v>
      </c>
      <c r="G568" s="55">
        <v>279012</v>
      </c>
      <c r="H568" s="804"/>
      <c r="I568" s="802" t="s">
        <v>14586</v>
      </c>
      <c r="L568" s="5"/>
    </row>
    <row r="569" spans="1:12" s="59" customFormat="1" ht="33.75" x14ac:dyDescent="0.2">
      <c r="A569" s="804" t="s">
        <v>7359</v>
      </c>
      <c r="B569" s="804" t="s">
        <v>7476</v>
      </c>
      <c r="C569" s="913" t="s">
        <v>8891</v>
      </c>
      <c r="D569" s="804" t="s">
        <v>7239</v>
      </c>
      <c r="E569" s="804" t="s">
        <v>6552</v>
      </c>
      <c r="F569" s="62">
        <v>1200</v>
      </c>
      <c r="G569" s="55">
        <v>279012</v>
      </c>
      <c r="H569" s="804"/>
      <c r="I569" s="802" t="s">
        <v>14586</v>
      </c>
      <c r="L569" s="5"/>
    </row>
    <row r="570" spans="1:12" s="59" customFormat="1" ht="33.75" x14ac:dyDescent="0.2">
      <c r="A570" s="804" t="s">
        <v>7360</v>
      </c>
      <c r="B570" s="804" t="s">
        <v>7476</v>
      </c>
      <c r="C570" s="913" t="s">
        <v>8892</v>
      </c>
      <c r="D570" s="804" t="s">
        <v>7268</v>
      </c>
      <c r="E570" s="804" t="s">
        <v>6552</v>
      </c>
      <c r="F570" s="62">
        <v>1200</v>
      </c>
      <c r="G570" s="55">
        <v>279012</v>
      </c>
      <c r="H570" s="804"/>
      <c r="I570" s="802" t="s">
        <v>14586</v>
      </c>
      <c r="L570" s="5"/>
    </row>
    <row r="571" spans="1:12" s="59" customFormat="1" ht="33.75" x14ac:dyDescent="0.2">
      <c r="A571" s="804" t="s">
        <v>7361</v>
      </c>
      <c r="B571" s="804" t="s">
        <v>7476</v>
      </c>
      <c r="C571" s="913" t="s">
        <v>8893</v>
      </c>
      <c r="D571" s="804" t="s">
        <v>7292</v>
      </c>
      <c r="E571" s="804" t="s">
        <v>6552</v>
      </c>
      <c r="F571" s="62">
        <v>1200</v>
      </c>
      <c r="G571" s="55">
        <v>279012</v>
      </c>
      <c r="H571" s="804"/>
      <c r="I571" s="802" t="s">
        <v>14586</v>
      </c>
      <c r="L571" s="5"/>
    </row>
    <row r="572" spans="1:12" s="59" customFormat="1" ht="33.75" x14ac:dyDescent="0.2">
      <c r="A572" s="804" t="s">
        <v>7362</v>
      </c>
      <c r="B572" s="804" t="s">
        <v>7476</v>
      </c>
      <c r="C572" s="913" t="s">
        <v>8894</v>
      </c>
      <c r="D572" s="804" t="s">
        <v>7293</v>
      </c>
      <c r="E572" s="804" t="s">
        <v>6552</v>
      </c>
      <c r="F572" s="62">
        <v>1200</v>
      </c>
      <c r="G572" s="55">
        <v>279012</v>
      </c>
      <c r="H572" s="804"/>
      <c r="I572" s="802" t="s">
        <v>14586</v>
      </c>
      <c r="L572" s="5"/>
    </row>
    <row r="573" spans="1:12" s="59" customFormat="1" ht="33.75" x14ac:dyDescent="0.2">
      <c r="A573" s="804" t="s">
        <v>7375</v>
      </c>
      <c r="B573" s="804" t="s">
        <v>7476</v>
      </c>
      <c r="C573" s="913" t="s">
        <v>8895</v>
      </c>
      <c r="D573" s="804" t="s">
        <v>7294</v>
      </c>
      <c r="E573" s="804" t="s">
        <v>6552</v>
      </c>
      <c r="F573" s="62">
        <v>1200</v>
      </c>
      <c r="G573" s="55">
        <v>279012</v>
      </c>
      <c r="H573" s="804"/>
      <c r="I573" s="802" t="s">
        <v>14586</v>
      </c>
      <c r="L573" s="5"/>
    </row>
    <row r="574" spans="1:12" s="59" customFormat="1" ht="33.75" x14ac:dyDescent="0.2">
      <c r="A574" s="804" t="s">
        <v>7429</v>
      </c>
      <c r="B574" s="804" t="s">
        <v>7476</v>
      </c>
      <c r="C574" s="913" t="s">
        <v>8896</v>
      </c>
      <c r="D574" s="804" t="s">
        <v>7407</v>
      </c>
      <c r="E574" s="804" t="s">
        <v>6552</v>
      </c>
      <c r="F574" s="62">
        <v>1200</v>
      </c>
      <c r="G574" s="55">
        <v>273468</v>
      </c>
      <c r="H574" s="804"/>
      <c r="I574" s="802" t="s">
        <v>14586</v>
      </c>
      <c r="L574" s="5"/>
    </row>
    <row r="575" spans="1:12" s="59" customFormat="1" ht="33.75" x14ac:dyDescent="0.2">
      <c r="A575" s="804" t="s">
        <v>7430</v>
      </c>
      <c r="B575" s="804" t="s">
        <v>7476</v>
      </c>
      <c r="C575" s="913" t="s">
        <v>8897</v>
      </c>
      <c r="D575" s="804" t="s">
        <v>7408</v>
      </c>
      <c r="E575" s="804" t="s">
        <v>6552</v>
      </c>
      <c r="F575" s="62">
        <v>1200</v>
      </c>
      <c r="G575" s="55">
        <v>279912</v>
      </c>
      <c r="H575" s="804"/>
      <c r="I575" s="802" t="s">
        <v>14586</v>
      </c>
      <c r="L575" s="5"/>
    </row>
    <row r="576" spans="1:12" s="59" customFormat="1" ht="33.75" x14ac:dyDescent="0.2">
      <c r="A576" s="804" t="s">
        <v>7431</v>
      </c>
      <c r="B576" s="804" t="s">
        <v>7476</v>
      </c>
      <c r="C576" s="913" t="s">
        <v>8898</v>
      </c>
      <c r="D576" s="804" t="s">
        <v>7410</v>
      </c>
      <c r="E576" s="804" t="s">
        <v>6552</v>
      </c>
      <c r="F576" s="62">
        <v>1200</v>
      </c>
      <c r="G576" s="55">
        <v>279912</v>
      </c>
      <c r="H576" s="804"/>
      <c r="I576" s="802" t="s">
        <v>14586</v>
      </c>
      <c r="L576" s="5"/>
    </row>
    <row r="577" spans="1:12" s="59" customFormat="1" ht="33.75" x14ac:dyDescent="0.2">
      <c r="A577" s="804" t="s">
        <v>7432</v>
      </c>
      <c r="B577" s="804" t="s">
        <v>7476</v>
      </c>
      <c r="C577" s="913" t="s">
        <v>8899</v>
      </c>
      <c r="D577" s="804" t="s">
        <v>7412</v>
      </c>
      <c r="E577" s="804" t="s">
        <v>6552</v>
      </c>
      <c r="F577" s="62">
        <v>1200</v>
      </c>
      <c r="G577" s="55">
        <v>273468</v>
      </c>
      <c r="H577" s="804"/>
      <c r="I577" s="802" t="s">
        <v>14586</v>
      </c>
      <c r="L577" s="5"/>
    </row>
    <row r="578" spans="1:12" s="59" customFormat="1" ht="33.75" x14ac:dyDescent="0.2">
      <c r="A578" s="804" t="s">
        <v>7433</v>
      </c>
      <c r="B578" s="804" t="s">
        <v>7476</v>
      </c>
      <c r="C578" s="913" t="s">
        <v>8900</v>
      </c>
      <c r="D578" s="804" t="s">
        <v>7413</v>
      </c>
      <c r="E578" s="804" t="s">
        <v>6552</v>
      </c>
      <c r="F578" s="62">
        <v>1200</v>
      </c>
      <c r="G578" s="55">
        <v>273468</v>
      </c>
      <c r="H578" s="804"/>
      <c r="I578" s="802" t="s">
        <v>14586</v>
      </c>
      <c r="L578" s="5"/>
    </row>
    <row r="579" spans="1:12" s="59" customFormat="1" ht="33.75" x14ac:dyDescent="0.2">
      <c r="A579" s="804" t="s">
        <v>7434</v>
      </c>
      <c r="B579" s="804" t="s">
        <v>7476</v>
      </c>
      <c r="C579" s="913" t="s">
        <v>8901</v>
      </c>
      <c r="D579" s="804" t="s">
        <v>7414</v>
      </c>
      <c r="E579" s="804" t="s">
        <v>6552</v>
      </c>
      <c r="F579" s="62">
        <v>1200</v>
      </c>
      <c r="G579" s="55">
        <v>273468</v>
      </c>
      <c r="H579" s="804"/>
      <c r="I579" s="802" t="s">
        <v>14586</v>
      </c>
      <c r="L579" s="5"/>
    </row>
    <row r="580" spans="1:12" s="59" customFormat="1" ht="33.75" x14ac:dyDescent="0.2">
      <c r="A580" s="804" t="s">
        <v>7435</v>
      </c>
      <c r="B580" s="804" t="s">
        <v>7476</v>
      </c>
      <c r="C580" s="913" t="s">
        <v>8902</v>
      </c>
      <c r="D580" s="804" t="s">
        <v>7415</v>
      </c>
      <c r="E580" s="804" t="s">
        <v>6552</v>
      </c>
      <c r="F580" s="62">
        <v>1200</v>
      </c>
      <c r="G580" s="55">
        <v>273468</v>
      </c>
      <c r="H580" s="804"/>
      <c r="I580" s="802" t="s">
        <v>14586</v>
      </c>
      <c r="L580" s="5"/>
    </row>
    <row r="581" spans="1:12" s="59" customFormat="1" ht="33.75" x14ac:dyDescent="0.2">
      <c r="A581" s="804" t="s">
        <v>7436</v>
      </c>
      <c r="B581" s="804" t="s">
        <v>7476</v>
      </c>
      <c r="C581" s="913" t="s">
        <v>8903</v>
      </c>
      <c r="D581" s="804" t="s">
        <v>7409</v>
      </c>
      <c r="E581" s="804" t="s">
        <v>6552</v>
      </c>
      <c r="F581" s="62">
        <v>1200</v>
      </c>
      <c r="G581" s="55">
        <v>279912</v>
      </c>
      <c r="H581" s="804"/>
      <c r="I581" s="802" t="s">
        <v>14586</v>
      </c>
      <c r="L581" s="5"/>
    </row>
    <row r="582" spans="1:12" s="59" customFormat="1" ht="33.75" x14ac:dyDescent="0.2">
      <c r="A582" s="804" t="s">
        <v>7437</v>
      </c>
      <c r="B582" s="804" t="s">
        <v>7476</v>
      </c>
      <c r="C582" s="913" t="s">
        <v>8904</v>
      </c>
      <c r="D582" s="804" t="s">
        <v>7411</v>
      </c>
      <c r="E582" s="804" t="s">
        <v>6552</v>
      </c>
      <c r="F582" s="62">
        <v>1200</v>
      </c>
      <c r="G582" s="55">
        <v>279912</v>
      </c>
      <c r="H582" s="804"/>
      <c r="I582" s="802" t="s">
        <v>14586</v>
      </c>
      <c r="L582" s="5"/>
    </row>
    <row r="583" spans="1:12" s="59" customFormat="1" ht="33.75" x14ac:dyDescent="0.2">
      <c r="A583" s="804" t="s">
        <v>7438</v>
      </c>
      <c r="B583" s="804" t="s">
        <v>7476</v>
      </c>
      <c r="C583" s="913" t="s">
        <v>8905</v>
      </c>
      <c r="D583" s="804" t="s">
        <v>7417</v>
      </c>
      <c r="E583" s="804" t="s">
        <v>6552</v>
      </c>
      <c r="F583" s="62">
        <v>1200</v>
      </c>
      <c r="G583" s="55">
        <v>279912</v>
      </c>
      <c r="H583" s="804"/>
      <c r="I583" s="802" t="s">
        <v>14586</v>
      </c>
      <c r="L583" s="5"/>
    </row>
    <row r="584" spans="1:12" s="59" customFormat="1" ht="33.75" x14ac:dyDescent="0.2">
      <c r="A584" s="804" t="s">
        <v>7439</v>
      </c>
      <c r="B584" s="804" t="s">
        <v>7476</v>
      </c>
      <c r="C584" s="913" t="s">
        <v>8906</v>
      </c>
      <c r="D584" s="804" t="s">
        <v>7418</v>
      </c>
      <c r="E584" s="804" t="s">
        <v>6552</v>
      </c>
      <c r="F584" s="62">
        <v>1200</v>
      </c>
      <c r="G584" s="55">
        <v>279912</v>
      </c>
      <c r="H584" s="804"/>
      <c r="I584" s="802" t="s">
        <v>14586</v>
      </c>
      <c r="L584" s="5"/>
    </row>
    <row r="585" spans="1:12" s="59" customFormat="1" ht="33.75" x14ac:dyDescent="0.2">
      <c r="A585" s="804" t="s">
        <v>7440</v>
      </c>
      <c r="B585" s="804" t="s">
        <v>7476</v>
      </c>
      <c r="C585" s="913" t="s">
        <v>8907</v>
      </c>
      <c r="D585" s="804" t="s">
        <v>7419</v>
      </c>
      <c r="E585" s="804" t="s">
        <v>6552</v>
      </c>
      <c r="F585" s="62">
        <v>1200</v>
      </c>
      <c r="G585" s="55">
        <v>279912</v>
      </c>
      <c r="H585" s="804"/>
      <c r="I585" s="802" t="s">
        <v>14586</v>
      </c>
      <c r="L585" s="5"/>
    </row>
    <row r="586" spans="1:12" s="59" customFormat="1" ht="33.75" x14ac:dyDescent="0.2">
      <c r="A586" s="804" t="s">
        <v>7441</v>
      </c>
      <c r="B586" s="804" t="s">
        <v>7476</v>
      </c>
      <c r="C586" s="913" t="s">
        <v>8908</v>
      </c>
      <c r="D586" s="804" t="s">
        <v>7420</v>
      </c>
      <c r="E586" s="804" t="s">
        <v>6552</v>
      </c>
      <c r="F586" s="62">
        <v>1200</v>
      </c>
      <c r="G586" s="55">
        <v>279912</v>
      </c>
      <c r="H586" s="804"/>
      <c r="I586" s="802" t="s">
        <v>14586</v>
      </c>
      <c r="L586" s="5"/>
    </row>
    <row r="587" spans="1:12" s="59" customFormat="1" ht="33.75" x14ac:dyDescent="0.2">
      <c r="A587" s="804" t="s">
        <v>7442</v>
      </c>
      <c r="B587" s="804" t="s">
        <v>7476</v>
      </c>
      <c r="C587" s="913" t="s">
        <v>8909</v>
      </c>
      <c r="D587" s="804" t="s">
        <v>7421</v>
      </c>
      <c r="E587" s="804" t="s">
        <v>6552</v>
      </c>
      <c r="F587" s="62">
        <v>1200</v>
      </c>
      <c r="G587" s="55">
        <v>273468</v>
      </c>
      <c r="H587" s="804"/>
      <c r="I587" s="802" t="s">
        <v>14586</v>
      </c>
      <c r="L587" s="5"/>
    </row>
    <row r="588" spans="1:12" s="59" customFormat="1" ht="33.75" x14ac:dyDescent="0.2">
      <c r="A588" s="804" t="s">
        <v>7443</v>
      </c>
      <c r="B588" s="804" t="s">
        <v>7476</v>
      </c>
      <c r="C588" s="913" t="s">
        <v>8910</v>
      </c>
      <c r="D588" s="804" t="s">
        <v>7422</v>
      </c>
      <c r="E588" s="804" t="s">
        <v>6552</v>
      </c>
      <c r="F588" s="62">
        <v>1200</v>
      </c>
      <c r="G588" s="55">
        <v>273468</v>
      </c>
      <c r="H588" s="804"/>
      <c r="I588" s="802" t="s">
        <v>14586</v>
      </c>
      <c r="L588" s="5"/>
    </row>
    <row r="589" spans="1:12" s="59" customFormat="1" ht="33.75" x14ac:dyDescent="0.2">
      <c r="A589" s="804" t="s">
        <v>7444</v>
      </c>
      <c r="B589" s="804" t="s">
        <v>7476</v>
      </c>
      <c r="C589" s="913" t="s">
        <v>8911</v>
      </c>
      <c r="D589" s="804" t="s">
        <v>7423</v>
      </c>
      <c r="E589" s="804" t="s">
        <v>6552</v>
      </c>
      <c r="F589" s="62">
        <v>1200</v>
      </c>
      <c r="G589" s="55">
        <v>273468</v>
      </c>
      <c r="H589" s="804"/>
      <c r="I589" s="802" t="s">
        <v>14586</v>
      </c>
      <c r="L589" s="5"/>
    </row>
    <row r="590" spans="1:12" s="59" customFormat="1" ht="33.75" x14ac:dyDescent="0.2">
      <c r="A590" s="804" t="s">
        <v>7445</v>
      </c>
      <c r="B590" s="804" t="s">
        <v>7476</v>
      </c>
      <c r="C590" s="913" t="s">
        <v>8912</v>
      </c>
      <c r="D590" s="804" t="s">
        <v>7424</v>
      </c>
      <c r="E590" s="804" t="s">
        <v>6552</v>
      </c>
      <c r="F590" s="62">
        <v>1200</v>
      </c>
      <c r="G590" s="55">
        <v>27346800</v>
      </c>
      <c r="H590" s="804"/>
      <c r="I590" s="802" t="s">
        <v>14586</v>
      </c>
      <c r="L590" s="5"/>
    </row>
    <row r="591" spans="1:12" s="59" customFormat="1" ht="33.75" x14ac:dyDescent="0.2">
      <c r="A591" s="804" t="s">
        <v>7446</v>
      </c>
      <c r="B591" s="804" t="s">
        <v>7476</v>
      </c>
      <c r="C591" s="913" t="s">
        <v>8913</v>
      </c>
      <c r="D591" s="804" t="s">
        <v>7416</v>
      </c>
      <c r="E591" s="804" t="s">
        <v>6552</v>
      </c>
      <c r="F591" s="62">
        <v>1200</v>
      </c>
      <c r="G591" s="55">
        <v>273468</v>
      </c>
      <c r="H591" s="804"/>
      <c r="I591" s="802" t="s">
        <v>14586</v>
      </c>
      <c r="L591" s="5"/>
    </row>
    <row r="592" spans="1:12" s="59" customFormat="1" ht="33.75" x14ac:dyDescent="0.2">
      <c r="A592" s="804" t="s">
        <v>7447</v>
      </c>
      <c r="B592" s="804" t="s">
        <v>7476</v>
      </c>
      <c r="C592" s="913" t="s">
        <v>8914</v>
      </c>
      <c r="D592" s="804" t="s">
        <v>7426</v>
      </c>
      <c r="E592" s="804" t="s">
        <v>6552</v>
      </c>
      <c r="F592" s="62">
        <v>1200</v>
      </c>
      <c r="G592" s="55">
        <v>273468</v>
      </c>
      <c r="H592" s="804"/>
      <c r="I592" s="802" t="s">
        <v>14586</v>
      </c>
      <c r="L592" s="5"/>
    </row>
    <row r="593" spans="1:12" s="59" customFormat="1" ht="33.75" x14ac:dyDescent="0.2">
      <c r="A593" s="804" t="s">
        <v>7448</v>
      </c>
      <c r="B593" s="804" t="s">
        <v>7476</v>
      </c>
      <c r="C593" s="913" t="s">
        <v>8915</v>
      </c>
      <c r="D593" s="804" t="s">
        <v>7427</v>
      </c>
      <c r="E593" s="804" t="s">
        <v>6552</v>
      </c>
      <c r="F593" s="62">
        <v>1200</v>
      </c>
      <c r="G593" s="55">
        <v>273468</v>
      </c>
      <c r="H593" s="804"/>
      <c r="I593" s="802" t="s">
        <v>14586</v>
      </c>
      <c r="L593" s="5"/>
    </row>
    <row r="594" spans="1:12" s="59" customFormat="1" ht="33.75" x14ac:dyDescent="0.2">
      <c r="A594" s="804" t="s">
        <v>7449</v>
      </c>
      <c r="B594" s="804" t="s">
        <v>7476</v>
      </c>
      <c r="C594" s="913" t="s">
        <v>8916</v>
      </c>
      <c r="D594" s="804" t="s">
        <v>7474</v>
      </c>
      <c r="E594" s="804" t="s">
        <v>6552</v>
      </c>
      <c r="F594" s="62">
        <v>1200</v>
      </c>
      <c r="G594" s="55">
        <v>273468</v>
      </c>
      <c r="H594" s="804"/>
      <c r="I594" s="802" t="s">
        <v>14586</v>
      </c>
      <c r="L594" s="5"/>
    </row>
    <row r="595" spans="1:12" s="59" customFormat="1" ht="33.75" x14ac:dyDescent="0.2">
      <c r="A595" s="804" t="s">
        <v>7450</v>
      </c>
      <c r="B595" s="804" t="s">
        <v>7476</v>
      </c>
      <c r="C595" s="913" t="s">
        <v>8917</v>
      </c>
      <c r="D595" s="804" t="s">
        <v>7425</v>
      </c>
      <c r="E595" s="804" t="s">
        <v>6552</v>
      </c>
      <c r="F595" s="62">
        <v>1200</v>
      </c>
      <c r="G595" s="55">
        <v>273468</v>
      </c>
      <c r="H595" s="804"/>
      <c r="I595" s="802" t="s">
        <v>14586</v>
      </c>
      <c r="L595" s="5"/>
    </row>
    <row r="596" spans="1:12" s="59" customFormat="1" ht="33.75" x14ac:dyDescent="0.2">
      <c r="A596" s="804" t="s">
        <v>7451</v>
      </c>
      <c r="B596" s="804" t="s">
        <v>7476</v>
      </c>
      <c r="C596" s="913" t="s">
        <v>8918</v>
      </c>
      <c r="D596" s="804" t="s">
        <v>7428</v>
      </c>
      <c r="E596" s="804" t="s">
        <v>6552</v>
      </c>
      <c r="F596" s="62">
        <v>1200</v>
      </c>
      <c r="G596" s="55">
        <v>279012</v>
      </c>
      <c r="H596" s="804"/>
      <c r="I596" s="802" t="s">
        <v>14586</v>
      </c>
      <c r="L596" s="5"/>
    </row>
    <row r="597" spans="1:12" s="59" customFormat="1" ht="33.75" x14ac:dyDescent="0.2">
      <c r="A597" s="804" t="s">
        <v>7452</v>
      </c>
      <c r="B597" s="804" t="s">
        <v>7476</v>
      </c>
      <c r="C597" s="913" t="s">
        <v>8919</v>
      </c>
      <c r="D597" s="804" t="s">
        <v>7485</v>
      </c>
      <c r="E597" s="804" t="s">
        <v>6552</v>
      </c>
      <c r="F597" s="62">
        <v>1200</v>
      </c>
      <c r="G597" s="55">
        <v>279012</v>
      </c>
      <c r="H597" s="804"/>
      <c r="I597" s="802" t="s">
        <v>14586</v>
      </c>
      <c r="L597" s="5"/>
    </row>
    <row r="598" spans="1:12" s="59" customFormat="1" ht="33.75" x14ac:dyDescent="0.2">
      <c r="A598" s="804" t="s">
        <v>7453</v>
      </c>
      <c r="B598" s="804" t="s">
        <v>7476</v>
      </c>
      <c r="C598" s="913" t="s">
        <v>8920</v>
      </c>
      <c r="D598" s="804" t="s">
        <v>7466</v>
      </c>
      <c r="E598" s="804" t="s">
        <v>6552</v>
      </c>
      <c r="F598" s="62">
        <v>1200</v>
      </c>
      <c r="G598" s="55">
        <v>279012</v>
      </c>
      <c r="H598" s="804"/>
      <c r="I598" s="802" t="s">
        <v>14586</v>
      </c>
      <c r="L598" s="5"/>
    </row>
    <row r="599" spans="1:12" s="59" customFormat="1" ht="33.75" x14ac:dyDescent="0.2">
      <c r="A599" s="804" t="s">
        <v>7454</v>
      </c>
      <c r="B599" s="804" t="s">
        <v>7476</v>
      </c>
      <c r="C599" s="913" t="s">
        <v>8921</v>
      </c>
      <c r="D599" s="804" t="s">
        <v>7467</v>
      </c>
      <c r="E599" s="804" t="s">
        <v>6552</v>
      </c>
      <c r="F599" s="62">
        <v>1200</v>
      </c>
      <c r="G599" s="55">
        <v>279012</v>
      </c>
      <c r="H599" s="804"/>
      <c r="I599" s="802" t="s">
        <v>14586</v>
      </c>
      <c r="L599" s="5"/>
    </row>
    <row r="600" spans="1:12" s="59" customFormat="1" ht="33.75" x14ac:dyDescent="0.2">
      <c r="A600" s="804" t="s">
        <v>7455</v>
      </c>
      <c r="B600" s="804" t="s">
        <v>7476</v>
      </c>
      <c r="C600" s="913" t="s">
        <v>8922</v>
      </c>
      <c r="D600" s="804" t="s">
        <v>7468</v>
      </c>
      <c r="E600" s="804" t="s">
        <v>6552</v>
      </c>
      <c r="F600" s="62">
        <v>1200</v>
      </c>
      <c r="G600" s="55">
        <v>279012</v>
      </c>
      <c r="H600" s="804"/>
      <c r="I600" s="802" t="s">
        <v>14586</v>
      </c>
      <c r="L600" s="5"/>
    </row>
    <row r="601" spans="1:12" s="59" customFormat="1" ht="33.75" x14ac:dyDescent="0.2">
      <c r="A601" s="804" t="s">
        <v>7456</v>
      </c>
      <c r="B601" s="804" t="s">
        <v>7476</v>
      </c>
      <c r="C601" s="913" t="s">
        <v>8923</v>
      </c>
      <c r="D601" s="804" t="s">
        <v>7458</v>
      </c>
      <c r="E601" s="804" t="s">
        <v>6552</v>
      </c>
      <c r="F601" s="62">
        <v>1200</v>
      </c>
      <c r="G601" s="55">
        <v>279012</v>
      </c>
      <c r="H601" s="804"/>
      <c r="I601" s="802" t="s">
        <v>14586</v>
      </c>
      <c r="L601" s="5"/>
    </row>
    <row r="602" spans="1:12" s="59" customFormat="1" ht="33.75" x14ac:dyDescent="0.2">
      <c r="A602" s="804" t="s">
        <v>7457</v>
      </c>
      <c r="B602" s="804" t="s">
        <v>7476</v>
      </c>
      <c r="C602" s="913" t="s">
        <v>8924</v>
      </c>
      <c r="D602" s="804" t="s">
        <v>7459</v>
      </c>
      <c r="E602" s="804" t="s">
        <v>6552</v>
      </c>
      <c r="F602" s="62">
        <v>1200</v>
      </c>
      <c r="G602" s="55">
        <v>279012</v>
      </c>
      <c r="H602" s="804"/>
      <c r="I602" s="802" t="s">
        <v>14586</v>
      </c>
      <c r="L602" s="5"/>
    </row>
    <row r="603" spans="1:12" s="59" customFormat="1" ht="33.75" x14ac:dyDescent="0.2">
      <c r="A603" s="804" t="s">
        <v>7486</v>
      </c>
      <c r="B603" s="804" t="s">
        <v>7476</v>
      </c>
      <c r="C603" s="913" t="s">
        <v>8925</v>
      </c>
      <c r="D603" s="804" t="s">
        <v>7475</v>
      </c>
      <c r="E603" s="804" t="s">
        <v>6552</v>
      </c>
      <c r="F603" s="62">
        <v>1200</v>
      </c>
      <c r="G603" s="55">
        <v>273468</v>
      </c>
      <c r="H603" s="804"/>
      <c r="I603" s="802" t="s">
        <v>14586</v>
      </c>
      <c r="L603" s="5"/>
    </row>
    <row r="604" spans="1:12" s="59" customFormat="1" ht="33.75" x14ac:dyDescent="0.2">
      <c r="A604" s="804" t="s">
        <v>7487</v>
      </c>
      <c r="B604" s="804" t="s">
        <v>7476</v>
      </c>
      <c r="C604" s="913" t="s">
        <v>8926</v>
      </c>
      <c r="D604" s="804" t="s">
        <v>7469</v>
      </c>
      <c r="E604" s="804" t="s">
        <v>6552</v>
      </c>
      <c r="F604" s="62">
        <v>1200</v>
      </c>
      <c r="G604" s="55">
        <v>273468</v>
      </c>
      <c r="H604" s="804"/>
      <c r="I604" s="802" t="s">
        <v>14586</v>
      </c>
      <c r="L604" s="5"/>
    </row>
    <row r="605" spans="1:12" s="59" customFormat="1" ht="33.75" x14ac:dyDescent="0.2">
      <c r="A605" s="804" t="s">
        <v>7488</v>
      </c>
      <c r="B605" s="804" t="s">
        <v>7476</v>
      </c>
      <c r="C605" s="913" t="s">
        <v>8927</v>
      </c>
      <c r="D605" s="804" t="s">
        <v>7504</v>
      </c>
      <c r="E605" s="804" t="s">
        <v>6552</v>
      </c>
      <c r="F605" s="62">
        <v>1200</v>
      </c>
      <c r="G605" s="55">
        <v>273468</v>
      </c>
      <c r="H605" s="804"/>
      <c r="I605" s="802" t="s">
        <v>14586</v>
      </c>
      <c r="L605" s="5"/>
    </row>
    <row r="606" spans="1:12" s="59" customFormat="1" ht="33.75" x14ac:dyDescent="0.2">
      <c r="A606" s="804" t="s">
        <v>7489</v>
      </c>
      <c r="B606" s="804" t="s">
        <v>7476</v>
      </c>
      <c r="C606" s="913" t="s">
        <v>8928</v>
      </c>
      <c r="D606" s="804" t="s">
        <v>7505</v>
      </c>
      <c r="E606" s="804" t="s">
        <v>6552</v>
      </c>
      <c r="F606" s="62">
        <v>1200</v>
      </c>
      <c r="G606" s="55">
        <v>279012</v>
      </c>
      <c r="H606" s="804"/>
      <c r="I606" s="802" t="s">
        <v>14586</v>
      </c>
      <c r="L606" s="5"/>
    </row>
    <row r="607" spans="1:12" s="59" customFormat="1" ht="33.75" x14ac:dyDescent="0.2">
      <c r="A607" s="804" t="s">
        <v>7490</v>
      </c>
      <c r="B607" s="804" t="s">
        <v>7476</v>
      </c>
      <c r="C607" s="913" t="s">
        <v>8929</v>
      </c>
      <c r="D607" s="804" t="s">
        <v>7470</v>
      </c>
      <c r="E607" s="804" t="s">
        <v>6552</v>
      </c>
      <c r="F607" s="62">
        <v>1200</v>
      </c>
      <c r="G607" s="55">
        <v>279012</v>
      </c>
      <c r="H607" s="804"/>
      <c r="I607" s="802" t="s">
        <v>14586</v>
      </c>
      <c r="L607" s="5"/>
    </row>
    <row r="608" spans="1:12" s="59" customFormat="1" ht="33.75" x14ac:dyDescent="0.2">
      <c r="A608" s="804" t="s">
        <v>7491</v>
      </c>
      <c r="B608" s="804" t="s">
        <v>7476</v>
      </c>
      <c r="C608" s="913" t="s">
        <v>8930</v>
      </c>
      <c r="D608" s="804" t="s">
        <v>7507</v>
      </c>
      <c r="E608" s="804" t="s">
        <v>6552</v>
      </c>
      <c r="F608" s="62">
        <v>1200</v>
      </c>
      <c r="G608" s="55">
        <v>273468</v>
      </c>
      <c r="H608" s="804"/>
      <c r="I608" s="802" t="s">
        <v>14586</v>
      </c>
      <c r="L608" s="5"/>
    </row>
    <row r="609" spans="1:12" s="59" customFormat="1" ht="33.75" x14ac:dyDescent="0.2">
      <c r="A609" s="804" t="s">
        <v>7492</v>
      </c>
      <c r="B609" s="804" t="s">
        <v>7476</v>
      </c>
      <c r="C609" s="913" t="s">
        <v>8931</v>
      </c>
      <c r="D609" s="804" t="s">
        <v>7509</v>
      </c>
      <c r="E609" s="804" t="s">
        <v>6552</v>
      </c>
      <c r="F609" s="62">
        <v>1200</v>
      </c>
      <c r="G609" s="55">
        <v>273468</v>
      </c>
      <c r="H609" s="804"/>
      <c r="I609" s="802" t="s">
        <v>14586</v>
      </c>
      <c r="L609" s="5"/>
    </row>
    <row r="610" spans="1:12" s="59" customFormat="1" ht="33.75" x14ac:dyDescent="0.2">
      <c r="A610" s="804" t="s">
        <v>7493</v>
      </c>
      <c r="B610" s="804" t="s">
        <v>7476</v>
      </c>
      <c r="C610" s="913" t="s">
        <v>8932</v>
      </c>
      <c r="D610" s="804" t="s">
        <v>7508</v>
      </c>
      <c r="E610" s="804" t="s">
        <v>6552</v>
      </c>
      <c r="F610" s="62">
        <v>1200</v>
      </c>
      <c r="G610" s="55">
        <v>273468</v>
      </c>
      <c r="H610" s="804"/>
      <c r="I610" s="802" t="s">
        <v>14586</v>
      </c>
      <c r="L610" s="5"/>
    </row>
    <row r="611" spans="1:12" s="59" customFormat="1" ht="33.75" x14ac:dyDescent="0.2">
      <c r="A611" s="804" t="s">
        <v>7494</v>
      </c>
      <c r="B611" s="804" t="s">
        <v>7476</v>
      </c>
      <c r="C611" s="913" t="s">
        <v>8933</v>
      </c>
      <c r="D611" s="804" t="s">
        <v>7510</v>
      </c>
      <c r="E611" s="804" t="s">
        <v>6552</v>
      </c>
      <c r="F611" s="62">
        <v>1200</v>
      </c>
      <c r="G611" s="55">
        <v>273468</v>
      </c>
      <c r="H611" s="804"/>
      <c r="I611" s="802" t="s">
        <v>14586</v>
      </c>
      <c r="L611" s="5"/>
    </row>
    <row r="612" spans="1:12" s="59" customFormat="1" ht="33.75" x14ac:dyDescent="0.2">
      <c r="A612" s="804" t="s">
        <v>7495</v>
      </c>
      <c r="B612" s="804" t="s">
        <v>7476</v>
      </c>
      <c r="C612" s="913" t="s">
        <v>8934</v>
      </c>
      <c r="D612" s="804" t="s">
        <v>7511</v>
      </c>
      <c r="E612" s="804" t="s">
        <v>6552</v>
      </c>
      <c r="F612" s="62">
        <v>1200</v>
      </c>
      <c r="G612" s="55">
        <v>273468</v>
      </c>
      <c r="H612" s="804"/>
      <c r="I612" s="802" t="s">
        <v>14586</v>
      </c>
      <c r="L612" s="5"/>
    </row>
    <row r="613" spans="1:12" s="59" customFormat="1" ht="33.75" x14ac:dyDescent="0.2">
      <c r="A613" s="804" t="s">
        <v>7496</v>
      </c>
      <c r="B613" s="804" t="s">
        <v>7476</v>
      </c>
      <c r="C613" s="913" t="s">
        <v>8935</v>
      </c>
      <c r="D613" s="804" t="s">
        <v>7512</v>
      </c>
      <c r="E613" s="804" t="s">
        <v>6552</v>
      </c>
      <c r="F613" s="62">
        <v>1200</v>
      </c>
      <c r="G613" s="55">
        <v>273468</v>
      </c>
      <c r="H613" s="804"/>
      <c r="I613" s="802" t="s">
        <v>14586</v>
      </c>
      <c r="L613" s="5"/>
    </row>
    <row r="614" spans="1:12" s="59" customFormat="1" ht="33.75" x14ac:dyDescent="0.2">
      <c r="A614" s="804" t="s">
        <v>7497</v>
      </c>
      <c r="B614" s="804" t="s">
        <v>7476</v>
      </c>
      <c r="C614" s="913" t="s">
        <v>8936</v>
      </c>
      <c r="D614" s="804" t="s">
        <v>7513</v>
      </c>
      <c r="E614" s="804" t="s">
        <v>6552</v>
      </c>
      <c r="F614" s="62">
        <v>1200</v>
      </c>
      <c r="G614" s="55">
        <v>273468</v>
      </c>
      <c r="H614" s="804"/>
      <c r="I614" s="802" t="s">
        <v>14586</v>
      </c>
      <c r="L614" s="5"/>
    </row>
    <row r="615" spans="1:12" s="59" customFormat="1" ht="33.75" x14ac:dyDescent="0.2">
      <c r="A615" s="804" t="s">
        <v>7498</v>
      </c>
      <c r="B615" s="804" t="s">
        <v>7476</v>
      </c>
      <c r="C615" s="913" t="s">
        <v>8937</v>
      </c>
      <c r="D615" s="804" t="s">
        <v>7514</v>
      </c>
      <c r="E615" s="804" t="s">
        <v>6552</v>
      </c>
      <c r="F615" s="62">
        <v>1200</v>
      </c>
      <c r="G615" s="55">
        <v>273468</v>
      </c>
      <c r="H615" s="804"/>
      <c r="I615" s="802" t="s">
        <v>14586</v>
      </c>
      <c r="L615" s="5"/>
    </row>
    <row r="616" spans="1:12" s="59" customFormat="1" ht="33.75" x14ac:dyDescent="0.2">
      <c r="A616" s="804" t="s">
        <v>7499</v>
      </c>
      <c r="B616" s="804" t="s">
        <v>7476</v>
      </c>
      <c r="C616" s="913" t="s">
        <v>8938</v>
      </c>
      <c r="D616" s="804" t="s">
        <v>7515</v>
      </c>
      <c r="E616" s="804" t="s">
        <v>6552</v>
      </c>
      <c r="F616" s="62">
        <v>1200</v>
      </c>
      <c r="G616" s="55">
        <v>273468</v>
      </c>
      <c r="H616" s="804"/>
      <c r="I616" s="802" t="s">
        <v>14586</v>
      </c>
      <c r="L616" s="5"/>
    </row>
    <row r="617" spans="1:12" s="59" customFormat="1" ht="33.75" x14ac:dyDescent="0.2">
      <c r="A617" s="804" t="s">
        <v>7500</v>
      </c>
      <c r="B617" s="804" t="s">
        <v>7476</v>
      </c>
      <c r="C617" s="913" t="s">
        <v>8939</v>
      </c>
      <c r="D617" s="804" t="s">
        <v>7518</v>
      </c>
      <c r="E617" s="804" t="s">
        <v>6552</v>
      </c>
      <c r="F617" s="62">
        <v>1200</v>
      </c>
      <c r="G617" s="55">
        <v>273468</v>
      </c>
      <c r="H617" s="804"/>
      <c r="I617" s="802" t="s">
        <v>14586</v>
      </c>
      <c r="L617" s="5"/>
    </row>
    <row r="618" spans="1:12" s="59" customFormat="1" ht="33.75" x14ac:dyDescent="0.2">
      <c r="A618" s="804" t="s">
        <v>7501</v>
      </c>
      <c r="B618" s="804" t="s">
        <v>7476</v>
      </c>
      <c r="C618" s="913" t="s">
        <v>8940</v>
      </c>
      <c r="D618" s="804" t="s">
        <v>7519</v>
      </c>
      <c r="E618" s="804" t="s">
        <v>6552</v>
      </c>
      <c r="F618" s="62">
        <v>1200</v>
      </c>
      <c r="G618" s="55">
        <v>273468</v>
      </c>
      <c r="H618" s="804"/>
      <c r="I618" s="802" t="s">
        <v>14586</v>
      </c>
      <c r="L618" s="5"/>
    </row>
    <row r="619" spans="1:12" s="59" customFormat="1" ht="33.75" x14ac:dyDescent="0.2">
      <c r="A619" s="804" t="s">
        <v>7502</v>
      </c>
      <c r="B619" s="804" t="s">
        <v>7476</v>
      </c>
      <c r="C619" s="913" t="s">
        <v>8941</v>
      </c>
      <c r="D619" s="804" t="s">
        <v>7520</v>
      </c>
      <c r="E619" s="804" t="s">
        <v>6552</v>
      </c>
      <c r="F619" s="62">
        <v>1200</v>
      </c>
      <c r="G619" s="55">
        <v>273468</v>
      </c>
      <c r="H619" s="804"/>
      <c r="I619" s="802" t="s">
        <v>14586</v>
      </c>
      <c r="L619" s="5"/>
    </row>
    <row r="620" spans="1:12" s="59" customFormat="1" ht="33.75" x14ac:dyDescent="0.2">
      <c r="A620" s="804" t="s">
        <v>7503</v>
      </c>
      <c r="B620" s="804" t="s">
        <v>7476</v>
      </c>
      <c r="C620" s="913" t="s">
        <v>8942</v>
      </c>
      <c r="D620" s="804" t="s">
        <v>7521</v>
      </c>
      <c r="E620" s="804" t="s">
        <v>6552</v>
      </c>
      <c r="F620" s="62">
        <v>1200</v>
      </c>
      <c r="G620" s="55">
        <v>273468</v>
      </c>
      <c r="H620" s="804"/>
      <c r="I620" s="802" t="s">
        <v>14586</v>
      </c>
      <c r="L620" s="5"/>
    </row>
    <row r="621" spans="1:12" s="59" customFormat="1" ht="33.75" x14ac:dyDescent="0.2">
      <c r="A621" s="804" t="s">
        <v>7516</v>
      </c>
      <c r="B621" s="804" t="s">
        <v>7476</v>
      </c>
      <c r="C621" s="913" t="s">
        <v>8943</v>
      </c>
      <c r="D621" s="804" t="s">
        <v>7541</v>
      </c>
      <c r="E621" s="804" t="s">
        <v>6552</v>
      </c>
      <c r="F621" s="62">
        <v>1200</v>
      </c>
      <c r="G621" s="55">
        <v>279012</v>
      </c>
      <c r="H621" s="804"/>
      <c r="I621" s="802" t="s">
        <v>14586</v>
      </c>
      <c r="L621" s="5"/>
    </row>
    <row r="622" spans="1:12" s="59" customFormat="1" ht="33.75" x14ac:dyDescent="0.2">
      <c r="A622" s="804" t="s">
        <v>7517</v>
      </c>
      <c r="B622" s="804" t="s">
        <v>7476</v>
      </c>
      <c r="C622" s="913" t="s">
        <v>8944</v>
      </c>
      <c r="D622" s="804" t="s">
        <v>7542</v>
      </c>
      <c r="E622" s="804" t="s">
        <v>6552</v>
      </c>
      <c r="F622" s="62">
        <v>1200</v>
      </c>
      <c r="G622" s="55">
        <v>273468</v>
      </c>
      <c r="H622" s="804"/>
      <c r="I622" s="802" t="s">
        <v>14586</v>
      </c>
      <c r="L622" s="5"/>
    </row>
    <row r="623" spans="1:12" s="59" customFormat="1" ht="33.75" x14ac:dyDescent="0.2">
      <c r="A623" s="804" t="s">
        <v>7540</v>
      </c>
      <c r="B623" s="804" t="s">
        <v>7476</v>
      </c>
      <c r="C623" s="913" t="s">
        <v>8945</v>
      </c>
      <c r="D623" s="804" t="s">
        <v>7555</v>
      </c>
      <c r="E623" s="804" t="s">
        <v>6552</v>
      </c>
      <c r="F623" s="62">
        <v>1200</v>
      </c>
      <c r="G623" s="55">
        <v>279012</v>
      </c>
      <c r="H623" s="804"/>
      <c r="I623" s="802" t="s">
        <v>14586</v>
      </c>
      <c r="L623" s="5"/>
    </row>
    <row r="624" spans="1:12" s="59" customFormat="1" ht="33.75" x14ac:dyDescent="0.2">
      <c r="A624" s="804" t="s">
        <v>7540</v>
      </c>
      <c r="B624" s="804" t="s">
        <v>7476</v>
      </c>
      <c r="C624" s="913" t="s">
        <v>8946</v>
      </c>
      <c r="D624" s="804" t="s">
        <v>7556</v>
      </c>
      <c r="E624" s="804" t="s">
        <v>6552</v>
      </c>
      <c r="F624" s="62">
        <v>1200</v>
      </c>
      <c r="G624" s="55">
        <v>279012</v>
      </c>
      <c r="H624" s="804"/>
      <c r="I624" s="802" t="s">
        <v>14586</v>
      </c>
      <c r="L624" s="5"/>
    </row>
    <row r="625" spans="1:12" s="59" customFormat="1" ht="33.75" x14ac:dyDescent="0.2">
      <c r="A625" s="804" t="s">
        <v>7540</v>
      </c>
      <c r="B625" s="804" t="s">
        <v>7476</v>
      </c>
      <c r="C625" s="913" t="s">
        <v>8947</v>
      </c>
      <c r="D625" s="804" t="s">
        <v>7557</v>
      </c>
      <c r="E625" s="804" t="s">
        <v>6552</v>
      </c>
      <c r="F625" s="62">
        <v>1200</v>
      </c>
      <c r="G625" s="55">
        <v>279012</v>
      </c>
      <c r="H625" s="804"/>
      <c r="I625" s="802" t="s">
        <v>14586</v>
      </c>
      <c r="L625" s="5"/>
    </row>
    <row r="626" spans="1:12" s="59" customFormat="1" ht="33.75" x14ac:dyDescent="0.2">
      <c r="A626" s="804" t="s">
        <v>7540</v>
      </c>
      <c r="B626" s="804" t="s">
        <v>7476</v>
      </c>
      <c r="C626" s="913" t="s">
        <v>8948</v>
      </c>
      <c r="D626" s="804" t="s">
        <v>7558</v>
      </c>
      <c r="E626" s="804" t="s">
        <v>6552</v>
      </c>
      <c r="F626" s="62">
        <v>1200</v>
      </c>
      <c r="G626" s="55">
        <v>279012</v>
      </c>
      <c r="H626" s="804"/>
      <c r="I626" s="802" t="s">
        <v>14586</v>
      </c>
      <c r="L626" s="5"/>
    </row>
    <row r="627" spans="1:12" s="59" customFormat="1" ht="33.75" x14ac:dyDescent="0.2">
      <c r="A627" s="804" t="s">
        <v>7540</v>
      </c>
      <c r="B627" s="804" t="s">
        <v>7476</v>
      </c>
      <c r="C627" s="913" t="s">
        <v>8774</v>
      </c>
      <c r="D627" s="804" t="s">
        <v>7559</v>
      </c>
      <c r="E627" s="804" t="s">
        <v>6552</v>
      </c>
      <c r="F627" s="62">
        <v>1200</v>
      </c>
      <c r="G627" s="55">
        <v>279012</v>
      </c>
      <c r="H627" s="804"/>
      <c r="I627" s="802" t="s">
        <v>14586</v>
      </c>
      <c r="L627" s="5"/>
    </row>
    <row r="628" spans="1:12" s="59" customFormat="1" ht="33.75" x14ac:dyDescent="0.2">
      <c r="A628" s="804" t="s">
        <v>7540</v>
      </c>
      <c r="B628" s="804" t="s">
        <v>7476</v>
      </c>
      <c r="C628" s="913" t="s">
        <v>8773</v>
      </c>
      <c r="D628" s="804" t="s">
        <v>7560</v>
      </c>
      <c r="E628" s="804" t="s">
        <v>6552</v>
      </c>
      <c r="F628" s="62">
        <v>1200</v>
      </c>
      <c r="G628" s="55">
        <v>279012</v>
      </c>
      <c r="H628" s="804"/>
      <c r="I628" s="802" t="s">
        <v>14586</v>
      </c>
      <c r="L628" s="5"/>
    </row>
    <row r="629" spans="1:12" s="59" customFormat="1" ht="33.75" x14ac:dyDescent="0.2">
      <c r="A629" s="804" t="s">
        <v>7540</v>
      </c>
      <c r="B629" s="804" t="s">
        <v>7476</v>
      </c>
      <c r="C629" s="913" t="s">
        <v>8772</v>
      </c>
      <c r="D629" s="804" t="s">
        <v>7561</v>
      </c>
      <c r="E629" s="804" t="s">
        <v>6552</v>
      </c>
      <c r="F629" s="62">
        <v>1200</v>
      </c>
      <c r="G629" s="55">
        <v>279012</v>
      </c>
      <c r="H629" s="804"/>
      <c r="I629" s="802" t="s">
        <v>14586</v>
      </c>
      <c r="L629" s="5"/>
    </row>
    <row r="630" spans="1:12" s="59" customFormat="1" ht="33.75" x14ac:dyDescent="0.2">
      <c r="A630" s="804" t="s">
        <v>7543</v>
      </c>
      <c r="B630" s="804" t="s">
        <v>7476</v>
      </c>
      <c r="C630" s="913" t="s">
        <v>8771</v>
      </c>
      <c r="D630" s="804" t="s">
        <v>7547</v>
      </c>
      <c r="E630" s="804" t="s">
        <v>6552</v>
      </c>
      <c r="F630" s="62">
        <v>1200</v>
      </c>
      <c r="G630" s="55">
        <v>279012</v>
      </c>
      <c r="H630" s="804"/>
      <c r="I630" s="802" t="s">
        <v>14586</v>
      </c>
      <c r="L630" s="5"/>
    </row>
    <row r="631" spans="1:12" s="59" customFormat="1" ht="33.75" x14ac:dyDescent="0.2">
      <c r="A631" s="804" t="s">
        <v>7544</v>
      </c>
      <c r="B631" s="804" t="s">
        <v>7476</v>
      </c>
      <c r="C631" s="913" t="s">
        <v>8770</v>
      </c>
      <c r="D631" s="804" t="s">
        <v>7548</v>
      </c>
      <c r="E631" s="804" t="s">
        <v>6552</v>
      </c>
      <c r="F631" s="62">
        <v>1200</v>
      </c>
      <c r="G631" s="55">
        <v>279012</v>
      </c>
      <c r="H631" s="804"/>
      <c r="I631" s="802" t="s">
        <v>14586</v>
      </c>
      <c r="L631" s="5"/>
    </row>
    <row r="632" spans="1:12" s="59" customFormat="1" ht="33.75" x14ac:dyDescent="0.2">
      <c r="A632" s="804" t="s">
        <v>7545</v>
      </c>
      <c r="B632" s="804" t="s">
        <v>7476</v>
      </c>
      <c r="C632" s="913" t="s">
        <v>8769</v>
      </c>
      <c r="D632" s="804" t="s">
        <v>7549</v>
      </c>
      <c r="E632" s="804" t="s">
        <v>6552</v>
      </c>
      <c r="F632" s="62">
        <v>1200</v>
      </c>
      <c r="G632" s="55">
        <v>279012</v>
      </c>
      <c r="H632" s="804"/>
      <c r="I632" s="802" t="s">
        <v>14586</v>
      </c>
      <c r="L632" s="5"/>
    </row>
    <row r="633" spans="1:12" s="59" customFormat="1" ht="33.75" x14ac:dyDescent="0.2">
      <c r="A633" s="804" t="s">
        <v>7546</v>
      </c>
      <c r="B633" s="804" t="s">
        <v>7476</v>
      </c>
      <c r="C633" s="913" t="s">
        <v>8768</v>
      </c>
      <c r="D633" s="804" t="s">
        <v>7550</v>
      </c>
      <c r="E633" s="804" t="s">
        <v>6552</v>
      </c>
      <c r="F633" s="62">
        <v>1200</v>
      </c>
      <c r="G633" s="55">
        <v>279012</v>
      </c>
      <c r="H633" s="804"/>
      <c r="I633" s="802" t="s">
        <v>14586</v>
      </c>
      <c r="L633" s="5"/>
    </row>
    <row r="634" spans="1:12" s="59" customFormat="1" ht="33.75" x14ac:dyDescent="0.2">
      <c r="A634" s="804" t="s">
        <v>7565</v>
      </c>
      <c r="B634" s="804" t="s">
        <v>7476</v>
      </c>
      <c r="C634" s="913" t="s">
        <v>8767</v>
      </c>
      <c r="D634" s="804" t="s">
        <v>7551</v>
      </c>
      <c r="E634" s="804" t="s">
        <v>6552</v>
      </c>
      <c r="F634" s="62">
        <v>1200</v>
      </c>
      <c r="G634" s="55">
        <v>279012</v>
      </c>
      <c r="H634" s="804"/>
      <c r="I634" s="802" t="s">
        <v>14586</v>
      </c>
      <c r="L634" s="5"/>
    </row>
    <row r="635" spans="1:12" s="59" customFormat="1" ht="33.75" x14ac:dyDescent="0.2">
      <c r="A635" s="804" t="s">
        <v>7566</v>
      </c>
      <c r="B635" s="804" t="s">
        <v>7476</v>
      </c>
      <c r="C635" s="913" t="s">
        <v>8766</v>
      </c>
      <c r="D635" s="804" t="s">
        <v>7552</v>
      </c>
      <c r="E635" s="804" t="s">
        <v>6552</v>
      </c>
      <c r="F635" s="62">
        <v>1200</v>
      </c>
      <c r="G635" s="55">
        <v>279012</v>
      </c>
      <c r="H635" s="804"/>
      <c r="I635" s="802" t="s">
        <v>14586</v>
      </c>
      <c r="L635" s="5"/>
    </row>
    <row r="636" spans="1:12" s="59" customFormat="1" ht="33.75" x14ac:dyDescent="0.2">
      <c r="A636" s="804" t="s">
        <v>7567</v>
      </c>
      <c r="B636" s="804" t="s">
        <v>7476</v>
      </c>
      <c r="C636" s="913" t="s">
        <v>8765</v>
      </c>
      <c r="D636" s="804" t="s">
        <v>7579</v>
      </c>
      <c r="E636" s="804" t="s">
        <v>6552</v>
      </c>
      <c r="F636" s="62">
        <v>1200</v>
      </c>
      <c r="G636" s="55">
        <v>279012</v>
      </c>
      <c r="H636" s="804"/>
      <c r="I636" s="802" t="s">
        <v>14586</v>
      </c>
      <c r="L636" s="5"/>
    </row>
    <row r="637" spans="1:12" s="59" customFormat="1" ht="33.75" x14ac:dyDescent="0.2">
      <c r="A637" s="804" t="s">
        <v>7568</v>
      </c>
      <c r="B637" s="804" t="s">
        <v>7476</v>
      </c>
      <c r="C637" s="913" t="s">
        <v>8764</v>
      </c>
      <c r="D637" s="804" t="s">
        <v>7562</v>
      </c>
      <c r="E637" s="804" t="s">
        <v>6552</v>
      </c>
      <c r="F637" s="62">
        <v>1200</v>
      </c>
      <c r="G637" s="55">
        <v>279012</v>
      </c>
      <c r="H637" s="804"/>
      <c r="I637" s="802" t="s">
        <v>14586</v>
      </c>
      <c r="L637" s="5"/>
    </row>
    <row r="638" spans="1:12" s="59" customFormat="1" ht="33.75" x14ac:dyDescent="0.2">
      <c r="A638" s="804" t="s">
        <v>7569</v>
      </c>
      <c r="B638" s="804" t="s">
        <v>7476</v>
      </c>
      <c r="C638" s="913" t="s">
        <v>8763</v>
      </c>
      <c r="D638" s="804" t="s">
        <v>7563</v>
      </c>
      <c r="E638" s="804" t="s">
        <v>6552</v>
      </c>
      <c r="F638" s="62">
        <v>1200</v>
      </c>
      <c r="G638" s="55">
        <v>279012</v>
      </c>
      <c r="H638" s="804"/>
      <c r="I638" s="802" t="s">
        <v>14586</v>
      </c>
      <c r="L638" s="5"/>
    </row>
    <row r="639" spans="1:12" s="59" customFormat="1" ht="33.75" x14ac:dyDescent="0.2">
      <c r="A639" s="804" t="s">
        <v>7570</v>
      </c>
      <c r="B639" s="804" t="s">
        <v>7476</v>
      </c>
      <c r="C639" s="913" t="s">
        <v>8762</v>
      </c>
      <c r="D639" s="804" t="s">
        <v>7564</v>
      </c>
      <c r="E639" s="804" t="s">
        <v>6552</v>
      </c>
      <c r="F639" s="62">
        <v>1200</v>
      </c>
      <c r="G639" s="55">
        <v>279012</v>
      </c>
      <c r="H639" s="804"/>
      <c r="I639" s="802" t="s">
        <v>14586</v>
      </c>
      <c r="L639" s="5"/>
    </row>
    <row r="640" spans="1:12" s="59" customFormat="1" ht="33.75" x14ac:dyDescent="0.2">
      <c r="A640" s="804" t="s">
        <v>7571</v>
      </c>
      <c r="B640" s="804" t="s">
        <v>7476</v>
      </c>
      <c r="C640" s="913" t="s">
        <v>8761</v>
      </c>
      <c r="D640" s="804" t="s">
        <v>7580</v>
      </c>
      <c r="E640" s="804" t="s">
        <v>6552</v>
      </c>
      <c r="F640" s="62">
        <v>1200</v>
      </c>
      <c r="G640" s="55">
        <v>279012</v>
      </c>
      <c r="H640" s="804"/>
      <c r="I640" s="802" t="s">
        <v>14586</v>
      </c>
      <c r="L640" s="5"/>
    </row>
    <row r="641" spans="1:12" s="59" customFormat="1" ht="33.75" x14ac:dyDescent="0.2">
      <c r="A641" s="804" t="s">
        <v>7572</v>
      </c>
      <c r="B641" s="804" t="s">
        <v>7476</v>
      </c>
      <c r="C641" s="913" t="s">
        <v>8760</v>
      </c>
      <c r="D641" s="804" t="s">
        <v>7576</v>
      </c>
      <c r="E641" s="804" t="s">
        <v>6552</v>
      </c>
      <c r="F641" s="62">
        <v>1200</v>
      </c>
      <c r="G641" s="55">
        <v>279012</v>
      </c>
      <c r="H641" s="804"/>
      <c r="I641" s="802" t="s">
        <v>14586</v>
      </c>
      <c r="L641" s="5"/>
    </row>
    <row r="642" spans="1:12" s="59" customFormat="1" ht="33.75" x14ac:dyDescent="0.2">
      <c r="A642" s="804" t="s">
        <v>7573</v>
      </c>
      <c r="B642" s="804" t="s">
        <v>7476</v>
      </c>
      <c r="C642" s="913" t="s">
        <v>8759</v>
      </c>
      <c r="D642" s="804" t="s">
        <v>7577</v>
      </c>
      <c r="E642" s="804" t="s">
        <v>6552</v>
      </c>
      <c r="F642" s="62">
        <v>1200</v>
      </c>
      <c r="G642" s="55">
        <v>279012</v>
      </c>
      <c r="H642" s="804"/>
      <c r="I642" s="802" t="s">
        <v>14586</v>
      </c>
      <c r="L642" s="5"/>
    </row>
    <row r="643" spans="1:12" s="59" customFormat="1" ht="33.75" x14ac:dyDescent="0.2">
      <c r="A643" s="804" t="s">
        <v>7574</v>
      </c>
      <c r="B643" s="804" t="s">
        <v>7476</v>
      </c>
      <c r="C643" s="913" t="s">
        <v>8758</v>
      </c>
      <c r="D643" s="804" t="s">
        <v>7553</v>
      </c>
      <c r="E643" s="804" t="s">
        <v>6552</v>
      </c>
      <c r="F643" s="62">
        <v>1200</v>
      </c>
      <c r="G643" s="55">
        <v>279012</v>
      </c>
      <c r="H643" s="804"/>
      <c r="I643" s="802" t="s">
        <v>14586</v>
      </c>
      <c r="L643" s="5"/>
    </row>
    <row r="644" spans="1:12" s="59" customFormat="1" ht="33.75" x14ac:dyDescent="0.2">
      <c r="A644" s="804" t="s">
        <v>7575</v>
      </c>
      <c r="B644" s="804" t="s">
        <v>7476</v>
      </c>
      <c r="C644" s="913" t="s">
        <v>8757</v>
      </c>
      <c r="D644" s="804" t="s">
        <v>7554</v>
      </c>
      <c r="E644" s="804" t="s">
        <v>6552</v>
      </c>
      <c r="F644" s="62">
        <v>1200</v>
      </c>
      <c r="G644" s="55">
        <v>273468</v>
      </c>
      <c r="H644" s="804"/>
      <c r="I644" s="802" t="s">
        <v>14586</v>
      </c>
      <c r="L644" s="5"/>
    </row>
    <row r="645" spans="1:12" s="59" customFormat="1" ht="33.75" x14ac:dyDescent="0.2">
      <c r="A645" s="804" t="s">
        <v>7581</v>
      </c>
      <c r="B645" s="804" t="s">
        <v>7476</v>
      </c>
      <c r="C645" s="913" t="s">
        <v>8756</v>
      </c>
      <c r="D645" s="804" t="s">
        <v>7578</v>
      </c>
      <c r="E645" s="804" t="s">
        <v>6552</v>
      </c>
      <c r="F645" s="62">
        <v>1200</v>
      </c>
      <c r="G645" s="55">
        <v>279012</v>
      </c>
      <c r="H645" s="804"/>
      <c r="I645" s="802" t="s">
        <v>14586</v>
      </c>
      <c r="L645" s="5"/>
    </row>
    <row r="646" spans="1:12" s="59" customFormat="1" ht="33.75" x14ac:dyDescent="0.2">
      <c r="A646" s="804" t="s">
        <v>7582</v>
      </c>
      <c r="B646" s="804" t="s">
        <v>7476</v>
      </c>
      <c r="C646" s="913" t="s">
        <v>8755</v>
      </c>
      <c r="D646" s="804" t="s">
        <v>7590</v>
      </c>
      <c r="E646" s="804" t="s">
        <v>6552</v>
      </c>
      <c r="F646" s="62">
        <v>1200</v>
      </c>
      <c r="G646" s="55">
        <v>273468</v>
      </c>
      <c r="H646" s="804"/>
      <c r="I646" s="802" t="s">
        <v>14586</v>
      </c>
      <c r="L646" s="5"/>
    </row>
    <row r="647" spans="1:12" s="59" customFormat="1" ht="33.75" x14ac:dyDescent="0.2">
      <c r="A647" s="804" t="s">
        <v>7583</v>
      </c>
      <c r="B647" s="804" t="s">
        <v>7476</v>
      </c>
      <c r="C647" s="913" t="s">
        <v>8754</v>
      </c>
      <c r="D647" s="804" t="s">
        <v>7591</v>
      </c>
      <c r="E647" s="804" t="s">
        <v>6552</v>
      </c>
      <c r="F647" s="62">
        <v>1200</v>
      </c>
      <c r="G647" s="55">
        <v>273468</v>
      </c>
      <c r="H647" s="804"/>
      <c r="I647" s="802" t="s">
        <v>14586</v>
      </c>
      <c r="L647" s="5"/>
    </row>
    <row r="648" spans="1:12" s="59" customFormat="1" ht="33.75" x14ac:dyDescent="0.2">
      <c r="A648" s="804" t="s">
        <v>7586</v>
      </c>
      <c r="B648" s="804" t="s">
        <v>7476</v>
      </c>
      <c r="C648" s="913" t="s">
        <v>8753</v>
      </c>
      <c r="D648" s="804" t="s">
        <v>7597</v>
      </c>
      <c r="E648" s="804" t="s">
        <v>6552</v>
      </c>
      <c r="F648" s="62">
        <v>1200</v>
      </c>
      <c r="G648" s="55">
        <v>273468</v>
      </c>
      <c r="H648" s="804"/>
      <c r="I648" s="802" t="s">
        <v>14586</v>
      </c>
      <c r="L648" s="5"/>
    </row>
    <row r="649" spans="1:12" s="59" customFormat="1" ht="33.75" x14ac:dyDescent="0.2">
      <c r="A649" s="804" t="s">
        <v>7592</v>
      </c>
      <c r="B649" s="804" t="s">
        <v>7476</v>
      </c>
      <c r="C649" s="913" t="s">
        <v>8752</v>
      </c>
      <c r="D649" s="804" t="s">
        <v>7598</v>
      </c>
      <c r="E649" s="804" t="s">
        <v>6552</v>
      </c>
      <c r="F649" s="62">
        <v>1200</v>
      </c>
      <c r="G649" s="55">
        <v>273468</v>
      </c>
      <c r="H649" s="804"/>
      <c r="I649" s="802" t="s">
        <v>14586</v>
      </c>
      <c r="L649" s="5"/>
    </row>
    <row r="650" spans="1:12" s="59" customFormat="1" ht="33.75" x14ac:dyDescent="0.2">
      <c r="A650" s="804" t="s">
        <v>7593</v>
      </c>
      <c r="B650" s="804" t="s">
        <v>7476</v>
      </c>
      <c r="C650" s="913" t="s">
        <v>8751</v>
      </c>
      <c r="D650" s="804" t="s">
        <v>7599</v>
      </c>
      <c r="E650" s="804" t="s">
        <v>6552</v>
      </c>
      <c r="F650" s="62">
        <v>1200</v>
      </c>
      <c r="G650" s="55">
        <v>279012</v>
      </c>
      <c r="H650" s="804"/>
      <c r="I650" s="802" t="s">
        <v>14586</v>
      </c>
      <c r="L650" s="5"/>
    </row>
    <row r="651" spans="1:12" s="59" customFormat="1" ht="33.75" x14ac:dyDescent="0.2">
      <c r="A651" s="804" t="s">
        <v>7594</v>
      </c>
      <c r="B651" s="804" t="s">
        <v>7476</v>
      </c>
      <c r="C651" s="913" t="s">
        <v>8750</v>
      </c>
      <c r="D651" s="804" t="s">
        <v>7609</v>
      </c>
      <c r="E651" s="804" t="s">
        <v>6552</v>
      </c>
      <c r="F651" s="62">
        <v>1200</v>
      </c>
      <c r="G651" s="55">
        <v>279012</v>
      </c>
      <c r="H651" s="804"/>
      <c r="I651" s="802" t="s">
        <v>14586</v>
      </c>
      <c r="L651" s="5"/>
    </row>
    <row r="652" spans="1:12" s="59" customFormat="1" ht="33.75" x14ac:dyDescent="0.2">
      <c r="A652" s="804" t="s">
        <v>7595</v>
      </c>
      <c r="B652" s="804" t="s">
        <v>7476</v>
      </c>
      <c r="C652" s="913" t="s">
        <v>8749</v>
      </c>
      <c r="D652" s="804" t="s">
        <v>7604</v>
      </c>
      <c r="E652" s="804" t="s">
        <v>6552</v>
      </c>
      <c r="F652" s="62">
        <v>1200</v>
      </c>
      <c r="G652" s="55">
        <v>273468</v>
      </c>
      <c r="H652" s="804"/>
      <c r="I652" s="802" t="s">
        <v>14586</v>
      </c>
      <c r="L652" s="5"/>
    </row>
    <row r="653" spans="1:12" s="59" customFormat="1" ht="33.75" x14ac:dyDescent="0.2">
      <c r="A653" s="804" t="s">
        <v>7596</v>
      </c>
      <c r="B653" s="804" t="s">
        <v>7476</v>
      </c>
      <c r="C653" s="913" t="s">
        <v>8748</v>
      </c>
      <c r="D653" s="804" t="s">
        <v>7605</v>
      </c>
      <c r="E653" s="804" t="s">
        <v>6552</v>
      </c>
      <c r="F653" s="62">
        <v>1200</v>
      </c>
      <c r="G653" s="55">
        <v>279012</v>
      </c>
      <c r="H653" s="804"/>
      <c r="I653" s="802" t="s">
        <v>14586</v>
      </c>
      <c r="L653" s="5"/>
    </row>
    <row r="654" spans="1:12" s="59" customFormat="1" ht="33.75" x14ac:dyDescent="0.2">
      <c r="A654" s="804" t="s">
        <v>7601</v>
      </c>
      <c r="B654" s="804" t="s">
        <v>7476</v>
      </c>
      <c r="C654" s="913" t="s">
        <v>8747</v>
      </c>
      <c r="D654" s="804" t="s">
        <v>7613</v>
      </c>
      <c r="E654" s="804" t="s">
        <v>6552</v>
      </c>
      <c r="F654" s="62">
        <v>1200</v>
      </c>
      <c r="G654" s="55">
        <v>279012</v>
      </c>
      <c r="H654" s="804"/>
      <c r="I654" s="802" t="s">
        <v>14586</v>
      </c>
      <c r="L654" s="5"/>
    </row>
    <row r="655" spans="1:12" s="59" customFormat="1" ht="33.75" x14ac:dyDescent="0.2">
      <c r="A655" s="804" t="s">
        <v>7602</v>
      </c>
      <c r="B655" s="804" t="s">
        <v>7476</v>
      </c>
      <c r="C655" s="913" t="s">
        <v>8746</v>
      </c>
      <c r="D655" s="804" t="s">
        <v>7635</v>
      </c>
      <c r="E655" s="804" t="s">
        <v>6552</v>
      </c>
      <c r="F655" s="62">
        <v>1200</v>
      </c>
      <c r="G655" s="55">
        <v>279012</v>
      </c>
      <c r="H655" s="804"/>
      <c r="I655" s="802" t="s">
        <v>14586</v>
      </c>
      <c r="L655" s="5"/>
    </row>
    <row r="656" spans="1:12" s="59" customFormat="1" ht="33.75" x14ac:dyDescent="0.2">
      <c r="A656" s="804" t="s">
        <v>7603</v>
      </c>
      <c r="B656" s="804" t="s">
        <v>7476</v>
      </c>
      <c r="C656" s="913" t="s">
        <v>8745</v>
      </c>
      <c r="D656" s="804" t="s">
        <v>7637</v>
      </c>
      <c r="E656" s="804" t="s">
        <v>6552</v>
      </c>
      <c r="F656" s="62">
        <v>1200</v>
      </c>
      <c r="G656" s="55">
        <v>279012</v>
      </c>
      <c r="H656" s="804"/>
      <c r="I656" s="802" t="s">
        <v>14586</v>
      </c>
      <c r="L656" s="5"/>
    </row>
    <row r="657" spans="1:12" s="59" customFormat="1" ht="33.75" x14ac:dyDescent="0.2">
      <c r="A657" s="804" t="s">
        <v>7610</v>
      </c>
      <c r="B657" s="804" t="s">
        <v>7476</v>
      </c>
      <c r="C657" s="913" t="s">
        <v>8744</v>
      </c>
      <c r="D657" s="804" t="s">
        <v>7636</v>
      </c>
      <c r="E657" s="804" t="s">
        <v>6552</v>
      </c>
      <c r="F657" s="62">
        <v>1200</v>
      </c>
      <c r="G657" s="55">
        <v>279012</v>
      </c>
      <c r="H657" s="804"/>
      <c r="I657" s="802" t="s">
        <v>14586</v>
      </c>
      <c r="L657" s="5"/>
    </row>
    <row r="658" spans="1:12" s="59" customFormat="1" ht="33.75" x14ac:dyDescent="0.2">
      <c r="A658" s="804" t="s">
        <v>7611</v>
      </c>
      <c r="B658" s="804" t="s">
        <v>7476</v>
      </c>
      <c r="C658" s="913" t="s">
        <v>8743</v>
      </c>
      <c r="D658" s="804" t="s">
        <v>7638</v>
      </c>
      <c r="E658" s="804" t="s">
        <v>6552</v>
      </c>
      <c r="F658" s="62">
        <v>1200</v>
      </c>
      <c r="G658" s="55">
        <v>279012</v>
      </c>
      <c r="H658" s="804"/>
      <c r="I658" s="802" t="s">
        <v>14586</v>
      </c>
      <c r="L658" s="5"/>
    </row>
    <row r="659" spans="1:12" s="59" customFormat="1" ht="33.75" x14ac:dyDescent="0.2">
      <c r="A659" s="804" t="s">
        <v>7612</v>
      </c>
      <c r="B659" s="804" t="s">
        <v>7476</v>
      </c>
      <c r="C659" s="913" t="s">
        <v>8742</v>
      </c>
      <c r="D659" s="804" t="s">
        <v>7645</v>
      </c>
      <c r="E659" s="804" t="s">
        <v>6552</v>
      </c>
      <c r="F659" s="62">
        <v>1200</v>
      </c>
      <c r="G659" s="55">
        <v>279012</v>
      </c>
      <c r="H659" s="804"/>
      <c r="I659" s="802" t="s">
        <v>14586</v>
      </c>
      <c r="L659" s="5"/>
    </row>
    <row r="660" spans="1:12" s="59" customFormat="1" ht="33.75" x14ac:dyDescent="0.2">
      <c r="A660" s="804" t="s">
        <v>7621</v>
      </c>
      <c r="B660" s="804" t="s">
        <v>7476</v>
      </c>
      <c r="C660" s="913" t="s">
        <v>8741</v>
      </c>
      <c r="D660" s="804" t="s">
        <v>7646</v>
      </c>
      <c r="E660" s="804" t="s">
        <v>6552</v>
      </c>
      <c r="F660" s="62">
        <v>1200</v>
      </c>
      <c r="G660" s="55">
        <v>279012</v>
      </c>
      <c r="H660" s="804"/>
      <c r="I660" s="802" t="s">
        <v>14586</v>
      </c>
      <c r="L660" s="5"/>
    </row>
    <row r="661" spans="1:12" s="59" customFormat="1" ht="33.75" x14ac:dyDescent="0.2">
      <c r="A661" s="804" t="s">
        <v>7622</v>
      </c>
      <c r="B661" s="804" t="s">
        <v>7476</v>
      </c>
      <c r="C661" s="913" t="s">
        <v>8740</v>
      </c>
      <c r="D661" s="804" t="s">
        <v>7647</v>
      </c>
      <c r="E661" s="804" t="s">
        <v>6552</v>
      </c>
      <c r="F661" s="62">
        <v>1200</v>
      </c>
      <c r="G661" s="55">
        <v>279012</v>
      </c>
      <c r="H661" s="804"/>
      <c r="I661" s="802" t="s">
        <v>14586</v>
      </c>
      <c r="L661" s="5"/>
    </row>
    <row r="662" spans="1:12" s="59" customFormat="1" ht="33.75" x14ac:dyDescent="0.2">
      <c r="A662" s="804" t="s">
        <v>7623</v>
      </c>
      <c r="B662" s="804" t="s">
        <v>7476</v>
      </c>
      <c r="C662" s="913" t="s">
        <v>8739</v>
      </c>
      <c r="D662" s="804" t="s">
        <v>7648</v>
      </c>
      <c r="E662" s="804" t="s">
        <v>6552</v>
      </c>
      <c r="F662" s="62">
        <v>1200</v>
      </c>
      <c r="G662" s="55">
        <v>279012</v>
      </c>
      <c r="H662" s="804"/>
      <c r="I662" s="802" t="s">
        <v>14586</v>
      </c>
      <c r="L662" s="5"/>
    </row>
    <row r="663" spans="1:12" s="59" customFormat="1" ht="33.75" x14ac:dyDescent="0.2">
      <c r="A663" s="804" t="s">
        <v>7624</v>
      </c>
      <c r="B663" s="804" t="s">
        <v>7476</v>
      </c>
      <c r="C663" s="913" t="s">
        <v>8738</v>
      </c>
      <c r="D663" s="804" t="s">
        <v>7649</v>
      </c>
      <c r="E663" s="804" t="s">
        <v>6552</v>
      </c>
      <c r="F663" s="62">
        <v>1200</v>
      </c>
      <c r="G663" s="55">
        <v>279012</v>
      </c>
      <c r="H663" s="804"/>
      <c r="I663" s="802" t="s">
        <v>14586</v>
      </c>
      <c r="L663" s="5"/>
    </row>
    <row r="664" spans="1:12" s="59" customFormat="1" ht="33.75" x14ac:dyDescent="0.2">
      <c r="A664" s="804" t="s">
        <v>7625</v>
      </c>
      <c r="B664" s="804" t="s">
        <v>7476</v>
      </c>
      <c r="C664" s="913" t="s">
        <v>8737</v>
      </c>
      <c r="D664" s="804" t="s">
        <v>7650</v>
      </c>
      <c r="E664" s="804" t="s">
        <v>6552</v>
      </c>
      <c r="F664" s="62">
        <v>1200</v>
      </c>
      <c r="G664" s="55">
        <v>279012</v>
      </c>
      <c r="H664" s="804"/>
      <c r="I664" s="802" t="s">
        <v>14586</v>
      </c>
      <c r="L664" s="5"/>
    </row>
    <row r="665" spans="1:12" s="59" customFormat="1" ht="33.75" x14ac:dyDescent="0.2">
      <c r="A665" s="804" t="s">
        <v>7626</v>
      </c>
      <c r="B665" s="804" t="s">
        <v>7476</v>
      </c>
      <c r="C665" s="913" t="s">
        <v>8736</v>
      </c>
      <c r="D665" s="804" t="s">
        <v>7631</v>
      </c>
      <c r="E665" s="804" t="s">
        <v>6552</v>
      </c>
      <c r="F665" s="62">
        <v>1200</v>
      </c>
      <c r="G665" s="55">
        <v>279012</v>
      </c>
      <c r="H665" s="804"/>
      <c r="I665" s="802" t="s">
        <v>14586</v>
      </c>
      <c r="L665" s="5"/>
    </row>
    <row r="666" spans="1:12" s="59" customFormat="1" ht="33.75" x14ac:dyDescent="0.2">
      <c r="A666" s="804" t="s">
        <v>7633</v>
      </c>
      <c r="B666" s="804" t="s">
        <v>7476</v>
      </c>
      <c r="C666" s="913" t="s">
        <v>8735</v>
      </c>
      <c r="D666" s="804" t="s">
        <v>7632</v>
      </c>
      <c r="E666" s="804" t="s">
        <v>6552</v>
      </c>
      <c r="F666" s="62">
        <v>1200</v>
      </c>
      <c r="G666" s="55">
        <v>279012</v>
      </c>
      <c r="H666" s="804"/>
      <c r="I666" s="802" t="s">
        <v>14586</v>
      </c>
      <c r="L666" s="5"/>
    </row>
    <row r="667" spans="1:12" s="59" customFormat="1" ht="33.75" x14ac:dyDescent="0.2">
      <c r="A667" s="804" t="s">
        <v>7639</v>
      </c>
      <c r="B667" s="804" t="s">
        <v>7476</v>
      </c>
      <c r="C667" s="913" t="s">
        <v>8734</v>
      </c>
      <c r="D667" s="804" t="s">
        <v>7627</v>
      </c>
      <c r="E667" s="804" t="s">
        <v>6552</v>
      </c>
      <c r="F667" s="62">
        <v>1200</v>
      </c>
      <c r="G667" s="55">
        <v>279012</v>
      </c>
      <c r="H667" s="804"/>
      <c r="I667" s="802" t="s">
        <v>14586</v>
      </c>
      <c r="L667" s="5"/>
    </row>
    <row r="668" spans="1:12" s="59" customFormat="1" ht="33.75" x14ac:dyDescent="0.2">
      <c r="A668" s="804" t="s">
        <v>7640</v>
      </c>
      <c r="B668" s="804" t="s">
        <v>7476</v>
      </c>
      <c r="C668" s="913" t="s">
        <v>8733</v>
      </c>
      <c r="D668" s="804" t="s">
        <v>7628</v>
      </c>
      <c r="E668" s="804" t="s">
        <v>6552</v>
      </c>
      <c r="F668" s="62">
        <v>1200</v>
      </c>
      <c r="G668" s="55">
        <v>279012</v>
      </c>
      <c r="H668" s="804"/>
      <c r="I668" s="802" t="s">
        <v>14586</v>
      </c>
      <c r="L668" s="5"/>
    </row>
    <row r="669" spans="1:12" s="59" customFormat="1" ht="33.75" x14ac:dyDescent="0.2">
      <c r="A669" s="804" t="s">
        <v>7641</v>
      </c>
      <c r="B669" s="804" t="s">
        <v>7476</v>
      </c>
      <c r="C669" s="913" t="s">
        <v>8732</v>
      </c>
      <c r="D669" s="804" t="s">
        <v>7629</v>
      </c>
      <c r="E669" s="804" t="s">
        <v>6552</v>
      </c>
      <c r="F669" s="62">
        <v>1200</v>
      </c>
      <c r="G669" s="55">
        <v>279012</v>
      </c>
      <c r="H669" s="804"/>
      <c r="I669" s="802" t="s">
        <v>14586</v>
      </c>
      <c r="L669" s="5"/>
    </row>
    <row r="670" spans="1:12" s="59" customFormat="1" ht="33.75" x14ac:dyDescent="0.2">
      <c r="A670" s="804" t="s">
        <v>7642</v>
      </c>
      <c r="B670" s="804" t="s">
        <v>7476</v>
      </c>
      <c r="C670" s="913" t="s">
        <v>8731</v>
      </c>
      <c r="D670" s="804" t="s">
        <v>7630</v>
      </c>
      <c r="E670" s="804" t="s">
        <v>6552</v>
      </c>
      <c r="F670" s="62">
        <v>1200</v>
      </c>
      <c r="G670" s="55">
        <v>279012</v>
      </c>
      <c r="H670" s="804"/>
      <c r="I670" s="802" t="s">
        <v>14586</v>
      </c>
      <c r="L670" s="5"/>
    </row>
    <row r="671" spans="1:12" s="59" customFormat="1" ht="33.75" x14ac:dyDescent="0.2">
      <c r="A671" s="804" t="s">
        <v>7643</v>
      </c>
      <c r="B671" s="804" t="s">
        <v>7476</v>
      </c>
      <c r="C671" s="913" t="s">
        <v>8730</v>
      </c>
      <c r="D671" s="804" t="s">
        <v>7668</v>
      </c>
      <c r="E671" s="804" t="s">
        <v>6552</v>
      </c>
      <c r="F671" s="62">
        <v>1200</v>
      </c>
      <c r="G671" s="55">
        <v>279012</v>
      </c>
      <c r="H671" s="804"/>
      <c r="I671" s="802" t="s">
        <v>14586</v>
      </c>
      <c r="L671" s="5"/>
    </row>
    <row r="672" spans="1:12" s="59" customFormat="1" ht="33.75" x14ac:dyDescent="0.2">
      <c r="A672" s="804" t="s">
        <v>7718</v>
      </c>
      <c r="B672" s="804" t="s">
        <v>7476</v>
      </c>
      <c r="C672" s="913" t="s">
        <v>8729</v>
      </c>
      <c r="D672" s="804" t="s">
        <v>7669</v>
      </c>
      <c r="E672" s="804" t="s">
        <v>6552</v>
      </c>
      <c r="F672" s="62">
        <v>1200</v>
      </c>
      <c r="G672" s="55">
        <v>279012</v>
      </c>
      <c r="H672" s="804"/>
      <c r="I672" s="802" t="s">
        <v>14586</v>
      </c>
      <c r="L672" s="5"/>
    </row>
    <row r="673" spans="1:12" s="59" customFormat="1" ht="33.75" x14ac:dyDescent="0.2">
      <c r="A673" s="804" t="s">
        <v>7644</v>
      </c>
      <c r="B673" s="804" t="s">
        <v>7476</v>
      </c>
      <c r="C673" s="913" t="s">
        <v>8728</v>
      </c>
      <c r="D673" s="804" t="s">
        <v>7654</v>
      </c>
      <c r="E673" s="804" t="s">
        <v>6552</v>
      </c>
      <c r="F673" s="62">
        <v>1200</v>
      </c>
      <c r="G673" s="55">
        <v>279012</v>
      </c>
      <c r="H673" s="804"/>
      <c r="I673" s="802" t="s">
        <v>14586</v>
      </c>
      <c r="L673" s="5"/>
    </row>
    <row r="674" spans="1:12" s="59" customFormat="1" ht="33.75" x14ac:dyDescent="0.2">
      <c r="A674" s="804" t="s">
        <v>7653</v>
      </c>
      <c r="B674" s="804" t="s">
        <v>7476</v>
      </c>
      <c r="C674" s="913" t="s">
        <v>8727</v>
      </c>
      <c r="D674" s="804" t="s">
        <v>7670</v>
      </c>
      <c r="E674" s="804" t="s">
        <v>6552</v>
      </c>
      <c r="F674" s="62">
        <v>1200</v>
      </c>
      <c r="G674" s="55">
        <v>279012</v>
      </c>
      <c r="H674" s="804"/>
      <c r="I674" s="802" t="s">
        <v>14586</v>
      </c>
      <c r="L674" s="5"/>
    </row>
    <row r="675" spans="1:12" s="59" customFormat="1" ht="33.75" x14ac:dyDescent="0.2">
      <c r="A675" s="804" t="s">
        <v>7665</v>
      </c>
      <c r="B675" s="804" t="s">
        <v>7476</v>
      </c>
      <c r="C675" s="913" t="s">
        <v>8726</v>
      </c>
      <c r="D675" s="804" t="s">
        <v>7671</v>
      </c>
      <c r="E675" s="804" t="s">
        <v>6552</v>
      </c>
      <c r="F675" s="62">
        <v>1200</v>
      </c>
      <c r="G675" s="55">
        <v>279012</v>
      </c>
      <c r="H675" s="804"/>
      <c r="I675" s="802" t="s">
        <v>14586</v>
      </c>
      <c r="L675" s="5"/>
    </row>
    <row r="676" spans="1:12" s="59" customFormat="1" ht="33.75" x14ac:dyDescent="0.2">
      <c r="A676" s="804" t="s">
        <v>7666</v>
      </c>
      <c r="B676" s="804" t="s">
        <v>7476</v>
      </c>
      <c r="C676" s="913" t="s">
        <v>8725</v>
      </c>
      <c r="D676" s="804" t="s">
        <v>7672</v>
      </c>
      <c r="E676" s="804" t="s">
        <v>6552</v>
      </c>
      <c r="F676" s="62">
        <v>1200</v>
      </c>
      <c r="G676" s="55">
        <v>279012</v>
      </c>
      <c r="H676" s="804"/>
      <c r="I676" s="802" t="s">
        <v>14586</v>
      </c>
      <c r="L676" s="5"/>
    </row>
    <row r="677" spans="1:12" s="59" customFormat="1" ht="33.75" x14ac:dyDescent="0.2">
      <c r="A677" s="804" t="s">
        <v>7667</v>
      </c>
      <c r="B677" s="804" t="s">
        <v>7476</v>
      </c>
      <c r="C677" s="913" t="s">
        <v>8724</v>
      </c>
      <c r="D677" s="804" t="s">
        <v>7506</v>
      </c>
      <c r="E677" s="804" t="s">
        <v>6552</v>
      </c>
      <c r="F677" s="62">
        <v>1200</v>
      </c>
      <c r="G677" s="55">
        <v>273468</v>
      </c>
      <c r="H677" s="804"/>
      <c r="I677" s="802" t="s">
        <v>14586</v>
      </c>
      <c r="L677" s="5"/>
    </row>
    <row r="678" spans="1:12" s="59" customFormat="1" ht="33.75" x14ac:dyDescent="0.2">
      <c r="A678" s="804" t="s">
        <v>7675</v>
      </c>
      <c r="B678" s="804" t="s">
        <v>7476</v>
      </c>
      <c r="C678" s="913" t="s">
        <v>8723</v>
      </c>
      <c r="D678" s="804" t="s">
        <v>14458</v>
      </c>
      <c r="E678" s="804" t="s">
        <v>6552</v>
      </c>
      <c r="F678" s="62">
        <v>1200</v>
      </c>
      <c r="G678" s="55">
        <v>273468</v>
      </c>
      <c r="H678" s="804"/>
      <c r="I678" s="802" t="s">
        <v>14586</v>
      </c>
      <c r="L678" s="5"/>
    </row>
    <row r="679" spans="1:12" s="59" customFormat="1" ht="33.75" x14ac:dyDescent="0.2">
      <c r="A679" s="804" t="s">
        <v>7707</v>
      </c>
      <c r="B679" s="804" t="s">
        <v>7476</v>
      </c>
      <c r="C679" s="913" t="s">
        <v>8722</v>
      </c>
      <c r="D679" s="804" t="s">
        <v>7676</v>
      </c>
      <c r="E679" s="804" t="s">
        <v>6552</v>
      </c>
      <c r="F679" s="62">
        <v>1200</v>
      </c>
      <c r="G679" s="55">
        <v>279012</v>
      </c>
      <c r="H679" s="804"/>
      <c r="I679" s="802" t="s">
        <v>14586</v>
      </c>
      <c r="L679" s="5"/>
    </row>
    <row r="680" spans="1:12" s="59" customFormat="1" ht="33.75" x14ac:dyDescent="0.2">
      <c r="A680" s="804" t="s">
        <v>7708</v>
      </c>
      <c r="B680" s="804" t="s">
        <v>7476</v>
      </c>
      <c r="C680" s="913" t="s">
        <v>8721</v>
      </c>
      <c r="D680" s="804" t="s">
        <v>7714</v>
      </c>
      <c r="E680" s="804" t="s">
        <v>6552</v>
      </c>
      <c r="F680" s="62">
        <v>1200</v>
      </c>
      <c r="G680" s="55">
        <v>279012</v>
      </c>
      <c r="H680" s="804"/>
      <c r="I680" s="802" t="s">
        <v>14586</v>
      </c>
      <c r="L680" s="5"/>
    </row>
    <row r="681" spans="1:12" s="59" customFormat="1" ht="33.75" x14ac:dyDescent="0.2">
      <c r="A681" s="804" t="s">
        <v>7709</v>
      </c>
      <c r="B681" s="804" t="s">
        <v>7476</v>
      </c>
      <c r="C681" s="913" t="s">
        <v>8720</v>
      </c>
      <c r="D681" s="804" t="s">
        <v>7715</v>
      </c>
      <c r="E681" s="804" t="s">
        <v>6552</v>
      </c>
      <c r="F681" s="62">
        <v>1200</v>
      </c>
      <c r="G681" s="55">
        <v>279012</v>
      </c>
      <c r="H681" s="804"/>
      <c r="I681" s="802" t="s">
        <v>14586</v>
      </c>
      <c r="L681" s="5"/>
    </row>
    <row r="682" spans="1:12" s="59" customFormat="1" ht="33.75" x14ac:dyDescent="0.2">
      <c r="A682" s="804" t="s">
        <v>7710</v>
      </c>
      <c r="B682" s="804" t="s">
        <v>7476</v>
      </c>
      <c r="C682" s="913" t="s">
        <v>8719</v>
      </c>
      <c r="D682" s="804" t="s">
        <v>7716</v>
      </c>
      <c r="E682" s="804" t="s">
        <v>6552</v>
      </c>
      <c r="F682" s="62">
        <v>1200</v>
      </c>
      <c r="G682" s="55">
        <v>279012</v>
      </c>
      <c r="H682" s="804"/>
      <c r="I682" s="802" t="s">
        <v>14586</v>
      </c>
      <c r="L682" s="5"/>
    </row>
    <row r="683" spans="1:12" s="59" customFormat="1" ht="33.75" x14ac:dyDescent="0.2">
      <c r="A683" s="804" t="s">
        <v>7711</v>
      </c>
      <c r="B683" s="804" t="s">
        <v>7476</v>
      </c>
      <c r="C683" s="913" t="s">
        <v>8718</v>
      </c>
      <c r="D683" s="804" t="s">
        <v>7717</v>
      </c>
      <c r="E683" s="804" t="s">
        <v>6552</v>
      </c>
      <c r="F683" s="62">
        <v>1200</v>
      </c>
      <c r="G683" s="55">
        <v>279012</v>
      </c>
      <c r="H683" s="804"/>
      <c r="I683" s="802" t="s">
        <v>14586</v>
      </c>
      <c r="L683" s="5"/>
    </row>
    <row r="684" spans="1:12" s="59" customFormat="1" ht="33.75" x14ac:dyDescent="0.2">
      <c r="A684" s="804" t="s">
        <v>7712</v>
      </c>
      <c r="B684" s="804" t="s">
        <v>7476</v>
      </c>
      <c r="C684" s="913" t="s">
        <v>8717</v>
      </c>
      <c r="D684" s="804" t="s">
        <v>7587</v>
      </c>
      <c r="E684" s="804" t="s">
        <v>6552</v>
      </c>
      <c r="F684" s="62">
        <v>1200</v>
      </c>
      <c r="G684" s="55">
        <v>279012</v>
      </c>
      <c r="H684" s="804"/>
      <c r="I684" s="802" t="s">
        <v>14586</v>
      </c>
      <c r="L684" s="5"/>
    </row>
    <row r="685" spans="1:12" s="59" customFormat="1" ht="33.75" x14ac:dyDescent="0.2">
      <c r="A685" s="804" t="s">
        <v>7713</v>
      </c>
      <c r="B685" s="804" t="s">
        <v>7476</v>
      </c>
      <c r="C685" s="913" t="s">
        <v>8716</v>
      </c>
      <c r="D685" s="804" t="s">
        <v>7706</v>
      </c>
      <c r="E685" s="804" t="s">
        <v>6552</v>
      </c>
      <c r="F685" s="62">
        <v>1200</v>
      </c>
      <c r="G685" s="55">
        <v>279912</v>
      </c>
      <c r="H685" s="804"/>
      <c r="I685" s="802" t="s">
        <v>14586</v>
      </c>
      <c r="L685" s="5"/>
    </row>
    <row r="686" spans="1:12" s="59" customFormat="1" ht="33.75" x14ac:dyDescent="0.2">
      <c r="A686" s="804" t="s">
        <v>7779</v>
      </c>
      <c r="B686" s="804" t="s">
        <v>7476</v>
      </c>
      <c r="C686" s="913" t="s">
        <v>8715</v>
      </c>
      <c r="D686" s="804" t="s">
        <v>7790</v>
      </c>
      <c r="E686" s="804" t="s">
        <v>6552</v>
      </c>
      <c r="F686" s="62">
        <v>1200</v>
      </c>
      <c r="G686" s="55">
        <v>279012</v>
      </c>
      <c r="H686" s="804"/>
      <c r="I686" s="802" t="s">
        <v>14586</v>
      </c>
      <c r="L686" s="5"/>
    </row>
    <row r="687" spans="1:12" s="59" customFormat="1" ht="33.75" x14ac:dyDescent="0.2">
      <c r="A687" s="804" t="s">
        <v>7780</v>
      </c>
      <c r="B687" s="804" t="s">
        <v>7476</v>
      </c>
      <c r="C687" s="913" t="s">
        <v>8714</v>
      </c>
      <c r="D687" s="804" t="s">
        <v>7791</v>
      </c>
      <c r="E687" s="804" t="s">
        <v>6552</v>
      </c>
      <c r="F687" s="62">
        <v>1200</v>
      </c>
      <c r="G687" s="55">
        <v>279012</v>
      </c>
      <c r="H687" s="804"/>
      <c r="I687" s="802" t="s">
        <v>14586</v>
      </c>
      <c r="L687" s="5"/>
    </row>
    <row r="688" spans="1:12" s="59" customFormat="1" ht="33.75" x14ac:dyDescent="0.2">
      <c r="A688" s="804" t="s">
        <v>7781</v>
      </c>
      <c r="B688" s="804" t="s">
        <v>7476</v>
      </c>
      <c r="C688" s="913" t="s">
        <v>8713</v>
      </c>
      <c r="D688" s="804" t="s">
        <v>7785</v>
      </c>
      <c r="E688" s="804" t="s">
        <v>6552</v>
      </c>
      <c r="F688" s="62">
        <v>1200</v>
      </c>
      <c r="G688" s="55">
        <v>279012</v>
      </c>
      <c r="H688" s="804"/>
      <c r="I688" s="802" t="s">
        <v>14586</v>
      </c>
      <c r="L688" s="5"/>
    </row>
    <row r="689" spans="1:12" s="59" customFormat="1" ht="33.75" x14ac:dyDescent="0.2">
      <c r="A689" s="804" t="s">
        <v>7782</v>
      </c>
      <c r="B689" s="804" t="s">
        <v>7476</v>
      </c>
      <c r="C689" s="913" t="s">
        <v>8712</v>
      </c>
      <c r="D689" s="804" t="s">
        <v>7786</v>
      </c>
      <c r="E689" s="804" t="s">
        <v>6552</v>
      </c>
      <c r="F689" s="62">
        <v>1200</v>
      </c>
      <c r="G689" s="55">
        <v>279012</v>
      </c>
      <c r="H689" s="804"/>
      <c r="I689" s="802" t="s">
        <v>14586</v>
      </c>
      <c r="L689" s="5"/>
    </row>
    <row r="690" spans="1:12" s="59" customFormat="1" ht="33.75" x14ac:dyDescent="0.2">
      <c r="A690" s="804" t="s">
        <v>7783</v>
      </c>
      <c r="B690" s="804" t="s">
        <v>7476</v>
      </c>
      <c r="C690" s="913" t="s">
        <v>8711</v>
      </c>
      <c r="D690" s="804" t="s">
        <v>7792</v>
      </c>
      <c r="E690" s="804" t="s">
        <v>6552</v>
      </c>
      <c r="F690" s="62">
        <v>1200</v>
      </c>
      <c r="G690" s="55">
        <v>279012</v>
      </c>
      <c r="H690" s="804"/>
      <c r="I690" s="802" t="s">
        <v>14586</v>
      </c>
      <c r="L690" s="5"/>
    </row>
    <row r="691" spans="1:12" s="59" customFormat="1" ht="33.75" x14ac:dyDescent="0.2">
      <c r="A691" s="804" t="s">
        <v>7784</v>
      </c>
      <c r="B691" s="804" t="s">
        <v>7476</v>
      </c>
      <c r="C691" s="913" t="s">
        <v>8710</v>
      </c>
      <c r="D691" s="804" t="s">
        <v>7793</v>
      </c>
      <c r="E691" s="804" t="s">
        <v>6552</v>
      </c>
      <c r="F691" s="62">
        <v>1200</v>
      </c>
      <c r="G691" s="55">
        <v>279012</v>
      </c>
      <c r="H691" s="804"/>
      <c r="I691" s="802" t="s">
        <v>14586</v>
      </c>
      <c r="L691" s="5"/>
    </row>
    <row r="692" spans="1:12" s="59" customFormat="1" ht="33.75" x14ac:dyDescent="0.2">
      <c r="A692" s="804" t="s">
        <v>7795</v>
      </c>
      <c r="B692" s="804" t="s">
        <v>7476</v>
      </c>
      <c r="C692" s="913" t="s">
        <v>8709</v>
      </c>
      <c r="D692" s="804" t="s">
        <v>7787</v>
      </c>
      <c r="E692" s="804" t="s">
        <v>6552</v>
      </c>
      <c r="F692" s="62">
        <v>1200</v>
      </c>
      <c r="G692" s="55">
        <v>279012</v>
      </c>
      <c r="H692" s="804"/>
      <c r="I692" s="802" t="s">
        <v>14586</v>
      </c>
      <c r="L692" s="5"/>
    </row>
    <row r="693" spans="1:12" s="59" customFormat="1" ht="33.75" x14ac:dyDescent="0.2">
      <c r="A693" s="804" t="s">
        <v>7796</v>
      </c>
      <c r="B693" s="804" t="s">
        <v>7476</v>
      </c>
      <c r="C693" s="913" t="s">
        <v>8708</v>
      </c>
      <c r="D693" s="804" t="s">
        <v>7788</v>
      </c>
      <c r="E693" s="804" t="s">
        <v>6552</v>
      </c>
      <c r="F693" s="62">
        <v>1200</v>
      </c>
      <c r="G693" s="55">
        <v>279012</v>
      </c>
      <c r="H693" s="804"/>
      <c r="I693" s="802" t="s">
        <v>14586</v>
      </c>
      <c r="L693" s="5"/>
    </row>
    <row r="694" spans="1:12" s="59" customFormat="1" ht="33.75" x14ac:dyDescent="0.2">
      <c r="A694" s="804" t="s">
        <v>7797</v>
      </c>
      <c r="B694" s="804" t="s">
        <v>7476</v>
      </c>
      <c r="C694" s="913" t="s">
        <v>8707</v>
      </c>
      <c r="D694" s="804" t="s">
        <v>7912</v>
      </c>
      <c r="E694" s="804" t="s">
        <v>6552</v>
      </c>
      <c r="F694" s="62">
        <v>1200</v>
      </c>
      <c r="G694" s="55">
        <v>279012</v>
      </c>
      <c r="H694" s="804"/>
      <c r="I694" s="802" t="s">
        <v>14586</v>
      </c>
      <c r="L694" s="5"/>
    </row>
    <row r="695" spans="1:12" s="59" customFormat="1" ht="33.75" x14ac:dyDescent="0.2">
      <c r="A695" s="804" t="s">
        <v>7798</v>
      </c>
      <c r="B695" s="804" t="s">
        <v>7476</v>
      </c>
      <c r="C695" s="913" t="s">
        <v>8706</v>
      </c>
      <c r="D695" s="804" t="s">
        <v>7913</v>
      </c>
      <c r="E695" s="804" t="s">
        <v>6552</v>
      </c>
      <c r="F695" s="62">
        <v>1200</v>
      </c>
      <c r="G695" s="55">
        <v>279012</v>
      </c>
      <c r="H695" s="804"/>
      <c r="I695" s="802" t="s">
        <v>14586</v>
      </c>
      <c r="L695" s="5"/>
    </row>
    <row r="696" spans="1:12" s="59" customFormat="1" ht="33.75" x14ac:dyDescent="0.2">
      <c r="A696" s="804" t="s">
        <v>7799</v>
      </c>
      <c r="B696" s="804" t="s">
        <v>7476</v>
      </c>
      <c r="C696" s="913" t="s">
        <v>8705</v>
      </c>
      <c r="D696" s="804" t="s">
        <v>7794</v>
      </c>
      <c r="E696" s="804" t="s">
        <v>6552</v>
      </c>
      <c r="F696" s="62">
        <v>1200</v>
      </c>
      <c r="G696" s="55">
        <v>279012</v>
      </c>
      <c r="H696" s="804"/>
      <c r="I696" s="802" t="s">
        <v>14586</v>
      </c>
      <c r="L696" s="5"/>
    </row>
    <row r="697" spans="1:12" s="59" customFormat="1" ht="33.75" x14ac:dyDescent="0.2">
      <c r="A697" s="804" t="s">
        <v>7831</v>
      </c>
      <c r="B697" s="804" t="s">
        <v>7476</v>
      </c>
      <c r="C697" s="913" t="s">
        <v>8704</v>
      </c>
      <c r="D697" s="804" t="s">
        <v>7789</v>
      </c>
      <c r="E697" s="804" t="s">
        <v>6552</v>
      </c>
      <c r="F697" s="62">
        <v>1200</v>
      </c>
      <c r="G697" s="55">
        <v>279012</v>
      </c>
      <c r="H697" s="804"/>
      <c r="I697" s="802" t="s">
        <v>14586</v>
      </c>
      <c r="L697" s="5"/>
    </row>
    <row r="698" spans="1:12" s="59" customFormat="1" ht="33.75" x14ac:dyDescent="0.2">
      <c r="A698" s="804" t="s">
        <v>7838</v>
      </c>
      <c r="B698" s="804" t="s">
        <v>7476</v>
      </c>
      <c r="C698" s="913" t="s">
        <v>8703</v>
      </c>
      <c r="D698" s="804" t="s">
        <v>7907</v>
      </c>
      <c r="E698" s="804" t="s">
        <v>6552</v>
      </c>
      <c r="F698" s="62">
        <v>1200</v>
      </c>
      <c r="G698" s="55">
        <v>273468</v>
      </c>
      <c r="H698" s="804"/>
      <c r="I698" s="802" t="s">
        <v>14586</v>
      </c>
      <c r="L698" s="5"/>
    </row>
    <row r="699" spans="1:12" s="59" customFormat="1" ht="33.75" x14ac:dyDescent="0.2">
      <c r="A699" s="804" t="s">
        <v>7911</v>
      </c>
      <c r="B699" s="804" t="s">
        <v>7476</v>
      </c>
      <c r="C699" s="913" t="s">
        <v>8702</v>
      </c>
      <c r="D699" s="804" t="s">
        <v>7839</v>
      </c>
      <c r="E699" s="804" t="s">
        <v>6552</v>
      </c>
      <c r="F699" s="62">
        <v>1200</v>
      </c>
      <c r="G699" s="55">
        <v>279012</v>
      </c>
      <c r="H699" s="804"/>
      <c r="I699" s="802" t="s">
        <v>14586</v>
      </c>
      <c r="L699" s="5"/>
    </row>
    <row r="700" spans="1:12" s="59" customFormat="1" ht="33.75" x14ac:dyDescent="0.2">
      <c r="A700" s="804" t="s">
        <v>7718</v>
      </c>
      <c r="B700" s="804" t="s">
        <v>7476</v>
      </c>
      <c r="C700" s="913" t="s">
        <v>8701</v>
      </c>
      <c r="D700" s="804" t="s">
        <v>7914</v>
      </c>
      <c r="E700" s="804" t="s">
        <v>6552</v>
      </c>
      <c r="F700" s="62">
        <v>1200</v>
      </c>
      <c r="G700" s="55">
        <v>279012</v>
      </c>
      <c r="H700" s="804"/>
      <c r="I700" s="802" t="s">
        <v>14586</v>
      </c>
      <c r="L700" s="5"/>
    </row>
    <row r="701" spans="1:12" s="59" customFormat="1" ht="33.75" x14ac:dyDescent="0.2">
      <c r="A701" s="804" t="s">
        <v>7915</v>
      </c>
      <c r="B701" s="804" t="s">
        <v>7476</v>
      </c>
      <c r="C701" s="913" t="s">
        <v>8700</v>
      </c>
      <c r="D701" s="804" t="s">
        <v>7908</v>
      </c>
      <c r="E701" s="804" t="s">
        <v>6552</v>
      </c>
      <c r="F701" s="62">
        <v>1200</v>
      </c>
      <c r="G701" s="55">
        <v>273468</v>
      </c>
      <c r="H701" s="804"/>
      <c r="I701" s="802" t="s">
        <v>14586</v>
      </c>
      <c r="L701" s="5"/>
    </row>
    <row r="702" spans="1:12" s="59" customFormat="1" ht="33.75" x14ac:dyDescent="0.2">
      <c r="A702" s="804" t="s">
        <v>7916</v>
      </c>
      <c r="B702" s="804" t="s">
        <v>7476</v>
      </c>
      <c r="C702" s="913" t="s">
        <v>8699</v>
      </c>
      <c r="D702" s="804" t="s">
        <v>7909</v>
      </c>
      <c r="E702" s="804" t="s">
        <v>6552</v>
      </c>
      <c r="F702" s="62">
        <v>1200</v>
      </c>
      <c r="G702" s="55">
        <v>273468</v>
      </c>
      <c r="H702" s="804"/>
      <c r="I702" s="802" t="s">
        <v>14586</v>
      </c>
      <c r="L702" s="5"/>
    </row>
    <row r="703" spans="1:12" s="59" customFormat="1" ht="33.75" x14ac:dyDescent="0.2">
      <c r="A703" s="804" t="s">
        <v>7917</v>
      </c>
      <c r="B703" s="804" t="s">
        <v>7476</v>
      </c>
      <c r="C703" s="913" t="s">
        <v>8698</v>
      </c>
      <c r="D703" s="804" t="s">
        <v>7910</v>
      </c>
      <c r="E703" s="804" t="s">
        <v>6552</v>
      </c>
      <c r="F703" s="62">
        <v>1200</v>
      </c>
      <c r="G703" s="55">
        <v>273468</v>
      </c>
      <c r="H703" s="804"/>
      <c r="I703" s="802" t="s">
        <v>14586</v>
      </c>
      <c r="L703" s="5"/>
    </row>
    <row r="704" spans="1:12" s="59" customFormat="1" ht="33.75" x14ac:dyDescent="0.2">
      <c r="A704" s="804" t="s">
        <v>7973</v>
      </c>
      <c r="B704" s="804" t="s">
        <v>7476</v>
      </c>
      <c r="C704" s="913" t="s">
        <v>8697</v>
      </c>
      <c r="D704" s="804" t="s">
        <v>7974</v>
      </c>
      <c r="E704" s="804" t="s">
        <v>6552</v>
      </c>
      <c r="F704" s="62">
        <v>1200</v>
      </c>
      <c r="G704" s="55">
        <v>273468</v>
      </c>
      <c r="H704" s="804"/>
      <c r="I704" s="802" t="s">
        <v>14586</v>
      </c>
      <c r="L704" s="5"/>
    </row>
    <row r="705" spans="1:12" s="59" customFormat="1" ht="33.75" x14ac:dyDescent="0.2">
      <c r="A705" s="804" t="s">
        <v>7976</v>
      </c>
      <c r="B705" s="804" t="s">
        <v>7476</v>
      </c>
      <c r="C705" s="913" t="s">
        <v>8696</v>
      </c>
      <c r="D705" s="804" t="s">
        <v>7977</v>
      </c>
      <c r="E705" s="804" t="s">
        <v>6552</v>
      </c>
      <c r="F705" s="62">
        <v>1200</v>
      </c>
      <c r="G705" s="55">
        <v>273468</v>
      </c>
      <c r="H705" s="804"/>
      <c r="I705" s="802" t="s">
        <v>14586</v>
      </c>
      <c r="L705" s="5"/>
    </row>
    <row r="706" spans="1:12" s="59" customFormat="1" ht="33.75" x14ac:dyDescent="0.2">
      <c r="A706" s="804" t="s">
        <v>7982</v>
      </c>
      <c r="B706" s="804" t="s">
        <v>7476</v>
      </c>
      <c r="C706" s="913" t="s">
        <v>8695</v>
      </c>
      <c r="D706" s="804" t="s">
        <v>7983</v>
      </c>
      <c r="E706" s="804" t="s">
        <v>6552</v>
      </c>
      <c r="F706" s="62">
        <v>1200</v>
      </c>
      <c r="G706" s="55">
        <v>279012</v>
      </c>
      <c r="H706" s="804"/>
      <c r="I706" s="802" t="s">
        <v>14586</v>
      </c>
      <c r="L706" s="5"/>
    </row>
    <row r="707" spans="1:12" s="59" customFormat="1" ht="33.75" x14ac:dyDescent="0.2">
      <c r="A707" s="804" t="s">
        <v>7986</v>
      </c>
      <c r="B707" s="804" t="s">
        <v>7476</v>
      </c>
      <c r="C707" s="913" t="s">
        <v>8694</v>
      </c>
      <c r="D707" s="804" t="s">
        <v>7988</v>
      </c>
      <c r="E707" s="804" t="s">
        <v>6552</v>
      </c>
      <c r="F707" s="62">
        <v>1200</v>
      </c>
      <c r="G707" s="55">
        <v>279912</v>
      </c>
      <c r="H707" s="804"/>
      <c r="I707" s="802" t="s">
        <v>14586</v>
      </c>
      <c r="L707" s="5"/>
    </row>
    <row r="708" spans="1:12" s="59" customFormat="1" ht="33.75" x14ac:dyDescent="0.2">
      <c r="A708" s="804" t="s">
        <v>7987</v>
      </c>
      <c r="B708" s="804" t="s">
        <v>7476</v>
      </c>
      <c r="C708" s="913" t="s">
        <v>8693</v>
      </c>
      <c r="D708" s="804" t="s">
        <v>7989</v>
      </c>
      <c r="E708" s="804" t="s">
        <v>6552</v>
      </c>
      <c r="F708" s="62">
        <v>1200</v>
      </c>
      <c r="G708" s="55">
        <v>279912</v>
      </c>
      <c r="H708" s="804"/>
      <c r="I708" s="802" t="s">
        <v>14586</v>
      </c>
      <c r="L708" s="5"/>
    </row>
    <row r="709" spans="1:12" s="59" customFormat="1" ht="33.75" x14ac:dyDescent="0.2">
      <c r="A709" s="804" t="s">
        <v>7996</v>
      </c>
      <c r="B709" s="804" t="s">
        <v>7476</v>
      </c>
      <c r="C709" s="235" t="s">
        <v>8692</v>
      </c>
      <c r="D709" s="804" t="s">
        <v>8050</v>
      </c>
      <c r="E709" s="144" t="s">
        <v>6552</v>
      </c>
      <c r="F709" s="55">
        <v>1200</v>
      </c>
      <c r="G709" s="55">
        <v>279012</v>
      </c>
      <c r="H709" s="804"/>
      <c r="I709" s="802" t="s">
        <v>14586</v>
      </c>
      <c r="L709" s="5"/>
    </row>
    <row r="710" spans="1:12" s="59" customFormat="1" ht="33.75" x14ac:dyDescent="0.2">
      <c r="A710" s="804" t="s">
        <v>8019</v>
      </c>
      <c r="B710" s="804" t="s">
        <v>7476</v>
      </c>
      <c r="C710" s="235" t="s">
        <v>8691</v>
      </c>
      <c r="D710" s="804" t="s">
        <v>8051</v>
      </c>
      <c r="E710" s="144" t="s">
        <v>6552</v>
      </c>
      <c r="F710" s="55">
        <v>1200</v>
      </c>
      <c r="G710" s="55">
        <v>279012</v>
      </c>
      <c r="H710" s="804"/>
      <c r="I710" s="802" t="s">
        <v>14586</v>
      </c>
      <c r="L710" s="5"/>
    </row>
    <row r="711" spans="1:12" s="59" customFormat="1" ht="33.75" x14ac:dyDescent="0.2">
      <c r="A711" s="804" t="s">
        <v>8020</v>
      </c>
      <c r="B711" s="804" t="s">
        <v>7476</v>
      </c>
      <c r="C711" s="235" t="s">
        <v>8690</v>
      </c>
      <c r="D711" s="804" t="s">
        <v>8052</v>
      </c>
      <c r="E711" s="144" t="s">
        <v>6552</v>
      </c>
      <c r="F711" s="55">
        <v>1200</v>
      </c>
      <c r="G711" s="55">
        <v>279012</v>
      </c>
      <c r="H711" s="804"/>
      <c r="I711" s="802" t="s">
        <v>14586</v>
      </c>
      <c r="L711" s="5"/>
    </row>
    <row r="712" spans="1:12" s="64" customFormat="1" ht="33.75" x14ac:dyDescent="0.2">
      <c r="A712" s="804" t="s">
        <v>8021</v>
      </c>
      <c r="B712" s="804" t="s">
        <v>7476</v>
      </c>
      <c r="C712" s="235" t="s">
        <v>8689</v>
      </c>
      <c r="D712" s="804" t="s">
        <v>8026</v>
      </c>
      <c r="E712" s="144" t="s">
        <v>6552</v>
      </c>
      <c r="F712" s="55">
        <v>1200</v>
      </c>
      <c r="G712" s="55">
        <v>279012</v>
      </c>
      <c r="H712" s="907"/>
      <c r="I712" s="802" t="s">
        <v>14586</v>
      </c>
    </row>
    <row r="713" spans="1:12" s="64" customFormat="1" ht="33.75" x14ac:dyDescent="0.2">
      <c r="A713" s="804" t="s">
        <v>8022</v>
      </c>
      <c r="B713" s="804" t="s">
        <v>7476</v>
      </c>
      <c r="C713" s="913" t="s">
        <v>8688</v>
      </c>
      <c r="D713" s="804" t="s">
        <v>8023</v>
      </c>
      <c r="E713" s="144" t="s">
        <v>6552</v>
      </c>
      <c r="F713" s="55">
        <v>1200</v>
      </c>
      <c r="G713" s="55">
        <v>279012</v>
      </c>
      <c r="H713" s="911"/>
      <c r="I713" s="802" t="s">
        <v>14586</v>
      </c>
    </row>
    <row r="714" spans="1:12" s="64" customFormat="1" ht="33.75" x14ac:dyDescent="0.2">
      <c r="A714" s="804" t="s">
        <v>8029</v>
      </c>
      <c r="B714" s="804" t="s">
        <v>7476</v>
      </c>
      <c r="C714" s="913" t="s">
        <v>8687</v>
      </c>
      <c r="D714" s="804" t="s">
        <v>8027</v>
      </c>
      <c r="E714" s="144" t="s">
        <v>6552</v>
      </c>
      <c r="F714" s="55">
        <v>1200</v>
      </c>
      <c r="G714" s="55">
        <v>279012</v>
      </c>
      <c r="H714" s="804"/>
      <c r="I714" s="802" t="s">
        <v>14586</v>
      </c>
    </row>
    <row r="715" spans="1:12" s="64" customFormat="1" ht="33.75" x14ac:dyDescent="0.2">
      <c r="A715" s="804" t="s">
        <v>8030</v>
      </c>
      <c r="B715" s="804" t="s">
        <v>7476</v>
      </c>
      <c r="C715" s="913" t="s">
        <v>8686</v>
      </c>
      <c r="D715" s="804" t="s">
        <v>8028</v>
      </c>
      <c r="E715" s="144" t="s">
        <v>6552</v>
      </c>
      <c r="F715" s="55">
        <v>1200</v>
      </c>
      <c r="G715" s="55">
        <v>279012</v>
      </c>
      <c r="H715" s="804"/>
      <c r="I715" s="802" t="s">
        <v>14586</v>
      </c>
    </row>
    <row r="716" spans="1:12" s="64" customFormat="1" ht="33.75" x14ac:dyDescent="0.2">
      <c r="A716" s="804" t="s">
        <v>8031</v>
      </c>
      <c r="B716" s="804" t="s">
        <v>7476</v>
      </c>
      <c r="C716" s="913" t="s">
        <v>8685</v>
      </c>
      <c r="D716" s="804" t="s">
        <v>8024</v>
      </c>
      <c r="E716" s="144" t="s">
        <v>6552</v>
      </c>
      <c r="F716" s="55">
        <v>1200</v>
      </c>
      <c r="G716" s="55">
        <v>279012</v>
      </c>
      <c r="H716" s="804"/>
      <c r="I716" s="802" t="s">
        <v>14586</v>
      </c>
    </row>
    <row r="717" spans="1:12" s="64" customFormat="1" ht="33.75" x14ac:dyDescent="0.2">
      <c r="A717" s="804" t="s">
        <v>8032</v>
      </c>
      <c r="B717" s="804" t="s">
        <v>7476</v>
      </c>
      <c r="C717" s="913" t="s">
        <v>8684</v>
      </c>
      <c r="D717" s="804" t="s">
        <v>8025</v>
      </c>
      <c r="E717" s="144" t="s">
        <v>6552</v>
      </c>
      <c r="F717" s="55">
        <v>1200</v>
      </c>
      <c r="G717" s="55">
        <v>279012</v>
      </c>
      <c r="H717" s="804"/>
      <c r="I717" s="802" t="s">
        <v>14586</v>
      </c>
    </row>
    <row r="718" spans="1:12" s="64" customFormat="1" ht="33.75" x14ac:dyDescent="0.2">
      <c r="A718" s="804" t="s">
        <v>8033</v>
      </c>
      <c r="B718" s="804" t="s">
        <v>7476</v>
      </c>
      <c r="C718" s="913" t="s">
        <v>8683</v>
      </c>
      <c r="D718" s="804" t="s">
        <v>8044</v>
      </c>
      <c r="E718" s="144" t="s">
        <v>6552</v>
      </c>
      <c r="F718" s="55">
        <v>1200</v>
      </c>
      <c r="G718" s="55">
        <v>279912</v>
      </c>
      <c r="H718" s="804"/>
      <c r="I718" s="802" t="s">
        <v>14586</v>
      </c>
    </row>
    <row r="719" spans="1:12" s="64" customFormat="1" ht="33.75" x14ac:dyDescent="0.2">
      <c r="A719" s="804" t="s">
        <v>8034</v>
      </c>
      <c r="B719" s="804" t="s">
        <v>7476</v>
      </c>
      <c r="C719" s="913" t="s">
        <v>8682</v>
      </c>
      <c r="D719" s="804" t="s">
        <v>8043</v>
      </c>
      <c r="E719" s="144" t="s">
        <v>6552</v>
      </c>
      <c r="F719" s="55">
        <v>1201</v>
      </c>
      <c r="G719" s="55">
        <v>280145.26</v>
      </c>
      <c r="H719" s="804"/>
      <c r="I719" s="802" t="s">
        <v>14586</v>
      </c>
    </row>
    <row r="720" spans="1:12" s="64" customFormat="1" ht="33.75" x14ac:dyDescent="0.2">
      <c r="A720" s="804" t="s">
        <v>8035</v>
      </c>
      <c r="B720" s="804" t="s">
        <v>7476</v>
      </c>
      <c r="C720" s="913" t="s">
        <v>8681</v>
      </c>
      <c r="D720" s="804" t="s">
        <v>8042</v>
      </c>
      <c r="E720" s="144" t="s">
        <v>6552</v>
      </c>
      <c r="F720" s="55">
        <v>1200</v>
      </c>
      <c r="G720" s="55">
        <v>279912</v>
      </c>
      <c r="H720" s="804"/>
      <c r="I720" s="802" t="s">
        <v>14586</v>
      </c>
    </row>
    <row r="721" spans="1:9" s="64" customFormat="1" ht="33.75" x14ac:dyDescent="0.2">
      <c r="A721" s="804" t="s">
        <v>8036</v>
      </c>
      <c r="B721" s="804" t="s">
        <v>7476</v>
      </c>
      <c r="C721" s="913" t="s">
        <v>8680</v>
      </c>
      <c r="D721" s="804" t="s">
        <v>8039</v>
      </c>
      <c r="E721" s="804" t="s">
        <v>6552</v>
      </c>
      <c r="F721" s="62">
        <v>1200</v>
      </c>
      <c r="G721" s="55">
        <v>273468</v>
      </c>
      <c r="H721" s="804"/>
      <c r="I721" s="802" t="s">
        <v>14586</v>
      </c>
    </row>
    <row r="722" spans="1:9" s="64" customFormat="1" ht="33.75" x14ac:dyDescent="0.2">
      <c r="A722" s="804" t="s">
        <v>8045</v>
      </c>
      <c r="B722" s="804" t="s">
        <v>7476</v>
      </c>
      <c r="C722" s="913" t="s">
        <v>8679</v>
      </c>
      <c r="D722" s="804" t="s">
        <v>8037</v>
      </c>
      <c r="E722" s="144" t="s">
        <v>6552</v>
      </c>
      <c r="F722" s="55">
        <v>1200</v>
      </c>
      <c r="G722" s="55">
        <v>273468</v>
      </c>
      <c r="H722" s="804"/>
      <c r="I722" s="802" t="s">
        <v>14586</v>
      </c>
    </row>
    <row r="723" spans="1:9" s="64" customFormat="1" ht="33.75" x14ac:dyDescent="0.2">
      <c r="A723" s="804" t="s">
        <v>8046</v>
      </c>
      <c r="B723" s="804" t="s">
        <v>7476</v>
      </c>
      <c r="C723" s="235" t="s">
        <v>8678</v>
      </c>
      <c r="D723" s="804" t="s">
        <v>7997</v>
      </c>
      <c r="E723" s="144" t="s">
        <v>6552</v>
      </c>
      <c r="F723" s="55">
        <v>1200</v>
      </c>
      <c r="G723" s="55">
        <v>273468</v>
      </c>
      <c r="H723" s="804"/>
      <c r="I723" s="802" t="s">
        <v>14586</v>
      </c>
    </row>
    <row r="724" spans="1:9" s="64" customFormat="1" ht="33.75" x14ac:dyDescent="0.2">
      <c r="A724" s="804" t="s">
        <v>8047</v>
      </c>
      <c r="B724" s="804" t="s">
        <v>7476</v>
      </c>
      <c r="C724" s="913" t="s">
        <v>8677</v>
      </c>
      <c r="D724" s="804" t="s">
        <v>8041</v>
      </c>
      <c r="E724" s="144" t="s">
        <v>6552</v>
      </c>
      <c r="F724" s="55">
        <v>1200</v>
      </c>
      <c r="G724" s="55">
        <v>273468</v>
      </c>
      <c r="H724" s="804"/>
      <c r="I724" s="802" t="s">
        <v>14586</v>
      </c>
    </row>
    <row r="725" spans="1:9" s="64" customFormat="1" ht="33.75" x14ac:dyDescent="0.2">
      <c r="A725" s="804" t="s">
        <v>8048</v>
      </c>
      <c r="B725" s="804" t="s">
        <v>7476</v>
      </c>
      <c r="C725" s="913" t="s">
        <v>8676</v>
      </c>
      <c r="D725" s="804" t="s">
        <v>8040</v>
      </c>
      <c r="E725" s="144" t="s">
        <v>6552</v>
      </c>
      <c r="F725" s="55">
        <v>1200</v>
      </c>
      <c r="G725" s="55">
        <v>273468</v>
      </c>
      <c r="H725" s="804"/>
      <c r="I725" s="802" t="s">
        <v>14586</v>
      </c>
    </row>
    <row r="726" spans="1:9" s="64" customFormat="1" ht="33.75" x14ac:dyDescent="0.2">
      <c r="A726" s="804" t="s">
        <v>8049</v>
      </c>
      <c r="B726" s="804" t="s">
        <v>7476</v>
      </c>
      <c r="C726" s="913" t="s">
        <v>8675</v>
      </c>
      <c r="D726" s="804" t="s">
        <v>8038</v>
      </c>
      <c r="E726" s="144" t="s">
        <v>6552</v>
      </c>
      <c r="F726" s="55">
        <v>1200</v>
      </c>
      <c r="G726" s="55">
        <v>279012</v>
      </c>
      <c r="H726" s="804"/>
      <c r="I726" s="802" t="s">
        <v>14586</v>
      </c>
    </row>
    <row r="727" spans="1:9" s="64" customFormat="1" ht="33.75" x14ac:dyDescent="0.2">
      <c r="A727" s="804" t="s">
        <v>8078</v>
      </c>
      <c r="B727" s="804" t="s">
        <v>7476</v>
      </c>
      <c r="C727" s="913" t="s">
        <v>8674</v>
      </c>
      <c r="D727" s="804" t="s">
        <v>8085</v>
      </c>
      <c r="E727" s="144" t="s">
        <v>6552</v>
      </c>
      <c r="F727" s="55">
        <v>1200</v>
      </c>
      <c r="G727" s="55">
        <v>279012</v>
      </c>
      <c r="H727" s="804"/>
      <c r="I727" s="802" t="s">
        <v>14586</v>
      </c>
    </row>
    <row r="728" spans="1:9" s="64" customFormat="1" ht="33.75" x14ac:dyDescent="0.2">
      <c r="A728" s="804" t="s">
        <v>8079</v>
      </c>
      <c r="B728" s="804" t="s">
        <v>7476</v>
      </c>
      <c r="C728" s="913" t="s">
        <v>8673</v>
      </c>
      <c r="D728" s="804" t="s">
        <v>8087</v>
      </c>
      <c r="E728" s="144" t="s">
        <v>6552</v>
      </c>
      <c r="F728" s="55">
        <v>1200</v>
      </c>
      <c r="G728" s="55">
        <v>279012</v>
      </c>
      <c r="H728" s="804"/>
      <c r="I728" s="802" t="s">
        <v>14586</v>
      </c>
    </row>
    <row r="729" spans="1:9" s="64" customFormat="1" ht="33.75" x14ac:dyDescent="0.2">
      <c r="A729" s="804" t="s">
        <v>8080</v>
      </c>
      <c r="B729" s="804" t="s">
        <v>7476</v>
      </c>
      <c r="C729" s="913" t="s">
        <v>8672</v>
      </c>
      <c r="D729" s="804" t="s">
        <v>8086</v>
      </c>
      <c r="E729" s="144" t="s">
        <v>6552</v>
      </c>
      <c r="F729" s="55">
        <v>1200</v>
      </c>
      <c r="G729" s="55">
        <v>279012</v>
      </c>
      <c r="H729" s="804"/>
      <c r="I729" s="802" t="s">
        <v>14586</v>
      </c>
    </row>
    <row r="730" spans="1:9" s="64" customFormat="1" ht="33.75" x14ac:dyDescent="0.2">
      <c r="A730" s="804" t="s">
        <v>8081</v>
      </c>
      <c r="B730" s="804" t="s">
        <v>7476</v>
      </c>
      <c r="C730" s="913" t="s">
        <v>8671</v>
      </c>
      <c r="D730" s="804" t="s">
        <v>8088</v>
      </c>
      <c r="E730" s="144" t="s">
        <v>6552</v>
      </c>
      <c r="F730" s="55">
        <v>1200</v>
      </c>
      <c r="G730" s="55">
        <v>279012</v>
      </c>
      <c r="H730" s="804"/>
      <c r="I730" s="802" t="s">
        <v>14586</v>
      </c>
    </row>
    <row r="731" spans="1:9" s="64" customFormat="1" ht="33.75" x14ac:dyDescent="0.2">
      <c r="A731" s="804" t="s">
        <v>8082</v>
      </c>
      <c r="B731" s="804" t="s">
        <v>7476</v>
      </c>
      <c r="C731" s="913" t="s">
        <v>8670</v>
      </c>
      <c r="D731" s="804" t="s">
        <v>8090</v>
      </c>
      <c r="E731" s="144" t="s">
        <v>6552</v>
      </c>
      <c r="F731" s="55">
        <v>1200</v>
      </c>
      <c r="G731" s="55">
        <v>279012</v>
      </c>
      <c r="H731" s="804"/>
      <c r="I731" s="802" t="s">
        <v>14586</v>
      </c>
    </row>
    <row r="732" spans="1:9" s="64" customFormat="1" ht="33.75" x14ac:dyDescent="0.2">
      <c r="A732" s="804" t="s">
        <v>8083</v>
      </c>
      <c r="B732" s="804" t="s">
        <v>7476</v>
      </c>
      <c r="C732" s="913" t="s">
        <v>8092</v>
      </c>
      <c r="D732" s="804" t="s">
        <v>8091</v>
      </c>
      <c r="E732" s="144" t="s">
        <v>6552</v>
      </c>
      <c r="F732" s="55">
        <v>1200</v>
      </c>
      <c r="G732" s="55">
        <v>279012</v>
      </c>
      <c r="H732" s="804"/>
      <c r="I732" s="802" t="s">
        <v>14586</v>
      </c>
    </row>
    <row r="733" spans="1:9" s="64" customFormat="1" ht="33.75" x14ac:dyDescent="0.2">
      <c r="A733" s="804" t="s">
        <v>8084</v>
      </c>
      <c r="B733" s="804" t="s">
        <v>7476</v>
      </c>
      <c r="C733" s="913" t="s">
        <v>8669</v>
      </c>
      <c r="D733" s="804" t="s">
        <v>8089</v>
      </c>
      <c r="E733" s="144" t="s">
        <v>6552</v>
      </c>
      <c r="F733" s="55">
        <v>1200</v>
      </c>
      <c r="G733" s="55">
        <v>279012</v>
      </c>
      <c r="H733" s="804"/>
      <c r="I733" s="802" t="s">
        <v>14586</v>
      </c>
    </row>
    <row r="734" spans="1:9" s="64" customFormat="1" ht="33.75" x14ac:dyDescent="0.2">
      <c r="A734" s="804" t="s">
        <v>8108</v>
      </c>
      <c r="B734" s="804" t="s">
        <v>7476</v>
      </c>
      <c r="C734" s="913" t="s">
        <v>8668</v>
      </c>
      <c r="D734" s="804" t="s">
        <v>8121</v>
      </c>
      <c r="E734" s="144" t="s">
        <v>6552</v>
      </c>
      <c r="F734" s="55">
        <v>1200</v>
      </c>
      <c r="G734" s="55">
        <v>273468</v>
      </c>
      <c r="H734" s="804"/>
      <c r="I734" s="802" t="s">
        <v>14586</v>
      </c>
    </row>
    <row r="735" spans="1:9" s="64" customFormat="1" ht="33.75" x14ac:dyDescent="0.2">
      <c r="A735" s="804" t="s">
        <v>8109</v>
      </c>
      <c r="B735" s="804" t="s">
        <v>7476</v>
      </c>
      <c r="C735" s="913" t="s">
        <v>8667</v>
      </c>
      <c r="D735" s="804" t="s">
        <v>8122</v>
      </c>
      <c r="E735" s="144" t="s">
        <v>6552</v>
      </c>
      <c r="F735" s="55">
        <v>1200</v>
      </c>
      <c r="G735" s="55">
        <v>273468</v>
      </c>
      <c r="H735" s="804"/>
      <c r="I735" s="802" t="s">
        <v>14586</v>
      </c>
    </row>
    <row r="736" spans="1:9" s="64" customFormat="1" ht="33.75" x14ac:dyDescent="0.2">
      <c r="A736" s="804" t="s">
        <v>8110</v>
      </c>
      <c r="B736" s="804" t="s">
        <v>7476</v>
      </c>
      <c r="C736" s="913" t="s">
        <v>8666</v>
      </c>
      <c r="D736" s="804" t="s">
        <v>8123</v>
      </c>
      <c r="E736" s="144" t="s">
        <v>6552</v>
      </c>
      <c r="F736" s="55">
        <v>1200</v>
      </c>
      <c r="G736" s="55">
        <v>273468</v>
      </c>
      <c r="H736" s="804"/>
      <c r="I736" s="802" t="s">
        <v>14586</v>
      </c>
    </row>
    <row r="737" spans="1:12" s="64" customFormat="1" ht="33.75" x14ac:dyDescent="0.2">
      <c r="A737" s="804" t="s">
        <v>8111</v>
      </c>
      <c r="B737" s="804" t="s">
        <v>7476</v>
      </c>
      <c r="C737" s="913" t="s">
        <v>8665</v>
      </c>
      <c r="D737" s="804" t="s">
        <v>8124</v>
      </c>
      <c r="E737" s="144" t="s">
        <v>6552</v>
      </c>
      <c r="F737" s="55">
        <v>1200</v>
      </c>
      <c r="G737" s="55">
        <v>279012</v>
      </c>
      <c r="H737" s="804"/>
      <c r="I737" s="802" t="s">
        <v>14586</v>
      </c>
    </row>
    <row r="738" spans="1:12" s="64" customFormat="1" ht="33.75" x14ac:dyDescent="0.2">
      <c r="A738" s="804" t="s">
        <v>8112</v>
      </c>
      <c r="B738" s="804" t="s">
        <v>7476</v>
      </c>
      <c r="C738" s="913" t="s">
        <v>8664</v>
      </c>
      <c r="D738" s="804" t="s">
        <v>8137</v>
      </c>
      <c r="E738" s="144" t="s">
        <v>6552</v>
      </c>
      <c r="F738" s="55">
        <v>1200</v>
      </c>
      <c r="G738" s="55">
        <v>279012</v>
      </c>
      <c r="H738" s="804"/>
      <c r="I738" s="802" t="s">
        <v>14586</v>
      </c>
    </row>
    <row r="739" spans="1:12" s="64" customFormat="1" ht="33.75" x14ac:dyDescent="0.2">
      <c r="A739" s="804" t="s">
        <v>8113</v>
      </c>
      <c r="B739" s="804" t="s">
        <v>7476</v>
      </c>
      <c r="C739" s="913" t="s">
        <v>8663</v>
      </c>
      <c r="D739" s="804" t="s">
        <v>8138</v>
      </c>
      <c r="E739" s="144" t="s">
        <v>6552</v>
      </c>
      <c r="F739" s="55">
        <v>1200</v>
      </c>
      <c r="G739" s="55">
        <v>279012</v>
      </c>
      <c r="H739" s="804"/>
      <c r="I739" s="802" t="s">
        <v>14586</v>
      </c>
    </row>
    <row r="740" spans="1:12" s="64" customFormat="1" ht="33.75" x14ac:dyDescent="0.2">
      <c r="A740" s="804" t="s">
        <v>8114</v>
      </c>
      <c r="B740" s="804" t="s">
        <v>7476</v>
      </c>
      <c r="C740" s="913" t="s">
        <v>8662</v>
      </c>
      <c r="D740" s="804" t="s">
        <v>8125</v>
      </c>
      <c r="E740" s="144" t="s">
        <v>6552</v>
      </c>
      <c r="F740" s="55">
        <v>1200</v>
      </c>
      <c r="G740" s="55">
        <v>273468</v>
      </c>
      <c r="H740" s="804"/>
      <c r="I740" s="802" t="s">
        <v>14586</v>
      </c>
    </row>
    <row r="741" spans="1:12" s="64" customFormat="1" ht="33.75" x14ac:dyDescent="0.2">
      <c r="A741" s="804" t="s">
        <v>8115</v>
      </c>
      <c r="B741" s="804" t="s">
        <v>7476</v>
      </c>
      <c r="C741" s="913" t="s">
        <v>8661</v>
      </c>
      <c r="D741" s="804" t="s">
        <v>8126</v>
      </c>
      <c r="E741" s="144" t="s">
        <v>6552</v>
      </c>
      <c r="F741" s="55">
        <v>1200</v>
      </c>
      <c r="G741" s="55">
        <v>273468</v>
      </c>
      <c r="H741" s="804"/>
      <c r="I741" s="802" t="s">
        <v>14586</v>
      </c>
    </row>
    <row r="742" spans="1:12" s="64" customFormat="1" ht="33.75" x14ac:dyDescent="0.2">
      <c r="A742" s="804" t="s">
        <v>8116</v>
      </c>
      <c r="B742" s="804" t="s">
        <v>7476</v>
      </c>
      <c r="C742" s="913" t="s">
        <v>8660</v>
      </c>
      <c r="D742" s="804" t="s">
        <v>8127</v>
      </c>
      <c r="E742" s="144" t="s">
        <v>6552</v>
      </c>
      <c r="F742" s="55">
        <v>1200</v>
      </c>
      <c r="G742" s="55">
        <v>279012</v>
      </c>
      <c r="H742" s="804"/>
      <c r="I742" s="802" t="s">
        <v>14586</v>
      </c>
    </row>
    <row r="743" spans="1:12" s="64" customFormat="1" ht="33.75" x14ac:dyDescent="0.2">
      <c r="A743" s="804" t="s">
        <v>8117</v>
      </c>
      <c r="B743" s="804" t="s">
        <v>7476</v>
      </c>
      <c r="C743" s="913" t="s">
        <v>8659</v>
      </c>
      <c r="D743" s="804" t="s">
        <v>8128</v>
      </c>
      <c r="E743" s="144" t="s">
        <v>6552</v>
      </c>
      <c r="F743" s="55">
        <v>1200</v>
      </c>
      <c r="G743" s="55">
        <v>279012</v>
      </c>
      <c r="H743" s="804"/>
      <c r="I743" s="802" t="s">
        <v>14586</v>
      </c>
    </row>
    <row r="744" spans="1:12" s="64" customFormat="1" ht="33.75" x14ac:dyDescent="0.2">
      <c r="A744" s="804" t="s">
        <v>8118</v>
      </c>
      <c r="B744" s="804" t="s">
        <v>7476</v>
      </c>
      <c r="C744" s="913" t="s">
        <v>8658</v>
      </c>
      <c r="D744" s="804" t="s">
        <v>8139</v>
      </c>
      <c r="E744" s="144" t="s">
        <v>6552</v>
      </c>
      <c r="F744" s="55">
        <v>1200</v>
      </c>
      <c r="G744" s="55">
        <v>279012</v>
      </c>
      <c r="H744" s="804"/>
      <c r="I744" s="802" t="s">
        <v>14586</v>
      </c>
    </row>
    <row r="745" spans="1:12" s="64" customFormat="1" ht="33.75" x14ac:dyDescent="0.2">
      <c r="A745" s="804" t="s">
        <v>8119</v>
      </c>
      <c r="B745" s="804" t="s">
        <v>7476</v>
      </c>
      <c r="C745" s="913" t="s">
        <v>8657</v>
      </c>
      <c r="D745" s="804" t="s">
        <v>8140</v>
      </c>
      <c r="E745" s="144" t="s">
        <v>6552</v>
      </c>
      <c r="F745" s="55">
        <v>1200</v>
      </c>
      <c r="G745" s="55">
        <v>279012</v>
      </c>
      <c r="H745" s="804"/>
      <c r="I745" s="802" t="s">
        <v>14586</v>
      </c>
    </row>
    <row r="746" spans="1:12" s="64" customFormat="1" ht="33.75" x14ac:dyDescent="0.2">
      <c r="A746" s="804" t="s">
        <v>8120</v>
      </c>
      <c r="B746" s="804" t="s">
        <v>7476</v>
      </c>
      <c r="C746" s="913" t="s">
        <v>8656</v>
      </c>
      <c r="D746" s="804" t="s">
        <v>8129</v>
      </c>
      <c r="E746" s="144" t="s">
        <v>6552</v>
      </c>
      <c r="F746" s="55">
        <v>1200</v>
      </c>
      <c r="G746" s="55">
        <v>279012</v>
      </c>
      <c r="H746" s="804"/>
      <c r="I746" s="802" t="s">
        <v>14586</v>
      </c>
    </row>
    <row r="747" spans="1:12" s="64" customFormat="1" ht="33.75" x14ac:dyDescent="0.2">
      <c r="A747" s="804" t="s">
        <v>8141</v>
      </c>
      <c r="B747" s="804" t="s">
        <v>7476</v>
      </c>
      <c r="C747" s="913" t="s">
        <v>8649</v>
      </c>
      <c r="D747" s="804" t="s">
        <v>8130</v>
      </c>
      <c r="E747" s="144" t="s">
        <v>6552</v>
      </c>
      <c r="F747" s="55">
        <v>1200</v>
      </c>
      <c r="G747" s="55">
        <v>279012</v>
      </c>
      <c r="H747" s="804"/>
      <c r="I747" s="802" t="s">
        <v>14586</v>
      </c>
    </row>
    <row r="748" spans="1:12" s="64" customFormat="1" ht="33.75" x14ac:dyDescent="0.2">
      <c r="A748" s="804" t="s">
        <v>8141</v>
      </c>
      <c r="B748" s="804" t="s">
        <v>7476</v>
      </c>
      <c r="C748" s="913" t="s">
        <v>8648</v>
      </c>
      <c r="D748" s="804" t="s">
        <v>8131</v>
      </c>
      <c r="E748" s="144" t="s">
        <v>6552</v>
      </c>
      <c r="F748" s="55">
        <v>1200</v>
      </c>
      <c r="G748" s="55">
        <v>279012</v>
      </c>
      <c r="H748" s="804"/>
      <c r="I748" s="802" t="s">
        <v>14586</v>
      </c>
    </row>
    <row r="749" spans="1:12" s="64" customFormat="1" ht="33.75" x14ac:dyDescent="0.2">
      <c r="A749" s="804" t="s">
        <v>8141</v>
      </c>
      <c r="B749" s="804" t="s">
        <v>7476</v>
      </c>
      <c r="C749" s="913" t="s">
        <v>8647</v>
      </c>
      <c r="D749" s="804" t="s">
        <v>8132</v>
      </c>
      <c r="E749" s="144" t="s">
        <v>6552</v>
      </c>
      <c r="F749" s="55">
        <v>1200</v>
      </c>
      <c r="G749" s="55">
        <v>279012</v>
      </c>
      <c r="H749" s="804"/>
      <c r="I749" s="802" t="s">
        <v>14586</v>
      </c>
    </row>
    <row r="750" spans="1:12" s="64" customFormat="1" ht="33.75" x14ac:dyDescent="0.2">
      <c r="A750" s="804" t="s">
        <v>8141</v>
      </c>
      <c r="B750" s="804" t="s">
        <v>7476</v>
      </c>
      <c r="C750" s="913" t="s">
        <v>8646</v>
      </c>
      <c r="D750" s="804" t="s">
        <v>8133</v>
      </c>
      <c r="E750" s="144" t="s">
        <v>6552</v>
      </c>
      <c r="F750" s="55">
        <v>1200</v>
      </c>
      <c r="G750" s="55">
        <v>279012</v>
      </c>
      <c r="H750" s="804"/>
      <c r="I750" s="802" t="s">
        <v>14586</v>
      </c>
    </row>
    <row r="751" spans="1:12" s="64" customFormat="1" ht="33.75" x14ac:dyDescent="0.2">
      <c r="A751" s="804" t="s">
        <v>8141</v>
      </c>
      <c r="B751" s="804" t="s">
        <v>7476</v>
      </c>
      <c r="C751" s="913" t="s">
        <v>8645</v>
      </c>
      <c r="D751" s="804" t="s">
        <v>8134</v>
      </c>
      <c r="E751" s="144" t="s">
        <v>6552</v>
      </c>
      <c r="F751" s="55">
        <v>1200</v>
      </c>
      <c r="G751" s="55">
        <v>279012</v>
      </c>
      <c r="H751" s="804"/>
      <c r="I751" s="802" t="s">
        <v>14586</v>
      </c>
    </row>
    <row r="752" spans="1:12" s="950" customFormat="1" ht="33.75" x14ac:dyDescent="0.2">
      <c r="A752" s="804" t="s">
        <v>8183</v>
      </c>
      <c r="B752" s="180" t="s">
        <v>7476</v>
      </c>
      <c r="C752" s="236" t="s">
        <v>8655</v>
      </c>
      <c r="D752" s="180" t="s">
        <v>8184</v>
      </c>
      <c r="E752" s="237" t="s">
        <v>6552</v>
      </c>
      <c r="F752" s="234">
        <v>1200</v>
      </c>
      <c r="G752" s="234">
        <v>279012</v>
      </c>
      <c r="H752" s="804"/>
      <c r="I752" s="802" t="s">
        <v>14586</v>
      </c>
      <c r="L752" s="951"/>
    </row>
    <row r="753" spans="1:12" s="950" customFormat="1" ht="33.75" x14ac:dyDescent="0.2">
      <c r="A753" s="804" t="s">
        <v>8185</v>
      </c>
      <c r="B753" s="180" t="s">
        <v>7476</v>
      </c>
      <c r="C753" s="236" t="s">
        <v>8654</v>
      </c>
      <c r="D753" s="180" t="s">
        <v>8186</v>
      </c>
      <c r="E753" s="237" t="s">
        <v>6552</v>
      </c>
      <c r="F753" s="234">
        <v>1200</v>
      </c>
      <c r="G753" s="234">
        <v>279012</v>
      </c>
      <c r="H753" s="804"/>
      <c r="I753" s="802" t="s">
        <v>14586</v>
      </c>
      <c r="L753" s="951"/>
    </row>
    <row r="754" spans="1:12" s="950" customFormat="1" ht="33.75" x14ac:dyDescent="0.2">
      <c r="A754" s="804" t="s">
        <v>8187</v>
      </c>
      <c r="B754" s="180" t="s">
        <v>7476</v>
      </c>
      <c r="C754" s="236" t="s">
        <v>8653</v>
      </c>
      <c r="D754" s="180" t="s">
        <v>8188</v>
      </c>
      <c r="E754" s="237" t="s">
        <v>6552</v>
      </c>
      <c r="F754" s="234">
        <v>1200</v>
      </c>
      <c r="G754" s="234">
        <v>286080</v>
      </c>
      <c r="H754" s="804"/>
      <c r="I754" s="802" t="s">
        <v>14586</v>
      </c>
      <c r="L754" s="951"/>
    </row>
    <row r="755" spans="1:12" s="950" customFormat="1" ht="33.75" x14ac:dyDescent="0.2">
      <c r="A755" s="804" t="s">
        <v>8189</v>
      </c>
      <c r="B755" s="180" t="s">
        <v>7476</v>
      </c>
      <c r="C755" s="236" t="s">
        <v>8652</v>
      </c>
      <c r="D755" s="180" t="s">
        <v>8190</v>
      </c>
      <c r="E755" s="237" t="s">
        <v>6552</v>
      </c>
      <c r="F755" s="234">
        <v>1200</v>
      </c>
      <c r="G755" s="234">
        <v>279012</v>
      </c>
      <c r="H755" s="804"/>
      <c r="I755" s="802" t="s">
        <v>14586</v>
      </c>
      <c r="L755" s="951"/>
    </row>
    <row r="756" spans="1:12" s="950" customFormat="1" ht="56.25" x14ac:dyDescent="0.2">
      <c r="A756" s="804" t="s">
        <v>8199</v>
      </c>
      <c r="B756" s="912" t="s">
        <v>8200</v>
      </c>
      <c r="C756" s="236" t="s">
        <v>8323</v>
      </c>
      <c r="D756" s="804" t="s">
        <v>8198</v>
      </c>
      <c r="E756" s="237" t="s">
        <v>6552</v>
      </c>
      <c r="F756" s="125">
        <v>101</v>
      </c>
      <c r="G756" s="125">
        <v>46778.15</v>
      </c>
      <c r="H756" s="804"/>
      <c r="I756" s="802" t="s">
        <v>11668</v>
      </c>
      <c r="L756" s="951"/>
    </row>
    <row r="757" spans="1:12" s="950" customFormat="1" ht="33.75" x14ac:dyDescent="0.2">
      <c r="A757" s="804" t="s">
        <v>8202</v>
      </c>
      <c r="B757" s="180" t="s">
        <v>7476</v>
      </c>
      <c r="C757" s="913" t="s">
        <v>8651</v>
      </c>
      <c r="D757" s="804" t="s">
        <v>8215</v>
      </c>
      <c r="E757" s="237" t="s">
        <v>6552</v>
      </c>
      <c r="F757" s="125">
        <v>1200</v>
      </c>
      <c r="G757" s="234">
        <v>279012</v>
      </c>
      <c r="H757" s="804"/>
      <c r="I757" s="802" t="s">
        <v>14586</v>
      </c>
      <c r="L757" s="951"/>
    </row>
    <row r="758" spans="1:12" s="950" customFormat="1" ht="33.75" x14ac:dyDescent="0.2">
      <c r="A758" s="804" t="s">
        <v>8203</v>
      </c>
      <c r="B758" s="180" t="s">
        <v>7476</v>
      </c>
      <c r="C758" s="913" t="s">
        <v>8650</v>
      </c>
      <c r="D758" s="804" t="s">
        <v>8214</v>
      </c>
      <c r="E758" s="237" t="s">
        <v>6552</v>
      </c>
      <c r="F758" s="125">
        <v>1200</v>
      </c>
      <c r="G758" s="234">
        <v>279012</v>
      </c>
      <c r="H758" s="804"/>
      <c r="I758" s="802" t="s">
        <v>14586</v>
      </c>
      <c r="L758" s="951"/>
    </row>
    <row r="759" spans="1:12" s="950" customFormat="1" ht="33.75" x14ac:dyDescent="0.2">
      <c r="A759" s="804" t="s">
        <v>8204</v>
      </c>
      <c r="B759" s="180" t="s">
        <v>7476</v>
      </c>
      <c r="C759" s="913" t="s">
        <v>8644</v>
      </c>
      <c r="D759" s="804" t="s">
        <v>8216</v>
      </c>
      <c r="E759" s="237" t="s">
        <v>6552</v>
      </c>
      <c r="F759" s="125">
        <v>1200</v>
      </c>
      <c r="G759" s="234">
        <v>273468</v>
      </c>
      <c r="H759" s="804"/>
      <c r="I759" s="802" t="s">
        <v>14586</v>
      </c>
      <c r="L759" s="951"/>
    </row>
    <row r="760" spans="1:12" s="950" customFormat="1" ht="33.75" x14ac:dyDescent="0.2">
      <c r="A760" s="804" t="s">
        <v>8205</v>
      </c>
      <c r="B760" s="180" t="s">
        <v>7476</v>
      </c>
      <c r="C760" s="236" t="s">
        <v>8643</v>
      </c>
      <c r="D760" s="804" t="s">
        <v>8218</v>
      </c>
      <c r="E760" s="237" t="s">
        <v>6552</v>
      </c>
      <c r="F760" s="125">
        <v>1200</v>
      </c>
      <c r="G760" s="234">
        <v>279012</v>
      </c>
      <c r="H760" s="804"/>
      <c r="I760" s="802" t="s">
        <v>14586</v>
      </c>
      <c r="L760" s="951"/>
    </row>
    <row r="761" spans="1:12" s="950" customFormat="1" ht="33.75" x14ac:dyDescent="0.2">
      <c r="A761" s="804" t="s">
        <v>8206</v>
      </c>
      <c r="B761" s="180" t="s">
        <v>7476</v>
      </c>
      <c r="C761" s="236" t="s">
        <v>8642</v>
      </c>
      <c r="D761" s="804" t="s">
        <v>8217</v>
      </c>
      <c r="E761" s="237" t="s">
        <v>6552</v>
      </c>
      <c r="F761" s="125">
        <v>1200</v>
      </c>
      <c r="G761" s="234">
        <v>279912</v>
      </c>
      <c r="H761" s="804"/>
      <c r="I761" s="802" t="s">
        <v>14586</v>
      </c>
      <c r="L761" s="951"/>
    </row>
    <row r="762" spans="1:12" s="950" customFormat="1" ht="33.75" x14ac:dyDescent="0.2">
      <c r="A762" s="804" t="s">
        <v>8207</v>
      </c>
      <c r="B762" s="180" t="s">
        <v>7476</v>
      </c>
      <c r="C762" s="913" t="s">
        <v>8641</v>
      </c>
      <c r="D762" s="804" t="s">
        <v>8220</v>
      </c>
      <c r="E762" s="237" t="s">
        <v>6552</v>
      </c>
      <c r="F762" s="125">
        <v>1200</v>
      </c>
      <c r="G762" s="234">
        <v>279012</v>
      </c>
      <c r="H762" s="804"/>
      <c r="I762" s="802" t="s">
        <v>14586</v>
      </c>
      <c r="L762" s="951"/>
    </row>
    <row r="763" spans="1:12" s="950" customFormat="1" ht="33.75" x14ac:dyDescent="0.2">
      <c r="A763" s="804" t="s">
        <v>8208</v>
      </c>
      <c r="B763" s="180" t="s">
        <v>7476</v>
      </c>
      <c r="C763" s="913" t="s">
        <v>8640</v>
      </c>
      <c r="D763" s="804" t="s">
        <v>8219</v>
      </c>
      <c r="E763" s="237" t="s">
        <v>6552</v>
      </c>
      <c r="F763" s="125">
        <v>1200</v>
      </c>
      <c r="G763" s="234">
        <v>279012</v>
      </c>
      <c r="H763" s="804"/>
      <c r="I763" s="802" t="s">
        <v>14586</v>
      </c>
      <c r="L763" s="951"/>
    </row>
    <row r="764" spans="1:12" s="950" customFormat="1" ht="67.5" x14ac:dyDescent="0.2">
      <c r="A764" s="804" t="s">
        <v>8209</v>
      </c>
      <c r="B764" s="180" t="s">
        <v>8322</v>
      </c>
      <c r="C764" s="913" t="s">
        <v>9100</v>
      </c>
      <c r="D764" s="804" t="s">
        <v>8949</v>
      </c>
      <c r="E764" s="237" t="s">
        <v>6552</v>
      </c>
      <c r="F764" s="125">
        <v>14</v>
      </c>
      <c r="G764" s="234">
        <v>6484.1</v>
      </c>
      <c r="H764" s="804"/>
      <c r="I764" s="802" t="s">
        <v>14590</v>
      </c>
      <c r="L764" s="951"/>
    </row>
    <row r="765" spans="1:12" s="950" customFormat="1" ht="67.5" x14ac:dyDescent="0.2">
      <c r="A765" s="804" t="s">
        <v>8210</v>
      </c>
      <c r="B765" s="180" t="s">
        <v>8322</v>
      </c>
      <c r="C765" s="913" t="s">
        <v>9101</v>
      </c>
      <c r="D765" s="804" t="s">
        <v>8950</v>
      </c>
      <c r="E765" s="237" t="s">
        <v>6552</v>
      </c>
      <c r="F765" s="125">
        <v>14</v>
      </c>
      <c r="G765" s="234">
        <v>6484.1</v>
      </c>
      <c r="H765" s="804"/>
      <c r="I765" s="802" t="s">
        <v>14590</v>
      </c>
      <c r="L765" s="951"/>
    </row>
    <row r="766" spans="1:12" s="950" customFormat="1" ht="67.5" x14ac:dyDescent="0.2">
      <c r="A766" s="804" t="s">
        <v>8211</v>
      </c>
      <c r="B766" s="180" t="s">
        <v>8322</v>
      </c>
      <c r="C766" s="913" t="s">
        <v>8953</v>
      </c>
      <c r="D766" s="804" t="s">
        <v>8951</v>
      </c>
      <c r="E766" s="237" t="s">
        <v>6552</v>
      </c>
      <c r="F766" s="125">
        <v>12</v>
      </c>
      <c r="G766" s="234">
        <v>5557.8</v>
      </c>
      <c r="H766" s="804"/>
      <c r="I766" s="802" t="s">
        <v>14590</v>
      </c>
      <c r="L766" s="951"/>
    </row>
    <row r="767" spans="1:12" s="950" customFormat="1" ht="67.5" x14ac:dyDescent="0.2">
      <c r="A767" s="804" t="s">
        <v>8212</v>
      </c>
      <c r="B767" s="180" t="s">
        <v>8322</v>
      </c>
      <c r="C767" s="913" t="s">
        <v>8954</v>
      </c>
      <c r="D767" s="804" t="s">
        <v>8952</v>
      </c>
      <c r="E767" s="237" t="s">
        <v>6552</v>
      </c>
      <c r="F767" s="125">
        <v>10</v>
      </c>
      <c r="G767" s="234">
        <v>4631.5</v>
      </c>
      <c r="H767" s="804"/>
      <c r="I767" s="802" t="s">
        <v>14590</v>
      </c>
      <c r="L767" s="951"/>
    </row>
    <row r="768" spans="1:12" s="950" customFormat="1" ht="67.5" x14ac:dyDescent="0.2">
      <c r="A768" s="804" t="s">
        <v>8213</v>
      </c>
      <c r="B768" s="180" t="s">
        <v>8322</v>
      </c>
      <c r="C768" s="913" t="s">
        <v>8958</v>
      </c>
      <c r="D768" s="804" t="s">
        <v>8957</v>
      </c>
      <c r="E768" s="237" t="s">
        <v>6552</v>
      </c>
      <c r="F768" s="125">
        <v>16</v>
      </c>
      <c r="G768" s="234">
        <v>7410.4</v>
      </c>
      <c r="H768" s="804"/>
      <c r="I768" s="802" t="s">
        <v>14590</v>
      </c>
      <c r="L768" s="951"/>
    </row>
    <row r="769" spans="1:12" s="950" customFormat="1" ht="33.75" x14ac:dyDescent="0.2">
      <c r="A769" s="804" t="s">
        <v>8321</v>
      </c>
      <c r="B769" s="180" t="s">
        <v>7476</v>
      </c>
      <c r="C769" s="913" t="s">
        <v>8964</v>
      </c>
      <c r="D769" s="804" t="s">
        <v>8965</v>
      </c>
      <c r="E769" s="237" t="s">
        <v>6552</v>
      </c>
      <c r="F769" s="125">
        <v>1200</v>
      </c>
      <c r="G769" s="234">
        <v>273468</v>
      </c>
      <c r="H769" s="907"/>
      <c r="I769" s="802" t="s">
        <v>14586</v>
      </c>
      <c r="L769" s="951"/>
    </row>
    <row r="770" spans="1:12" s="950" customFormat="1" ht="45" x14ac:dyDescent="0.2">
      <c r="A770" s="804" t="s">
        <v>8956</v>
      </c>
      <c r="B770" s="180" t="s">
        <v>8987</v>
      </c>
      <c r="C770" s="913" t="s">
        <v>8989</v>
      </c>
      <c r="D770" s="804" t="s">
        <v>8988</v>
      </c>
      <c r="E770" s="237" t="s">
        <v>6552</v>
      </c>
      <c r="F770" s="125">
        <v>11</v>
      </c>
      <c r="G770" s="234">
        <v>2795.32</v>
      </c>
      <c r="H770" s="907"/>
      <c r="I770" s="802" t="s">
        <v>14590</v>
      </c>
      <c r="L770" s="951"/>
    </row>
    <row r="771" spans="1:12" s="950" customFormat="1" ht="67.5" x14ac:dyDescent="0.2">
      <c r="A771" s="804" t="s">
        <v>8963</v>
      </c>
      <c r="B771" s="804" t="s">
        <v>8322</v>
      </c>
      <c r="C771" s="913" t="s">
        <v>8997</v>
      </c>
      <c r="D771" s="804" t="s">
        <v>8957</v>
      </c>
      <c r="E771" s="237" t="s">
        <v>6552</v>
      </c>
      <c r="F771" s="125">
        <v>16</v>
      </c>
      <c r="G771" s="234">
        <v>7410.4</v>
      </c>
      <c r="H771" s="907"/>
      <c r="I771" s="802" t="s">
        <v>14590</v>
      </c>
      <c r="L771" s="951"/>
    </row>
    <row r="772" spans="1:12" s="950" customFormat="1" ht="33.75" x14ac:dyDescent="0.2">
      <c r="A772" s="804" t="s">
        <v>9009</v>
      </c>
      <c r="B772" s="180" t="s">
        <v>7476</v>
      </c>
      <c r="C772" s="913" t="s">
        <v>9010</v>
      </c>
      <c r="D772" s="804" t="s">
        <v>9011</v>
      </c>
      <c r="E772" s="237" t="s">
        <v>6552</v>
      </c>
      <c r="F772" s="125">
        <v>1200</v>
      </c>
      <c r="G772" s="234">
        <v>279012</v>
      </c>
      <c r="H772" s="907"/>
      <c r="I772" s="802" t="s">
        <v>14586</v>
      </c>
      <c r="L772" s="951"/>
    </row>
    <row r="773" spans="1:12" s="950" customFormat="1" ht="33.75" x14ac:dyDescent="0.2">
      <c r="A773" s="804" t="s">
        <v>9058</v>
      </c>
      <c r="B773" s="180" t="s">
        <v>7476</v>
      </c>
      <c r="C773" s="913" t="s">
        <v>9059</v>
      </c>
      <c r="D773" s="804" t="s">
        <v>9060</v>
      </c>
      <c r="E773" s="237" t="s">
        <v>6552</v>
      </c>
      <c r="F773" s="125">
        <v>1200</v>
      </c>
      <c r="G773" s="234" t="s">
        <v>14425</v>
      </c>
      <c r="H773" s="907"/>
      <c r="I773" s="802" t="s">
        <v>14586</v>
      </c>
      <c r="L773" s="951"/>
    </row>
    <row r="774" spans="1:12" s="950" customFormat="1" ht="33.75" x14ac:dyDescent="0.2">
      <c r="A774" s="804" t="s">
        <v>9062</v>
      </c>
      <c r="B774" s="180" t="s">
        <v>7476</v>
      </c>
      <c r="C774" s="236" t="s">
        <v>9063</v>
      </c>
      <c r="D774" s="804" t="s">
        <v>9064</v>
      </c>
      <c r="E774" s="144" t="s">
        <v>6552</v>
      </c>
      <c r="F774" s="55">
        <v>1200</v>
      </c>
      <c r="G774" s="55">
        <v>279012</v>
      </c>
      <c r="H774" s="907"/>
      <c r="I774" s="802" t="s">
        <v>14586</v>
      </c>
      <c r="L774" s="951"/>
    </row>
    <row r="775" spans="1:12" s="950" customFormat="1" ht="33.75" x14ac:dyDescent="0.2">
      <c r="A775" s="804" t="s">
        <v>9097</v>
      </c>
      <c r="B775" s="180" t="s">
        <v>7476</v>
      </c>
      <c r="C775" s="913" t="s">
        <v>9104</v>
      </c>
      <c r="D775" s="804" t="s">
        <v>9105</v>
      </c>
      <c r="E775" s="144" t="s">
        <v>6552</v>
      </c>
      <c r="F775" s="55">
        <v>1200</v>
      </c>
      <c r="G775" s="55">
        <v>279012</v>
      </c>
      <c r="H775" s="907"/>
      <c r="I775" s="802" t="s">
        <v>14586</v>
      </c>
      <c r="L775" s="951"/>
    </row>
    <row r="776" spans="1:12" s="950" customFormat="1" ht="33.75" x14ac:dyDescent="0.2">
      <c r="A776" s="804" t="s">
        <v>9098</v>
      </c>
      <c r="B776" s="180" t="s">
        <v>7476</v>
      </c>
      <c r="C776" s="236" t="s">
        <v>9106</v>
      </c>
      <c r="D776" s="804" t="s">
        <v>9107</v>
      </c>
      <c r="E776" s="144" t="s">
        <v>6552</v>
      </c>
      <c r="F776" s="55">
        <v>1200</v>
      </c>
      <c r="G776" s="55">
        <v>273468</v>
      </c>
      <c r="H776" s="907"/>
      <c r="I776" s="802" t="s">
        <v>14586</v>
      </c>
      <c r="L776" s="951"/>
    </row>
    <row r="777" spans="1:12" s="950" customFormat="1" ht="33.75" x14ac:dyDescent="0.2">
      <c r="A777" s="804" t="s">
        <v>9099</v>
      </c>
      <c r="B777" s="180" t="s">
        <v>7476</v>
      </c>
      <c r="C777" s="913" t="s">
        <v>9138</v>
      </c>
      <c r="D777" s="804" t="s">
        <v>9139</v>
      </c>
      <c r="E777" s="144" t="s">
        <v>6552</v>
      </c>
      <c r="F777" s="55">
        <v>1200</v>
      </c>
      <c r="G777" s="55">
        <v>279012</v>
      </c>
      <c r="H777" s="907"/>
      <c r="I777" s="802" t="s">
        <v>14586</v>
      </c>
      <c r="L777" s="951"/>
    </row>
    <row r="778" spans="1:12" s="950" customFormat="1" ht="33.75" x14ac:dyDescent="0.2">
      <c r="A778" s="804" t="s">
        <v>9136</v>
      </c>
      <c r="B778" s="180" t="s">
        <v>7476</v>
      </c>
      <c r="C778" s="913" t="s">
        <v>9141</v>
      </c>
      <c r="D778" s="804" t="s">
        <v>9140</v>
      </c>
      <c r="E778" s="144" t="s">
        <v>6552</v>
      </c>
      <c r="F778" s="55">
        <v>1200</v>
      </c>
      <c r="G778" s="55">
        <v>279012</v>
      </c>
      <c r="H778" s="907"/>
      <c r="I778" s="802" t="s">
        <v>14586</v>
      </c>
      <c r="L778" s="951"/>
    </row>
    <row r="779" spans="1:12" s="950" customFormat="1" ht="33.75" x14ac:dyDescent="0.2">
      <c r="A779" s="804" t="s">
        <v>9137</v>
      </c>
      <c r="B779" s="180" t="s">
        <v>7476</v>
      </c>
      <c r="C779" s="913" t="s">
        <v>9142</v>
      </c>
      <c r="D779" s="804" t="s">
        <v>9143</v>
      </c>
      <c r="E779" s="144" t="s">
        <v>6552</v>
      </c>
      <c r="F779" s="55">
        <v>1200</v>
      </c>
      <c r="G779" s="55">
        <v>279012</v>
      </c>
      <c r="H779" s="907"/>
      <c r="I779" s="802" t="s">
        <v>14586</v>
      </c>
      <c r="L779" s="951"/>
    </row>
    <row r="780" spans="1:12" s="950" customFormat="1" ht="67.5" x14ac:dyDescent="0.2">
      <c r="A780" s="804" t="s">
        <v>9177</v>
      </c>
      <c r="B780" s="180" t="s">
        <v>8322</v>
      </c>
      <c r="C780" s="913" t="s">
        <v>9102</v>
      </c>
      <c r="D780" s="804" t="s">
        <v>9103</v>
      </c>
      <c r="E780" s="237" t="s">
        <v>6552</v>
      </c>
      <c r="F780" s="125">
        <v>11</v>
      </c>
      <c r="G780" s="234">
        <v>5094.6499999999996</v>
      </c>
      <c r="H780" s="907"/>
      <c r="I780" s="802" t="s">
        <v>14590</v>
      </c>
      <c r="L780" s="951"/>
    </row>
    <row r="781" spans="1:12" s="950" customFormat="1" ht="33.75" x14ac:dyDescent="0.2">
      <c r="A781" s="804" t="s">
        <v>9178</v>
      </c>
      <c r="B781" s="180" t="s">
        <v>7476</v>
      </c>
      <c r="C781" s="236" t="s">
        <v>9180</v>
      </c>
      <c r="D781" s="804" t="s">
        <v>9181</v>
      </c>
      <c r="E781" s="144" t="s">
        <v>6552</v>
      </c>
      <c r="F781" s="55">
        <v>1200</v>
      </c>
      <c r="G781" s="55">
        <v>279012</v>
      </c>
      <c r="H781" s="907"/>
      <c r="I781" s="802" t="s">
        <v>14586</v>
      </c>
      <c r="L781" s="951"/>
    </row>
    <row r="782" spans="1:12" s="950" customFormat="1" ht="33.75" x14ac:dyDescent="0.2">
      <c r="A782" s="804" t="s">
        <v>9179</v>
      </c>
      <c r="B782" s="180" t="s">
        <v>7476</v>
      </c>
      <c r="C782" s="236" t="s">
        <v>9182</v>
      </c>
      <c r="D782" s="804" t="s">
        <v>9183</v>
      </c>
      <c r="E782" s="144" t="s">
        <v>6552</v>
      </c>
      <c r="F782" s="55">
        <v>1200</v>
      </c>
      <c r="G782" s="55">
        <v>279012</v>
      </c>
      <c r="H782" s="907"/>
      <c r="I782" s="802" t="s">
        <v>14586</v>
      </c>
      <c r="L782" s="951"/>
    </row>
    <row r="783" spans="1:12" s="950" customFormat="1" ht="33.75" x14ac:dyDescent="0.2">
      <c r="A783" s="804" t="s">
        <v>9184</v>
      </c>
      <c r="B783" s="180" t="s">
        <v>7476</v>
      </c>
      <c r="C783" s="913" t="s">
        <v>9187</v>
      </c>
      <c r="D783" s="804" t="s">
        <v>9188</v>
      </c>
      <c r="E783" s="144" t="s">
        <v>6552</v>
      </c>
      <c r="F783" s="55">
        <v>1200</v>
      </c>
      <c r="G783" s="55">
        <v>273468</v>
      </c>
      <c r="H783" s="907"/>
      <c r="I783" s="802" t="s">
        <v>14586</v>
      </c>
      <c r="L783" s="951"/>
    </row>
    <row r="784" spans="1:12" s="950" customFormat="1" ht="33.75" x14ac:dyDescent="0.2">
      <c r="A784" s="804" t="s">
        <v>9185</v>
      </c>
      <c r="B784" s="180" t="s">
        <v>7476</v>
      </c>
      <c r="C784" s="913" t="s">
        <v>9189</v>
      </c>
      <c r="D784" s="804" t="s">
        <v>9190</v>
      </c>
      <c r="E784" s="144" t="s">
        <v>6552</v>
      </c>
      <c r="F784" s="55">
        <v>1200</v>
      </c>
      <c r="G784" s="55">
        <v>273468</v>
      </c>
      <c r="H784" s="907"/>
      <c r="I784" s="802" t="s">
        <v>14586</v>
      </c>
      <c r="L784" s="951"/>
    </row>
    <row r="785" spans="1:12" s="950" customFormat="1" ht="33.75" x14ac:dyDescent="0.2">
      <c r="A785" s="804" t="s">
        <v>9186</v>
      </c>
      <c r="B785" s="180" t="s">
        <v>7476</v>
      </c>
      <c r="C785" s="913" t="s">
        <v>9193</v>
      </c>
      <c r="D785" s="804" t="s">
        <v>9195</v>
      </c>
      <c r="E785" s="144" t="s">
        <v>6552</v>
      </c>
      <c r="F785" s="55">
        <v>1200</v>
      </c>
      <c r="G785" s="55">
        <v>273468</v>
      </c>
      <c r="H785" s="907"/>
      <c r="I785" s="802" t="s">
        <v>14586</v>
      </c>
      <c r="L785" s="951"/>
    </row>
    <row r="786" spans="1:12" s="950" customFormat="1" ht="33.75" x14ac:dyDescent="0.2">
      <c r="A786" s="804" t="s">
        <v>9191</v>
      </c>
      <c r="B786" s="180" t="s">
        <v>7476</v>
      </c>
      <c r="C786" s="913" t="s">
        <v>9196</v>
      </c>
      <c r="D786" s="804" t="s">
        <v>9194</v>
      </c>
      <c r="E786" s="144" t="s">
        <v>6552</v>
      </c>
      <c r="F786" s="55">
        <v>1200</v>
      </c>
      <c r="G786" s="55">
        <v>273468</v>
      </c>
      <c r="H786" s="907"/>
      <c r="I786" s="802" t="s">
        <v>14586</v>
      </c>
      <c r="L786" s="951"/>
    </row>
    <row r="787" spans="1:12" s="950" customFormat="1" ht="33.75" x14ac:dyDescent="0.2">
      <c r="A787" s="804" t="s">
        <v>9208</v>
      </c>
      <c r="B787" s="180" t="s">
        <v>7476</v>
      </c>
      <c r="C787" s="236" t="s">
        <v>9210</v>
      </c>
      <c r="D787" s="804" t="s">
        <v>9212</v>
      </c>
      <c r="E787" s="144" t="s">
        <v>6552</v>
      </c>
      <c r="F787" s="55">
        <v>1200</v>
      </c>
      <c r="G787" s="55">
        <v>279012</v>
      </c>
      <c r="H787" s="907"/>
      <c r="I787" s="802" t="s">
        <v>14586</v>
      </c>
      <c r="L787" s="951"/>
    </row>
    <row r="788" spans="1:12" s="950" customFormat="1" ht="33.75" x14ac:dyDescent="0.2">
      <c r="A788" s="804" t="s">
        <v>9209</v>
      </c>
      <c r="B788" s="180" t="s">
        <v>7476</v>
      </c>
      <c r="C788" s="236" t="s">
        <v>9211</v>
      </c>
      <c r="D788" s="804" t="s">
        <v>9213</v>
      </c>
      <c r="E788" s="144" t="s">
        <v>6552</v>
      </c>
      <c r="F788" s="55">
        <v>1200</v>
      </c>
      <c r="G788" s="55">
        <v>279012</v>
      </c>
      <c r="H788" s="907"/>
      <c r="I788" s="802" t="s">
        <v>14586</v>
      </c>
      <c r="L788" s="951"/>
    </row>
    <row r="789" spans="1:12" s="950" customFormat="1" ht="33.75" x14ac:dyDescent="0.2">
      <c r="A789" s="804" t="s">
        <v>9228</v>
      </c>
      <c r="B789" s="180" t="s">
        <v>7476</v>
      </c>
      <c r="C789" s="236" t="s">
        <v>9232</v>
      </c>
      <c r="D789" s="804" t="s">
        <v>9234</v>
      </c>
      <c r="E789" s="144" t="s">
        <v>6552</v>
      </c>
      <c r="F789" s="55">
        <v>1200</v>
      </c>
      <c r="G789" s="55">
        <v>273468</v>
      </c>
      <c r="H789" s="907"/>
      <c r="I789" s="802" t="s">
        <v>14586</v>
      </c>
      <c r="L789" s="951"/>
    </row>
    <row r="790" spans="1:12" s="950" customFormat="1" ht="33.75" x14ac:dyDescent="0.2">
      <c r="A790" s="804" t="s">
        <v>9229</v>
      </c>
      <c r="B790" s="180" t="s">
        <v>7476</v>
      </c>
      <c r="C790" s="236" t="s">
        <v>9233</v>
      </c>
      <c r="D790" s="804" t="s">
        <v>9235</v>
      </c>
      <c r="E790" s="144" t="s">
        <v>6552</v>
      </c>
      <c r="F790" s="55">
        <v>1200</v>
      </c>
      <c r="G790" s="55">
        <v>273468</v>
      </c>
      <c r="H790" s="378"/>
      <c r="I790" s="802" t="s">
        <v>14586</v>
      </c>
      <c r="L790" s="951"/>
    </row>
    <row r="791" spans="1:12" s="950" customFormat="1" ht="33.75" x14ac:dyDescent="0.2">
      <c r="A791" s="804" t="s">
        <v>9230</v>
      </c>
      <c r="B791" s="180" t="s">
        <v>7476</v>
      </c>
      <c r="C791" s="236" t="s">
        <v>9237</v>
      </c>
      <c r="D791" s="804" t="s">
        <v>9236</v>
      </c>
      <c r="E791" s="144" t="s">
        <v>6552</v>
      </c>
      <c r="F791" s="55">
        <v>1200</v>
      </c>
      <c r="G791" s="55">
        <v>279912</v>
      </c>
      <c r="H791" s="378"/>
      <c r="I791" s="802" t="s">
        <v>14586</v>
      </c>
      <c r="L791" s="951"/>
    </row>
    <row r="792" spans="1:12" s="950" customFormat="1" ht="33.75" x14ac:dyDescent="0.2">
      <c r="A792" s="804" t="s">
        <v>9231</v>
      </c>
      <c r="B792" s="180" t="s">
        <v>7476</v>
      </c>
      <c r="C792" s="236" t="s">
        <v>9272</v>
      </c>
      <c r="D792" s="804" t="s">
        <v>9273</v>
      </c>
      <c r="E792" s="144" t="s">
        <v>6552</v>
      </c>
      <c r="F792" s="55">
        <v>1200</v>
      </c>
      <c r="G792" s="55">
        <v>273468</v>
      </c>
      <c r="H792" s="378"/>
      <c r="I792" s="802" t="s">
        <v>14586</v>
      </c>
      <c r="L792" s="951"/>
    </row>
    <row r="793" spans="1:12" s="950" customFormat="1" ht="33.75" x14ac:dyDescent="0.2">
      <c r="A793" s="804" t="s">
        <v>9262</v>
      </c>
      <c r="B793" s="180" t="s">
        <v>7476</v>
      </c>
      <c r="C793" s="236" t="s">
        <v>9274</v>
      </c>
      <c r="D793" s="804" t="s">
        <v>9275</v>
      </c>
      <c r="E793" s="144" t="s">
        <v>6552</v>
      </c>
      <c r="F793" s="55">
        <v>1200</v>
      </c>
      <c r="G793" s="55">
        <v>273468</v>
      </c>
      <c r="H793" s="378"/>
      <c r="I793" s="802" t="s">
        <v>14586</v>
      </c>
      <c r="L793" s="951"/>
    </row>
    <row r="794" spans="1:12" s="950" customFormat="1" ht="33.75" x14ac:dyDescent="0.2">
      <c r="A794" s="804" t="s">
        <v>9263</v>
      </c>
      <c r="B794" s="180" t="s">
        <v>7476</v>
      </c>
      <c r="C794" s="236" t="s">
        <v>9276</v>
      </c>
      <c r="D794" s="804" t="s">
        <v>9277</v>
      </c>
      <c r="E794" s="144" t="s">
        <v>6552</v>
      </c>
      <c r="F794" s="55">
        <v>1200</v>
      </c>
      <c r="G794" s="55">
        <v>279012</v>
      </c>
      <c r="H794" s="378"/>
      <c r="I794" s="802" t="s">
        <v>14586</v>
      </c>
      <c r="L794" s="951"/>
    </row>
    <row r="795" spans="1:12" s="950" customFormat="1" ht="33.75" x14ac:dyDescent="0.2">
      <c r="A795" s="804" t="s">
        <v>9264</v>
      </c>
      <c r="B795" s="180" t="s">
        <v>7476</v>
      </c>
      <c r="C795" s="236" t="s">
        <v>9278</v>
      </c>
      <c r="D795" s="804" t="s">
        <v>9280</v>
      </c>
      <c r="E795" s="144" t="s">
        <v>6552</v>
      </c>
      <c r="F795" s="55">
        <v>1200</v>
      </c>
      <c r="G795" s="55">
        <v>279012</v>
      </c>
      <c r="H795" s="378"/>
      <c r="I795" s="802" t="s">
        <v>14586</v>
      </c>
      <c r="L795" s="951"/>
    </row>
    <row r="796" spans="1:12" s="950" customFormat="1" ht="33.75" x14ac:dyDescent="0.2">
      <c r="A796" s="804" t="s">
        <v>9265</v>
      </c>
      <c r="B796" s="180" t="s">
        <v>7476</v>
      </c>
      <c r="C796" s="236" t="s">
        <v>9282</v>
      </c>
      <c r="D796" s="804" t="s">
        <v>9281</v>
      </c>
      <c r="E796" s="144" t="s">
        <v>6552</v>
      </c>
      <c r="F796" s="55">
        <v>1200</v>
      </c>
      <c r="G796" s="55">
        <v>273468</v>
      </c>
      <c r="H796" s="378"/>
      <c r="I796" s="802" t="s">
        <v>14586</v>
      </c>
      <c r="L796" s="951"/>
    </row>
    <row r="797" spans="1:12" s="950" customFormat="1" ht="33.75" x14ac:dyDescent="0.2">
      <c r="A797" s="804" t="s">
        <v>9266</v>
      </c>
      <c r="B797" s="180" t="s">
        <v>7476</v>
      </c>
      <c r="C797" s="236" t="s">
        <v>9283</v>
      </c>
      <c r="D797" s="804" t="s">
        <v>9284</v>
      </c>
      <c r="E797" s="144" t="s">
        <v>6552</v>
      </c>
      <c r="F797" s="55">
        <v>1200</v>
      </c>
      <c r="G797" s="55">
        <v>279012</v>
      </c>
      <c r="H797" s="378"/>
      <c r="I797" s="802" t="s">
        <v>14586</v>
      </c>
      <c r="L797" s="951"/>
    </row>
    <row r="798" spans="1:12" s="950" customFormat="1" ht="33.75" x14ac:dyDescent="0.2">
      <c r="A798" s="804" t="s">
        <v>9267</v>
      </c>
      <c r="B798" s="180" t="s">
        <v>7476</v>
      </c>
      <c r="C798" s="236" t="s">
        <v>9285</v>
      </c>
      <c r="D798" s="804" t="s">
        <v>9286</v>
      </c>
      <c r="E798" s="144" t="s">
        <v>6552</v>
      </c>
      <c r="F798" s="55">
        <v>1200</v>
      </c>
      <c r="G798" s="55">
        <v>279012</v>
      </c>
      <c r="H798" s="378"/>
      <c r="I798" s="802" t="s">
        <v>14586</v>
      </c>
      <c r="L798" s="951"/>
    </row>
    <row r="799" spans="1:12" s="950" customFormat="1" ht="33.75" x14ac:dyDescent="0.2">
      <c r="A799" s="804" t="s">
        <v>9268</v>
      </c>
      <c r="B799" s="180" t="s">
        <v>7476</v>
      </c>
      <c r="C799" s="236" t="s">
        <v>9287</v>
      </c>
      <c r="D799" s="804" t="s">
        <v>9279</v>
      </c>
      <c r="E799" s="144" t="s">
        <v>6552</v>
      </c>
      <c r="F799" s="55">
        <v>1200</v>
      </c>
      <c r="G799" s="55">
        <v>279012</v>
      </c>
      <c r="H799" s="378"/>
      <c r="I799" s="802" t="s">
        <v>14586</v>
      </c>
      <c r="L799" s="951"/>
    </row>
    <row r="800" spans="1:12" s="950" customFormat="1" ht="33.75" x14ac:dyDescent="0.2">
      <c r="A800" s="804" t="s">
        <v>9269</v>
      </c>
      <c r="B800" s="180" t="s">
        <v>9307</v>
      </c>
      <c r="C800" s="236" t="s">
        <v>9305</v>
      </c>
      <c r="D800" s="804" t="s">
        <v>9306</v>
      </c>
      <c r="E800" s="144" t="s">
        <v>6552</v>
      </c>
      <c r="F800" s="55">
        <v>1200</v>
      </c>
      <c r="G800" s="55">
        <v>279012</v>
      </c>
      <c r="H800" s="378"/>
      <c r="I800" s="802" t="s">
        <v>14586</v>
      </c>
      <c r="L800" s="951"/>
    </row>
    <row r="801" spans="1:12" s="950" customFormat="1" ht="33.75" x14ac:dyDescent="0.2">
      <c r="A801" s="804" t="s">
        <v>9270</v>
      </c>
      <c r="B801" s="180" t="s">
        <v>7476</v>
      </c>
      <c r="C801" s="913" t="s">
        <v>9309</v>
      </c>
      <c r="D801" s="804" t="s">
        <v>9308</v>
      </c>
      <c r="E801" s="144" t="s">
        <v>6552</v>
      </c>
      <c r="F801" s="55">
        <v>1200</v>
      </c>
      <c r="G801" s="55">
        <v>273468</v>
      </c>
      <c r="H801" s="378"/>
      <c r="I801" s="802" t="s">
        <v>14586</v>
      </c>
      <c r="L801" s="951"/>
    </row>
    <row r="802" spans="1:12" s="950" customFormat="1" ht="33.75" x14ac:dyDescent="0.2">
      <c r="A802" s="804" t="s">
        <v>9271</v>
      </c>
      <c r="B802" s="180" t="s">
        <v>7476</v>
      </c>
      <c r="C802" s="913" t="s">
        <v>9310</v>
      </c>
      <c r="D802" s="804" t="s">
        <v>9311</v>
      </c>
      <c r="E802" s="144" t="s">
        <v>6552</v>
      </c>
      <c r="F802" s="55">
        <v>1200</v>
      </c>
      <c r="G802" s="55">
        <v>273468</v>
      </c>
      <c r="H802" s="378"/>
      <c r="I802" s="802" t="s">
        <v>14586</v>
      </c>
      <c r="L802" s="951"/>
    </row>
    <row r="803" spans="1:12" s="950" customFormat="1" ht="33.75" x14ac:dyDescent="0.2">
      <c r="A803" s="804" t="s">
        <v>9299</v>
      </c>
      <c r="B803" s="180" t="s">
        <v>7476</v>
      </c>
      <c r="C803" s="913" t="s">
        <v>9312</v>
      </c>
      <c r="D803" s="804" t="s">
        <v>9323</v>
      </c>
      <c r="E803" s="144" t="s">
        <v>6552</v>
      </c>
      <c r="F803" s="55">
        <v>1200</v>
      </c>
      <c r="G803" s="55">
        <v>273468</v>
      </c>
      <c r="H803" s="378"/>
      <c r="I803" s="802" t="s">
        <v>14586</v>
      </c>
      <c r="L803" s="951"/>
    </row>
    <row r="804" spans="1:12" s="950" customFormat="1" ht="33.75" x14ac:dyDescent="0.2">
      <c r="A804" s="804" t="s">
        <v>9300</v>
      </c>
      <c r="B804" s="180" t="s">
        <v>7476</v>
      </c>
      <c r="C804" s="913" t="s">
        <v>9316</v>
      </c>
      <c r="D804" s="804" t="s">
        <v>9315</v>
      </c>
      <c r="E804" s="144" t="s">
        <v>6552</v>
      </c>
      <c r="F804" s="55">
        <v>1200</v>
      </c>
      <c r="G804" s="55">
        <v>273468</v>
      </c>
      <c r="H804" s="378"/>
      <c r="I804" s="802" t="s">
        <v>14586</v>
      </c>
      <c r="L804" s="951"/>
    </row>
    <row r="805" spans="1:12" s="950" customFormat="1" ht="33.75" x14ac:dyDescent="0.2">
      <c r="A805" s="804" t="s">
        <v>9301</v>
      </c>
      <c r="B805" s="180" t="s">
        <v>7476</v>
      </c>
      <c r="C805" s="913" t="s">
        <v>9318</v>
      </c>
      <c r="D805" s="912" t="s">
        <v>9317</v>
      </c>
      <c r="E805" s="144" t="s">
        <v>6552</v>
      </c>
      <c r="F805" s="55">
        <v>1200</v>
      </c>
      <c r="G805" s="55">
        <v>273468</v>
      </c>
      <c r="H805" s="378"/>
      <c r="I805" s="802" t="s">
        <v>14586</v>
      </c>
      <c r="L805" s="951"/>
    </row>
    <row r="806" spans="1:12" s="950" customFormat="1" ht="33.75" x14ac:dyDescent="0.2">
      <c r="A806" s="804" t="s">
        <v>9302</v>
      </c>
      <c r="B806" s="180" t="s">
        <v>7476</v>
      </c>
      <c r="C806" s="913" t="s">
        <v>9320</v>
      </c>
      <c r="D806" s="804" t="s">
        <v>9319</v>
      </c>
      <c r="E806" s="144" t="s">
        <v>6552</v>
      </c>
      <c r="F806" s="55">
        <v>1200</v>
      </c>
      <c r="G806" s="55">
        <v>273468</v>
      </c>
      <c r="H806" s="378"/>
      <c r="I806" s="802" t="s">
        <v>14586</v>
      </c>
      <c r="L806" s="951"/>
    </row>
    <row r="807" spans="1:12" s="950" customFormat="1" ht="33.75" x14ac:dyDescent="0.2">
      <c r="A807" s="804" t="s">
        <v>9303</v>
      </c>
      <c r="B807" s="180" t="s">
        <v>7476</v>
      </c>
      <c r="C807" s="913" t="s">
        <v>9321</v>
      </c>
      <c r="D807" s="804" t="s">
        <v>9322</v>
      </c>
      <c r="E807" s="144" t="s">
        <v>6552</v>
      </c>
      <c r="F807" s="55">
        <v>1200</v>
      </c>
      <c r="G807" s="55">
        <v>273695.89</v>
      </c>
      <c r="H807" s="378"/>
      <c r="I807" s="802" t="s">
        <v>14586</v>
      </c>
      <c r="L807" s="951"/>
    </row>
    <row r="808" spans="1:12" s="950" customFormat="1" ht="33.75" x14ac:dyDescent="0.2">
      <c r="A808" s="804" t="s">
        <v>9304</v>
      </c>
      <c r="B808" s="180" t="s">
        <v>7476</v>
      </c>
      <c r="C808" s="913" t="s">
        <v>9314</v>
      </c>
      <c r="D808" s="804" t="s">
        <v>9313</v>
      </c>
      <c r="E808" s="144" t="s">
        <v>6552</v>
      </c>
      <c r="F808" s="55">
        <v>1200</v>
      </c>
      <c r="G808" s="55">
        <v>273468</v>
      </c>
      <c r="H808" s="378"/>
      <c r="I808" s="802" t="s">
        <v>14586</v>
      </c>
      <c r="L808" s="951"/>
    </row>
    <row r="809" spans="1:12" s="950" customFormat="1" ht="33.75" x14ac:dyDescent="0.2">
      <c r="A809" s="804" t="s">
        <v>9339</v>
      </c>
      <c r="B809" s="180" t="s">
        <v>7476</v>
      </c>
      <c r="C809" s="236" t="s">
        <v>9341</v>
      </c>
      <c r="D809" s="804" t="s">
        <v>9344</v>
      </c>
      <c r="E809" s="144" t="s">
        <v>6552</v>
      </c>
      <c r="F809" s="55">
        <v>1200</v>
      </c>
      <c r="G809" s="55">
        <v>273468</v>
      </c>
      <c r="H809" s="378"/>
      <c r="I809" s="802" t="s">
        <v>14586</v>
      </c>
      <c r="L809" s="951"/>
    </row>
    <row r="810" spans="1:12" s="950" customFormat="1" ht="33.75" x14ac:dyDescent="0.2">
      <c r="A810" s="804" t="s">
        <v>9340</v>
      </c>
      <c r="B810" s="180" t="s">
        <v>7476</v>
      </c>
      <c r="C810" s="236" t="s">
        <v>9342</v>
      </c>
      <c r="D810" s="804" t="s">
        <v>9343</v>
      </c>
      <c r="E810" s="144" t="s">
        <v>6552</v>
      </c>
      <c r="F810" s="55">
        <v>1200</v>
      </c>
      <c r="G810" s="55">
        <v>273468</v>
      </c>
      <c r="H810" s="378"/>
      <c r="I810" s="802" t="s">
        <v>14586</v>
      </c>
      <c r="L810" s="951"/>
    </row>
    <row r="811" spans="1:12" s="950" customFormat="1" ht="33.75" x14ac:dyDescent="0.2">
      <c r="A811" s="804" t="s">
        <v>9895</v>
      </c>
      <c r="B811" s="804" t="s">
        <v>7476</v>
      </c>
      <c r="C811" s="913" t="s">
        <v>14459</v>
      </c>
      <c r="D811" s="804" t="s">
        <v>14460</v>
      </c>
      <c r="E811" s="144" t="s">
        <v>6553</v>
      </c>
      <c r="F811" s="62">
        <v>1200</v>
      </c>
      <c r="G811" s="55">
        <v>279012</v>
      </c>
      <c r="H811" s="972"/>
      <c r="I811" s="802" t="s">
        <v>14586</v>
      </c>
      <c r="L811" s="951"/>
    </row>
    <row r="812" spans="1:12" s="950" customFormat="1" ht="67.5" x14ac:dyDescent="0.2">
      <c r="A812" s="804" t="s">
        <v>9920</v>
      </c>
      <c r="B812" s="804" t="s">
        <v>8322</v>
      </c>
      <c r="C812" s="913" t="s">
        <v>9921</v>
      </c>
      <c r="D812" s="804" t="s">
        <v>9922</v>
      </c>
      <c r="E812" s="144" t="s">
        <v>6553</v>
      </c>
      <c r="F812" s="55">
        <v>14</v>
      </c>
      <c r="G812" s="55">
        <v>6484.1</v>
      </c>
      <c r="H812" s="911"/>
      <c r="I812" s="802" t="s">
        <v>14590</v>
      </c>
      <c r="L812" s="951"/>
    </row>
    <row r="813" spans="1:12" s="950" customFormat="1" ht="56.25" x14ac:dyDescent="0.2">
      <c r="A813" s="804" t="s">
        <v>10349</v>
      </c>
      <c r="B813" s="804" t="s">
        <v>8322</v>
      </c>
      <c r="C813" s="913" t="s">
        <v>10350</v>
      </c>
      <c r="D813" s="804" t="s">
        <v>10351</v>
      </c>
      <c r="E813" s="144" t="s">
        <v>6553</v>
      </c>
      <c r="F813" s="55">
        <v>12</v>
      </c>
      <c r="G813" s="55">
        <v>5557.8</v>
      </c>
      <c r="H813" s="911"/>
      <c r="I813" s="802" t="s">
        <v>14590</v>
      </c>
      <c r="L813" s="951"/>
    </row>
    <row r="814" spans="1:12" s="950" customFormat="1" ht="33.75" x14ac:dyDescent="0.2">
      <c r="A814" s="804" t="s">
        <v>10352</v>
      </c>
      <c r="B814" s="804" t="s">
        <v>7476</v>
      </c>
      <c r="C814" s="236" t="s">
        <v>10353</v>
      </c>
      <c r="D814" s="804" t="s">
        <v>10354</v>
      </c>
      <c r="E814" s="144" t="s">
        <v>6553</v>
      </c>
      <c r="F814" s="55">
        <v>1200</v>
      </c>
      <c r="G814" s="55">
        <v>279012</v>
      </c>
      <c r="H814" s="911"/>
      <c r="I814" s="802" t="s">
        <v>14586</v>
      </c>
      <c r="L814" s="951"/>
    </row>
    <row r="815" spans="1:12" s="950" customFormat="1" ht="33.75" x14ac:dyDescent="0.2">
      <c r="A815" s="804" t="s">
        <v>10355</v>
      </c>
      <c r="B815" s="804" t="s">
        <v>7476</v>
      </c>
      <c r="C815" s="236" t="s">
        <v>10356</v>
      </c>
      <c r="D815" s="804" t="s">
        <v>10357</v>
      </c>
      <c r="E815" s="144" t="s">
        <v>6553</v>
      </c>
      <c r="F815" s="55">
        <v>1200</v>
      </c>
      <c r="G815" s="55">
        <v>279012</v>
      </c>
      <c r="H815" s="911"/>
      <c r="I815" s="802" t="s">
        <v>14586</v>
      </c>
      <c r="L815" s="951"/>
    </row>
    <row r="816" spans="1:12" s="950" customFormat="1" ht="33.75" x14ac:dyDescent="0.2">
      <c r="A816" s="804" t="s">
        <v>10358</v>
      </c>
      <c r="B816" s="804" t="s">
        <v>7476</v>
      </c>
      <c r="C816" s="236" t="s">
        <v>10359</v>
      </c>
      <c r="D816" s="804" t="s">
        <v>10360</v>
      </c>
      <c r="E816" s="144" t="s">
        <v>6553</v>
      </c>
      <c r="F816" s="55">
        <v>1200</v>
      </c>
      <c r="G816" s="55">
        <v>279012</v>
      </c>
      <c r="H816" s="911"/>
      <c r="I816" s="802" t="s">
        <v>14586</v>
      </c>
      <c r="L816" s="951"/>
    </row>
    <row r="817" spans="1:12" s="950" customFormat="1" ht="33.75" x14ac:dyDescent="0.2">
      <c r="A817" s="804" t="s">
        <v>10361</v>
      </c>
      <c r="B817" s="804" t="s">
        <v>7476</v>
      </c>
      <c r="C817" s="236" t="s">
        <v>10362</v>
      </c>
      <c r="D817" s="804" t="s">
        <v>10363</v>
      </c>
      <c r="E817" s="144" t="s">
        <v>6553</v>
      </c>
      <c r="F817" s="55">
        <v>1200</v>
      </c>
      <c r="G817" s="55">
        <v>279012</v>
      </c>
      <c r="H817" s="911"/>
      <c r="I817" s="802" t="s">
        <v>14586</v>
      </c>
      <c r="L817" s="951"/>
    </row>
    <row r="818" spans="1:12" s="950" customFormat="1" ht="33.75" x14ac:dyDescent="0.2">
      <c r="A818" s="804" t="s">
        <v>10364</v>
      </c>
      <c r="B818" s="804" t="s">
        <v>7476</v>
      </c>
      <c r="C818" s="236" t="s">
        <v>10365</v>
      </c>
      <c r="D818" s="804" t="s">
        <v>10366</v>
      </c>
      <c r="E818" s="144" t="s">
        <v>6553</v>
      </c>
      <c r="F818" s="55">
        <v>1200</v>
      </c>
      <c r="G818" s="55">
        <v>279012</v>
      </c>
      <c r="H818" s="911"/>
      <c r="I818" s="802" t="s">
        <v>14586</v>
      </c>
      <c r="L818" s="951"/>
    </row>
    <row r="819" spans="1:12" s="950" customFormat="1" ht="33.75" x14ac:dyDescent="0.2">
      <c r="A819" s="804" t="s">
        <v>10367</v>
      </c>
      <c r="B819" s="804" t="s">
        <v>7476</v>
      </c>
      <c r="C819" s="236" t="s">
        <v>10368</v>
      </c>
      <c r="D819" s="804" t="s">
        <v>10369</v>
      </c>
      <c r="E819" s="144" t="s">
        <v>6553</v>
      </c>
      <c r="F819" s="55">
        <v>1200</v>
      </c>
      <c r="G819" s="55">
        <v>279012</v>
      </c>
      <c r="H819" s="911"/>
      <c r="I819" s="802" t="s">
        <v>14586</v>
      </c>
      <c r="L819" s="951"/>
    </row>
    <row r="820" spans="1:12" s="950" customFormat="1" ht="33.75" x14ac:dyDescent="0.2">
      <c r="A820" s="804" t="s">
        <v>10370</v>
      </c>
      <c r="B820" s="804" t="s">
        <v>7476</v>
      </c>
      <c r="C820" s="236" t="s">
        <v>10371</v>
      </c>
      <c r="D820" s="804" t="s">
        <v>10372</v>
      </c>
      <c r="E820" s="144" t="s">
        <v>6553</v>
      </c>
      <c r="F820" s="55">
        <v>1200</v>
      </c>
      <c r="G820" s="55">
        <v>279012</v>
      </c>
      <c r="H820" s="911"/>
      <c r="I820" s="802" t="s">
        <v>14586</v>
      </c>
      <c r="L820" s="951"/>
    </row>
    <row r="821" spans="1:12" s="950" customFormat="1" ht="33.75" x14ac:dyDescent="0.2">
      <c r="A821" s="804" t="s">
        <v>10373</v>
      </c>
      <c r="B821" s="804" t="s">
        <v>7476</v>
      </c>
      <c r="C821" s="236" t="s">
        <v>10374</v>
      </c>
      <c r="D821" s="804" t="s">
        <v>10375</v>
      </c>
      <c r="E821" s="144" t="s">
        <v>6553</v>
      </c>
      <c r="F821" s="55">
        <v>1200</v>
      </c>
      <c r="G821" s="55">
        <v>279012</v>
      </c>
      <c r="H821" s="911"/>
      <c r="I821" s="802" t="s">
        <v>14586</v>
      </c>
      <c r="L821" s="951"/>
    </row>
    <row r="822" spans="1:12" s="950" customFormat="1" ht="33.75" x14ac:dyDescent="0.2">
      <c r="A822" s="804" t="s">
        <v>10376</v>
      </c>
      <c r="B822" s="804" t="s">
        <v>7476</v>
      </c>
      <c r="C822" s="236" t="s">
        <v>10377</v>
      </c>
      <c r="D822" s="804" t="s">
        <v>10378</v>
      </c>
      <c r="E822" s="144" t="s">
        <v>6553</v>
      </c>
      <c r="F822" s="55">
        <v>1200</v>
      </c>
      <c r="G822" s="55">
        <v>279012</v>
      </c>
      <c r="H822" s="911"/>
      <c r="I822" s="802" t="s">
        <v>14586</v>
      </c>
      <c r="L822" s="951"/>
    </row>
    <row r="823" spans="1:12" s="950" customFormat="1" ht="33.75" x14ac:dyDescent="0.2">
      <c r="A823" s="804" t="s">
        <v>10379</v>
      </c>
      <c r="B823" s="804" t="s">
        <v>7476</v>
      </c>
      <c r="C823" s="236" t="s">
        <v>10380</v>
      </c>
      <c r="D823" s="804" t="s">
        <v>10381</v>
      </c>
      <c r="E823" s="144" t="s">
        <v>6553</v>
      </c>
      <c r="F823" s="55">
        <v>1200</v>
      </c>
      <c r="G823" s="55">
        <v>279012</v>
      </c>
      <c r="H823" s="911"/>
      <c r="I823" s="802" t="s">
        <v>14586</v>
      </c>
      <c r="L823" s="951"/>
    </row>
    <row r="824" spans="1:12" s="950" customFormat="1" ht="33.75" x14ac:dyDescent="0.2">
      <c r="A824" s="804" t="s">
        <v>10382</v>
      </c>
      <c r="B824" s="804" t="s">
        <v>7476</v>
      </c>
      <c r="C824" s="236" t="s">
        <v>10383</v>
      </c>
      <c r="D824" s="804" t="s">
        <v>10384</v>
      </c>
      <c r="E824" s="144" t="s">
        <v>6553</v>
      </c>
      <c r="F824" s="55">
        <v>1200</v>
      </c>
      <c r="G824" s="55">
        <v>279012</v>
      </c>
      <c r="H824" s="911"/>
      <c r="I824" s="802" t="s">
        <v>14586</v>
      </c>
      <c r="L824" s="951"/>
    </row>
    <row r="825" spans="1:12" s="950" customFormat="1" ht="33.75" x14ac:dyDescent="0.2">
      <c r="A825" s="804" t="s">
        <v>10385</v>
      </c>
      <c r="B825" s="804" t="s">
        <v>7476</v>
      </c>
      <c r="C825" s="236" t="s">
        <v>10386</v>
      </c>
      <c r="D825" s="804" t="s">
        <v>10387</v>
      </c>
      <c r="E825" s="144" t="s">
        <v>6553</v>
      </c>
      <c r="F825" s="55">
        <v>1200</v>
      </c>
      <c r="G825" s="55">
        <v>279012</v>
      </c>
      <c r="H825" s="911"/>
      <c r="I825" s="802" t="s">
        <v>14586</v>
      </c>
      <c r="L825" s="951"/>
    </row>
    <row r="826" spans="1:12" s="950" customFormat="1" ht="33.75" x14ac:dyDescent="0.2">
      <c r="A826" s="804" t="s">
        <v>10388</v>
      </c>
      <c r="B826" s="804" t="s">
        <v>7476</v>
      </c>
      <c r="C826" s="236" t="s">
        <v>10389</v>
      </c>
      <c r="D826" s="804" t="s">
        <v>10390</v>
      </c>
      <c r="E826" s="144" t="s">
        <v>6553</v>
      </c>
      <c r="F826" s="55">
        <v>1200</v>
      </c>
      <c r="G826" s="55">
        <v>279012</v>
      </c>
      <c r="H826" s="911"/>
      <c r="I826" s="802" t="s">
        <v>14586</v>
      </c>
      <c r="L826" s="951"/>
    </row>
    <row r="827" spans="1:12" s="950" customFormat="1" ht="33.75" x14ac:dyDescent="0.2">
      <c r="A827" s="804" t="s">
        <v>10391</v>
      </c>
      <c r="B827" s="804" t="s">
        <v>7476</v>
      </c>
      <c r="C827" s="236" t="s">
        <v>10392</v>
      </c>
      <c r="D827" s="804" t="s">
        <v>10393</v>
      </c>
      <c r="E827" s="144" t="s">
        <v>6553</v>
      </c>
      <c r="F827" s="55">
        <v>1200</v>
      </c>
      <c r="G827" s="55">
        <v>279012</v>
      </c>
      <c r="H827" s="911"/>
      <c r="I827" s="802" t="s">
        <v>14586</v>
      </c>
      <c r="L827" s="951"/>
    </row>
    <row r="828" spans="1:12" s="950" customFormat="1" ht="33.75" x14ac:dyDescent="0.2">
      <c r="A828" s="804" t="s">
        <v>10394</v>
      </c>
      <c r="B828" s="804" t="s">
        <v>7476</v>
      </c>
      <c r="C828" s="236" t="s">
        <v>10395</v>
      </c>
      <c r="D828" s="804" t="s">
        <v>10396</v>
      </c>
      <c r="E828" s="144" t="s">
        <v>6553</v>
      </c>
      <c r="F828" s="55">
        <v>1200</v>
      </c>
      <c r="G828" s="55">
        <v>279012</v>
      </c>
      <c r="H828" s="911"/>
      <c r="I828" s="802" t="s">
        <v>14586</v>
      </c>
      <c r="L828" s="951"/>
    </row>
    <row r="829" spans="1:12" s="950" customFormat="1" ht="33.75" x14ac:dyDescent="0.2">
      <c r="A829" s="804" t="s">
        <v>10397</v>
      </c>
      <c r="B829" s="804" t="s">
        <v>7476</v>
      </c>
      <c r="C829" s="236" t="s">
        <v>10398</v>
      </c>
      <c r="D829" s="804" t="s">
        <v>10399</v>
      </c>
      <c r="E829" s="144" t="s">
        <v>6553</v>
      </c>
      <c r="F829" s="55">
        <v>1200</v>
      </c>
      <c r="G829" s="55">
        <v>279012</v>
      </c>
      <c r="H829" s="911"/>
      <c r="I829" s="802" t="s">
        <v>14586</v>
      </c>
      <c r="L829" s="951"/>
    </row>
    <row r="830" spans="1:12" s="950" customFormat="1" ht="33.75" x14ac:dyDescent="0.2">
      <c r="A830" s="804" t="s">
        <v>10400</v>
      </c>
      <c r="B830" s="804" t="s">
        <v>7476</v>
      </c>
      <c r="C830" s="236" t="s">
        <v>10401</v>
      </c>
      <c r="D830" s="804" t="s">
        <v>10402</v>
      </c>
      <c r="E830" s="144" t="s">
        <v>6553</v>
      </c>
      <c r="F830" s="55">
        <v>1200</v>
      </c>
      <c r="G830" s="55">
        <v>279012</v>
      </c>
      <c r="H830" s="911"/>
      <c r="I830" s="802" t="s">
        <v>14586</v>
      </c>
      <c r="L830" s="951"/>
    </row>
    <row r="831" spans="1:12" s="950" customFormat="1" ht="56.25" x14ac:dyDescent="0.2">
      <c r="A831" s="804" t="s">
        <v>10403</v>
      </c>
      <c r="B831" s="804" t="s">
        <v>8322</v>
      </c>
      <c r="C831" s="377" t="s">
        <v>10404</v>
      </c>
      <c r="D831" s="804" t="s">
        <v>10405</v>
      </c>
      <c r="E831" s="144" t="s">
        <v>6553</v>
      </c>
      <c r="F831" s="55">
        <v>35</v>
      </c>
      <c r="G831" s="55">
        <v>16210.25</v>
      </c>
      <c r="H831" s="911"/>
      <c r="I831" s="802" t="s">
        <v>14590</v>
      </c>
      <c r="L831" s="951"/>
    </row>
    <row r="832" spans="1:12" s="950" customFormat="1" ht="78.75" x14ac:dyDescent="0.2">
      <c r="A832" s="804" t="s">
        <v>10406</v>
      </c>
      <c r="B832" s="804" t="s">
        <v>8322</v>
      </c>
      <c r="C832" s="377" t="s">
        <v>10407</v>
      </c>
      <c r="D832" s="804" t="s">
        <v>10408</v>
      </c>
      <c r="E832" s="144" t="s">
        <v>6553</v>
      </c>
      <c r="F832" s="55">
        <v>6</v>
      </c>
      <c r="G832" s="55">
        <v>2778.9</v>
      </c>
      <c r="H832" s="911"/>
      <c r="I832" s="802" t="s">
        <v>14590</v>
      </c>
      <c r="L832" s="951"/>
    </row>
    <row r="833" spans="1:12" s="950" customFormat="1" ht="78.75" x14ac:dyDescent="0.2">
      <c r="A833" s="804" t="s">
        <v>10409</v>
      </c>
      <c r="B833" s="804" t="s">
        <v>8322</v>
      </c>
      <c r="C833" s="377" t="s">
        <v>10410</v>
      </c>
      <c r="D833" s="804" t="s">
        <v>10411</v>
      </c>
      <c r="E833" s="144" t="s">
        <v>6553</v>
      </c>
      <c r="F833" s="55">
        <v>3</v>
      </c>
      <c r="G833" s="55">
        <v>1389.45</v>
      </c>
      <c r="H833" s="911"/>
      <c r="I833" s="802" t="s">
        <v>14590</v>
      </c>
      <c r="L833" s="951"/>
    </row>
    <row r="834" spans="1:12" s="950" customFormat="1" ht="78.75" x14ac:dyDescent="0.2">
      <c r="A834" s="804" t="s">
        <v>10412</v>
      </c>
      <c r="B834" s="804" t="s">
        <v>8322</v>
      </c>
      <c r="C834" s="377" t="s">
        <v>10413</v>
      </c>
      <c r="D834" s="804" t="s">
        <v>10414</v>
      </c>
      <c r="E834" s="144" t="s">
        <v>6553</v>
      </c>
      <c r="F834" s="55">
        <v>5</v>
      </c>
      <c r="G834" s="55">
        <v>2315.75</v>
      </c>
      <c r="H834" s="911"/>
      <c r="I834" s="802" t="s">
        <v>14590</v>
      </c>
      <c r="L834" s="951"/>
    </row>
    <row r="835" spans="1:12" s="950" customFormat="1" ht="78.75" x14ac:dyDescent="0.2">
      <c r="A835" s="804" t="s">
        <v>10415</v>
      </c>
      <c r="B835" s="804" t="s">
        <v>8322</v>
      </c>
      <c r="C835" s="236" t="s">
        <v>10416</v>
      </c>
      <c r="D835" s="804" t="s">
        <v>10417</v>
      </c>
      <c r="E835" s="144" t="s">
        <v>6553</v>
      </c>
      <c r="F835" s="55">
        <v>7</v>
      </c>
      <c r="G835" s="55">
        <v>3242.05</v>
      </c>
      <c r="H835" s="911"/>
      <c r="I835" s="802" t="s">
        <v>14590</v>
      </c>
      <c r="L835" s="951"/>
    </row>
    <row r="836" spans="1:12" s="950" customFormat="1" ht="78.75" x14ac:dyDescent="0.2">
      <c r="A836" s="804" t="s">
        <v>10418</v>
      </c>
      <c r="B836" s="804" t="s">
        <v>8322</v>
      </c>
      <c r="C836" s="236" t="s">
        <v>10419</v>
      </c>
      <c r="D836" s="804" t="s">
        <v>10420</v>
      </c>
      <c r="E836" s="144" t="s">
        <v>6553</v>
      </c>
      <c r="F836" s="55">
        <v>1</v>
      </c>
      <c r="G836" s="55">
        <v>463.15</v>
      </c>
      <c r="H836" s="911"/>
      <c r="I836" s="802" t="s">
        <v>14590</v>
      </c>
      <c r="L836" s="951"/>
    </row>
    <row r="837" spans="1:12" s="950" customFormat="1" ht="78.75" x14ac:dyDescent="0.2">
      <c r="A837" s="804" t="s">
        <v>10421</v>
      </c>
      <c r="B837" s="804" t="s">
        <v>8322</v>
      </c>
      <c r="C837" s="236" t="s">
        <v>10422</v>
      </c>
      <c r="D837" s="804" t="s">
        <v>10423</v>
      </c>
      <c r="E837" s="144" t="s">
        <v>6553</v>
      </c>
      <c r="F837" s="55">
        <v>4</v>
      </c>
      <c r="G837" s="55">
        <v>1852.6</v>
      </c>
      <c r="H837" s="911"/>
      <c r="I837" s="802" t="s">
        <v>14590</v>
      </c>
      <c r="L837" s="951"/>
    </row>
    <row r="838" spans="1:12" s="950" customFormat="1" ht="78.75" x14ac:dyDescent="0.2">
      <c r="A838" s="804" t="s">
        <v>10424</v>
      </c>
      <c r="B838" s="804" t="s">
        <v>8322</v>
      </c>
      <c r="C838" s="377" t="s">
        <v>10425</v>
      </c>
      <c r="D838" s="804" t="s">
        <v>10426</v>
      </c>
      <c r="E838" s="144" t="s">
        <v>6553</v>
      </c>
      <c r="F838" s="55">
        <v>3</v>
      </c>
      <c r="G838" s="55">
        <v>1389.45</v>
      </c>
      <c r="H838" s="911"/>
      <c r="I838" s="802" t="s">
        <v>14590</v>
      </c>
      <c r="L838" s="951"/>
    </row>
    <row r="839" spans="1:12" s="950" customFormat="1" ht="78.75" x14ac:dyDescent="0.2">
      <c r="A839" s="804" t="s">
        <v>10427</v>
      </c>
      <c r="B839" s="804" t="s">
        <v>8322</v>
      </c>
      <c r="C839" s="377" t="s">
        <v>10428</v>
      </c>
      <c r="D839" s="804" t="s">
        <v>10429</v>
      </c>
      <c r="E839" s="144" t="s">
        <v>6553</v>
      </c>
      <c r="F839" s="55">
        <v>8</v>
      </c>
      <c r="G839" s="55">
        <v>3705.2</v>
      </c>
      <c r="H839" s="911"/>
      <c r="I839" s="802" t="s">
        <v>14590</v>
      </c>
      <c r="L839" s="951"/>
    </row>
    <row r="840" spans="1:12" s="950" customFormat="1" ht="78.75" x14ac:dyDescent="0.2">
      <c r="A840" s="804" t="s">
        <v>10430</v>
      </c>
      <c r="B840" s="804" t="s">
        <v>8322</v>
      </c>
      <c r="C840" s="377" t="s">
        <v>10431</v>
      </c>
      <c r="D840" s="804" t="s">
        <v>10432</v>
      </c>
      <c r="E840" s="144" t="s">
        <v>6553</v>
      </c>
      <c r="F840" s="55">
        <v>4</v>
      </c>
      <c r="G840" s="55">
        <v>1852.6</v>
      </c>
      <c r="H840" s="911"/>
      <c r="I840" s="802" t="s">
        <v>14590</v>
      </c>
      <c r="L840" s="951"/>
    </row>
    <row r="841" spans="1:12" s="950" customFormat="1" ht="67.5" x14ac:dyDescent="0.2">
      <c r="A841" s="804" t="s">
        <v>10433</v>
      </c>
      <c r="B841" s="804" t="s">
        <v>8322</v>
      </c>
      <c r="C841" s="377" t="s">
        <v>10434</v>
      </c>
      <c r="D841" s="804" t="s">
        <v>10435</v>
      </c>
      <c r="E841" s="144" t="s">
        <v>6553</v>
      </c>
      <c r="F841" s="55">
        <v>17</v>
      </c>
      <c r="G841" s="55">
        <v>7873.55</v>
      </c>
      <c r="H841" s="911"/>
      <c r="I841" s="802" t="s">
        <v>14590</v>
      </c>
      <c r="L841" s="951"/>
    </row>
    <row r="842" spans="1:12" s="950" customFormat="1" ht="78.75" x14ac:dyDescent="0.2">
      <c r="A842" s="804" t="s">
        <v>10436</v>
      </c>
      <c r="B842" s="804" t="s">
        <v>8322</v>
      </c>
      <c r="C842" s="377" t="s">
        <v>10437</v>
      </c>
      <c r="D842" s="804" t="s">
        <v>10438</v>
      </c>
      <c r="E842" s="144" t="s">
        <v>6553</v>
      </c>
      <c r="F842" s="55">
        <v>15</v>
      </c>
      <c r="G842" s="55">
        <v>6947.25</v>
      </c>
      <c r="H842" s="911"/>
      <c r="I842" s="802" t="s">
        <v>14590</v>
      </c>
      <c r="L842" s="951"/>
    </row>
    <row r="843" spans="1:12" s="950" customFormat="1" ht="56.25" x14ac:dyDescent="0.2">
      <c r="A843" s="804" t="s">
        <v>10439</v>
      </c>
      <c r="B843" s="804" t="s">
        <v>8322</v>
      </c>
      <c r="C843" s="913" t="s">
        <v>10440</v>
      </c>
      <c r="D843" s="804" t="s">
        <v>10441</v>
      </c>
      <c r="E843" s="144" t="s">
        <v>6553</v>
      </c>
      <c r="F843" s="62">
        <v>11</v>
      </c>
      <c r="G843" s="55">
        <v>5094.6499999999996</v>
      </c>
      <c r="H843" s="911"/>
      <c r="I843" s="802" t="s">
        <v>14590</v>
      </c>
      <c r="L843" s="951"/>
    </row>
    <row r="844" spans="1:12" s="950" customFormat="1" ht="67.5" x14ac:dyDescent="0.2">
      <c r="A844" s="804" t="s">
        <v>10442</v>
      </c>
      <c r="B844" s="804" t="s">
        <v>8322</v>
      </c>
      <c r="C844" s="913" t="s">
        <v>10443</v>
      </c>
      <c r="D844" s="804" t="s">
        <v>10444</v>
      </c>
      <c r="E844" s="144" t="s">
        <v>6553</v>
      </c>
      <c r="F844" s="62">
        <v>15</v>
      </c>
      <c r="G844" s="55">
        <v>6947.25</v>
      </c>
      <c r="H844" s="911"/>
      <c r="I844" s="802" t="s">
        <v>14590</v>
      </c>
      <c r="L844" s="951"/>
    </row>
    <row r="845" spans="1:12" s="950" customFormat="1" ht="67.5" x14ac:dyDescent="0.2">
      <c r="A845" s="804" t="s">
        <v>10445</v>
      </c>
      <c r="B845" s="804" t="s">
        <v>8322</v>
      </c>
      <c r="C845" s="913" t="s">
        <v>10446</v>
      </c>
      <c r="D845" s="804" t="s">
        <v>10447</v>
      </c>
      <c r="E845" s="144" t="s">
        <v>6553</v>
      </c>
      <c r="F845" s="62">
        <v>5</v>
      </c>
      <c r="G845" s="55">
        <v>2315.75</v>
      </c>
      <c r="H845" s="911"/>
      <c r="I845" s="802" t="s">
        <v>14590</v>
      </c>
      <c r="L845" s="951"/>
    </row>
    <row r="846" spans="1:12" s="950" customFormat="1" ht="45" x14ac:dyDescent="0.2">
      <c r="A846" s="804" t="s">
        <v>10448</v>
      </c>
      <c r="B846" s="804" t="s">
        <v>8322</v>
      </c>
      <c r="C846" s="913" t="s">
        <v>10449</v>
      </c>
      <c r="D846" s="804" t="s">
        <v>10450</v>
      </c>
      <c r="E846" s="144" t="s">
        <v>6553</v>
      </c>
      <c r="F846" s="62">
        <v>8</v>
      </c>
      <c r="G846" s="55">
        <v>3705.2</v>
      </c>
      <c r="H846" s="911"/>
      <c r="I846" s="802" t="s">
        <v>14590</v>
      </c>
      <c r="L846" s="951"/>
    </row>
    <row r="847" spans="1:12" s="950" customFormat="1" ht="67.5" x14ac:dyDescent="0.2">
      <c r="A847" s="804" t="s">
        <v>10451</v>
      </c>
      <c r="B847" s="804" t="s">
        <v>8322</v>
      </c>
      <c r="C847" s="913" t="s">
        <v>10452</v>
      </c>
      <c r="D847" s="804" t="s">
        <v>10453</v>
      </c>
      <c r="E847" s="144" t="s">
        <v>6553</v>
      </c>
      <c r="F847" s="62">
        <v>5</v>
      </c>
      <c r="G847" s="55">
        <v>2315.75</v>
      </c>
      <c r="H847" s="911"/>
      <c r="I847" s="802" t="s">
        <v>14590</v>
      </c>
      <c r="L847" s="951"/>
    </row>
    <row r="848" spans="1:12" s="950" customFormat="1" ht="67.5" x14ac:dyDescent="0.2">
      <c r="A848" s="804" t="s">
        <v>10454</v>
      </c>
      <c r="B848" s="804" t="s">
        <v>8322</v>
      </c>
      <c r="C848" s="913" t="s">
        <v>10455</v>
      </c>
      <c r="D848" s="804" t="s">
        <v>10456</v>
      </c>
      <c r="E848" s="144" t="s">
        <v>6553</v>
      </c>
      <c r="F848" s="62">
        <v>18</v>
      </c>
      <c r="G848" s="55">
        <v>8336.7000000000007</v>
      </c>
      <c r="H848" s="911"/>
      <c r="I848" s="802" t="s">
        <v>14590</v>
      </c>
      <c r="L848" s="951"/>
    </row>
    <row r="849" spans="1:12" s="950" customFormat="1" ht="67.5" x14ac:dyDescent="0.2">
      <c r="A849" s="804" t="s">
        <v>10457</v>
      </c>
      <c r="B849" s="804" t="s">
        <v>8322</v>
      </c>
      <c r="C849" s="913" t="s">
        <v>10458</v>
      </c>
      <c r="D849" s="804" t="s">
        <v>10459</v>
      </c>
      <c r="E849" s="144" t="s">
        <v>6553</v>
      </c>
      <c r="F849" s="62">
        <v>10</v>
      </c>
      <c r="G849" s="55">
        <v>4631.5</v>
      </c>
      <c r="H849" s="911"/>
      <c r="I849" s="802" t="s">
        <v>14590</v>
      </c>
      <c r="L849" s="951"/>
    </row>
    <row r="850" spans="1:12" s="950" customFormat="1" ht="67.5" x14ac:dyDescent="0.2">
      <c r="A850" s="804" t="s">
        <v>10460</v>
      </c>
      <c r="B850" s="804" t="s">
        <v>8322</v>
      </c>
      <c r="C850" s="913" t="s">
        <v>10461</v>
      </c>
      <c r="D850" s="804" t="s">
        <v>10462</v>
      </c>
      <c r="E850" s="144" t="s">
        <v>6553</v>
      </c>
      <c r="F850" s="62">
        <v>9</v>
      </c>
      <c r="G850" s="55">
        <v>4168.3500000000004</v>
      </c>
      <c r="H850" s="911"/>
      <c r="I850" s="802" t="s">
        <v>14590</v>
      </c>
      <c r="L850" s="951"/>
    </row>
    <row r="851" spans="1:12" s="950" customFormat="1" ht="56.25" x14ac:dyDescent="0.2">
      <c r="A851" s="804" t="s">
        <v>10463</v>
      </c>
      <c r="B851" s="804" t="s">
        <v>8322</v>
      </c>
      <c r="C851" s="913" t="s">
        <v>10464</v>
      </c>
      <c r="D851" s="804" t="s">
        <v>10465</v>
      </c>
      <c r="E851" s="144" t="s">
        <v>6553</v>
      </c>
      <c r="F851" s="62">
        <v>6</v>
      </c>
      <c r="G851" s="55">
        <v>2778.9</v>
      </c>
      <c r="H851" s="911"/>
      <c r="I851" s="802" t="s">
        <v>14590</v>
      </c>
      <c r="L851" s="951"/>
    </row>
    <row r="852" spans="1:12" s="950" customFormat="1" ht="90" x14ac:dyDescent="0.2">
      <c r="A852" s="804" t="s">
        <v>10466</v>
      </c>
      <c r="B852" s="804" t="s">
        <v>8322</v>
      </c>
      <c r="C852" s="379" t="s">
        <v>10467</v>
      </c>
      <c r="D852" s="804" t="s">
        <v>10468</v>
      </c>
      <c r="E852" s="144" t="s">
        <v>6553</v>
      </c>
      <c r="F852" s="62">
        <v>15</v>
      </c>
      <c r="G852" s="55">
        <v>6947.25</v>
      </c>
      <c r="H852" s="911"/>
      <c r="I852" s="802" t="s">
        <v>14590</v>
      </c>
      <c r="L852" s="951"/>
    </row>
    <row r="853" spans="1:12" s="950" customFormat="1" ht="67.5" x14ac:dyDescent="0.2">
      <c r="A853" s="804" t="s">
        <v>10469</v>
      </c>
      <c r="B853" s="804" t="s">
        <v>8322</v>
      </c>
      <c r="C853" s="913" t="s">
        <v>10470</v>
      </c>
      <c r="D853" s="804" t="s">
        <v>10471</v>
      </c>
      <c r="E853" s="144" t="s">
        <v>6553</v>
      </c>
      <c r="F853" s="62">
        <v>4</v>
      </c>
      <c r="G853" s="55">
        <v>1852.6</v>
      </c>
      <c r="H853" s="911"/>
      <c r="I853" s="802" t="s">
        <v>14590</v>
      </c>
      <c r="L853" s="951"/>
    </row>
    <row r="854" spans="1:12" s="950" customFormat="1" ht="56.25" x14ac:dyDescent="0.2">
      <c r="A854" s="804" t="s">
        <v>10472</v>
      </c>
      <c r="B854" s="804" t="s">
        <v>8322</v>
      </c>
      <c r="C854" s="913" t="s">
        <v>10473</v>
      </c>
      <c r="D854" s="804" t="s">
        <v>10474</v>
      </c>
      <c r="E854" s="144" t="s">
        <v>6553</v>
      </c>
      <c r="F854" s="62">
        <v>34</v>
      </c>
      <c r="G854" s="55">
        <v>15747.1</v>
      </c>
      <c r="H854" s="911"/>
      <c r="I854" s="802" t="s">
        <v>14590</v>
      </c>
      <c r="L854" s="951"/>
    </row>
    <row r="855" spans="1:12" s="950" customFormat="1" ht="101.25" x14ac:dyDescent="0.2">
      <c r="A855" s="804" t="s">
        <v>10475</v>
      </c>
      <c r="B855" s="804" t="s">
        <v>8322</v>
      </c>
      <c r="C855" s="379" t="s">
        <v>10476</v>
      </c>
      <c r="D855" s="804" t="s">
        <v>10477</v>
      </c>
      <c r="E855" s="144" t="s">
        <v>6553</v>
      </c>
      <c r="F855" s="62">
        <v>9</v>
      </c>
      <c r="G855" s="55">
        <v>4168.3500000000004</v>
      </c>
      <c r="H855" s="911"/>
      <c r="I855" s="802" t="s">
        <v>14590</v>
      </c>
      <c r="L855" s="951"/>
    </row>
    <row r="856" spans="1:12" s="950" customFormat="1" ht="56.25" x14ac:dyDescent="0.2">
      <c r="A856" s="804" t="s">
        <v>10478</v>
      </c>
      <c r="B856" s="804" t="s">
        <v>10479</v>
      </c>
      <c r="C856" s="909" t="s">
        <v>10480</v>
      </c>
      <c r="D856" s="114" t="s">
        <v>10481</v>
      </c>
      <c r="E856" s="144" t="s">
        <v>6553</v>
      </c>
      <c r="F856" s="380">
        <v>14</v>
      </c>
      <c r="G856" s="123">
        <v>6484.1</v>
      </c>
      <c r="H856" s="180" t="s">
        <v>14461</v>
      </c>
      <c r="I856" s="802" t="s">
        <v>14590</v>
      </c>
      <c r="L856" s="951"/>
    </row>
    <row r="857" spans="1:12" s="950" customFormat="1" ht="56.25" x14ac:dyDescent="0.2">
      <c r="A857" s="804" t="s">
        <v>10482</v>
      </c>
      <c r="B857" s="804" t="s">
        <v>10479</v>
      </c>
      <c r="C857" s="909" t="s">
        <v>10483</v>
      </c>
      <c r="D857" s="114" t="s">
        <v>10484</v>
      </c>
      <c r="E857" s="144" t="s">
        <v>6553</v>
      </c>
      <c r="F857" s="380">
        <v>546</v>
      </c>
      <c r="G857" s="123">
        <v>252879.9</v>
      </c>
      <c r="H857" s="180" t="s">
        <v>14461</v>
      </c>
      <c r="I857" s="802" t="s">
        <v>14590</v>
      </c>
      <c r="L857" s="951"/>
    </row>
    <row r="858" spans="1:12" s="950" customFormat="1" ht="67.5" x14ac:dyDescent="0.2">
      <c r="A858" s="804" t="s">
        <v>10485</v>
      </c>
      <c r="B858" s="804" t="s">
        <v>8987</v>
      </c>
      <c r="C858" s="914" t="s">
        <v>10486</v>
      </c>
      <c r="D858" s="114" t="s">
        <v>10487</v>
      </c>
      <c r="E858" s="144" t="s">
        <v>6553</v>
      </c>
      <c r="F858" s="380">
        <v>19</v>
      </c>
      <c r="G858" s="123">
        <v>4819.7299999999996</v>
      </c>
      <c r="H858" s="180"/>
      <c r="I858" s="802" t="s">
        <v>14590</v>
      </c>
      <c r="L858" s="951"/>
    </row>
    <row r="859" spans="1:12" s="950" customFormat="1" ht="90" x14ac:dyDescent="0.2">
      <c r="A859" s="804" t="s">
        <v>10660</v>
      </c>
      <c r="B859" s="804" t="s">
        <v>8322</v>
      </c>
      <c r="C859" s="973" t="s">
        <v>10661</v>
      </c>
      <c r="D859" s="114" t="s">
        <v>10662</v>
      </c>
      <c r="E859" s="144" t="s">
        <v>6553</v>
      </c>
      <c r="F859" s="380">
        <v>6</v>
      </c>
      <c r="G859" s="123">
        <v>2778.9</v>
      </c>
      <c r="H859" s="180"/>
      <c r="I859" s="802" t="s">
        <v>14590</v>
      </c>
      <c r="L859" s="951"/>
    </row>
    <row r="860" spans="1:12" s="950" customFormat="1" ht="90" x14ac:dyDescent="0.2">
      <c r="A860" s="804" t="s">
        <v>10663</v>
      </c>
      <c r="B860" s="804" t="s">
        <v>10212</v>
      </c>
      <c r="C860" s="973" t="s">
        <v>10664</v>
      </c>
      <c r="D860" s="114" t="s">
        <v>10665</v>
      </c>
      <c r="E860" s="144" t="s">
        <v>6553</v>
      </c>
      <c r="F860" s="380">
        <v>5</v>
      </c>
      <c r="G860" s="123">
        <v>2315.75</v>
      </c>
      <c r="H860" s="180"/>
      <c r="I860" s="802" t="s">
        <v>14590</v>
      </c>
      <c r="L860" s="951"/>
    </row>
    <row r="861" spans="1:12" s="950" customFormat="1" ht="45" x14ac:dyDescent="0.2">
      <c r="A861" s="804" t="s">
        <v>10666</v>
      </c>
      <c r="B861" s="804" t="s">
        <v>10212</v>
      </c>
      <c r="C861" s="973" t="s">
        <v>10667</v>
      </c>
      <c r="D861" s="114" t="s">
        <v>10668</v>
      </c>
      <c r="E861" s="144" t="s">
        <v>6553</v>
      </c>
      <c r="F861" s="380">
        <v>53</v>
      </c>
      <c r="G861" s="123">
        <v>12668.59</v>
      </c>
      <c r="H861" s="180"/>
      <c r="I861" s="802" t="s">
        <v>14590</v>
      </c>
      <c r="L861" s="951"/>
    </row>
    <row r="862" spans="1:12" s="950" customFormat="1" ht="33.75" x14ac:dyDescent="0.2">
      <c r="A862" s="804" t="s">
        <v>10713</v>
      </c>
      <c r="B862" s="804" t="s">
        <v>9818</v>
      </c>
      <c r="C862" s="973" t="s">
        <v>10714</v>
      </c>
      <c r="D862" s="114" t="s">
        <v>10715</v>
      </c>
      <c r="E862" s="144" t="s">
        <v>6553</v>
      </c>
      <c r="F862" s="380">
        <v>294</v>
      </c>
      <c r="G862" s="123">
        <v>136166.1</v>
      </c>
      <c r="H862" s="180"/>
      <c r="I862" s="802" t="s">
        <v>14590</v>
      </c>
      <c r="L862" s="951"/>
    </row>
    <row r="863" spans="1:12" s="950" customFormat="1" ht="45" x14ac:dyDescent="0.2">
      <c r="A863" s="804" t="s">
        <v>10757</v>
      </c>
      <c r="B863" s="804" t="s">
        <v>11482</v>
      </c>
      <c r="C863" s="916" t="s">
        <v>10758</v>
      </c>
      <c r="D863" s="804" t="s">
        <v>10759</v>
      </c>
      <c r="E863" s="514" t="s">
        <v>6553</v>
      </c>
      <c r="F863" s="380">
        <v>1200</v>
      </c>
      <c r="G863" s="55">
        <v>279912</v>
      </c>
      <c r="H863" s="180"/>
      <c r="I863" s="802" t="s">
        <v>14586</v>
      </c>
      <c r="L863" s="951"/>
    </row>
    <row r="864" spans="1:12" s="950" customFormat="1" ht="56.25" x14ac:dyDescent="0.2">
      <c r="A864" s="804" t="s">
        <v>11483</v>
      </c>
      <c r="B864" s="804" t="s">
        <v>11482</v>
      </c>
      <c r="C864" s="916" t="s">
        <v>14462</v>
      </c>
      <c r="D864" s="804" t="s">
        <v>11484</v>
      </c>
      <c r="E864" s="514" t="s">
        <v>6553</v>
      </c>
      <c r="F864" s="380">
        <v>1200</v>
      </c>
      <c r="G864" s="55">
        <v>273468</v>
      </c>
      <c r="H864" s="180"/>
      <c r="I864" s="802" t="s">
        <v>14586</v>
      </c>
      <c r="L864" s="951"/>
    </row>
    <row r="865" spans="1:12" s="950" customFormat="1" ht="56.25" x14ac:dyDescent="0.2">
      <c r="A865" s="804" t="s">
        <v>11485</v>
      </c>
      <c r="B865" s="804" t="s">
        <v>11482</v>
      </c>
      <c r="C865" s="916" t="s">
        <v>11486</v>
      </c>
      <c r="D865" s="804" t="s">
        <v>11487</v>
      </c>
      <c r="E865" s="514" t="s">
        <v>6553</v>
      </c>
      <c r="F865" s="380">
        <v>1200</v>
      </c>
      <c r="G865" s="55">
        <v>273468</v>
      </c>
      <c r="H865" s="180"/>
      <c r="I865" s="802" t="s">
        <v>14586</v>
      </c>
      <c r="L865" s="951"/>
    </row>
    <row r="866" spans="1:12" s="950" customFormat="1" ht="56.25" x14ac:dyDescent="0.2">
      <c r="A866" s="804" t="s">
        <v>11488</v>
      </c>
      <c r="B866" s="804" t="s">
        <v>11482</v>
      </c>
      <c r="C866" s="916" t="s">
        <v>11489</v>
      </c>
      <c r="D866" s="804" t="s">
        <v>11490</v>
      </c>
      <c r="E866" s="514" t="s">
        <v>6553</v>
      </c>
      <c r="F866" s="380">
        <v>1192</v>
      </c>
      <c r="G866" s="55">
        <v>277151.92</v>
      </c>
      <c r="H866" s="180"/>
      <c r="I866" s="802" t="s">
        <v>14586</v>
      </c>
      <c r="L866" s="22"/>
    </row>
    <row r="867" spans="1:12" s="950" customFormat="1" ht="56.25" x14ac:dyDescent="0.2">
      <c r="A867" s="804" t="s">
        <v>11491</v>
      </c>
      <c r="B867" s="804" t="s">
        <v>11482</v>
      </c>
      <c r="C867" s="916" t="s">
        <v>11492</v>
      </c>
      <c r="D867" s="804" t="s">
        <v>11493</v>
      </c>
      <c r="E867" s="514" t="s">
        <v>6553</v>
      </c>
      <c r="F867" s="380">
        <v>1200</v>
      </c>
      <c r="G867" s="55">
        <v>279012</v>
      </c>
      <c r="H867" s="180"/>
      <c r="I867" s="802" t="s">
        <v>14586</v>
      </c>
      <c r="L867" s="22"/>
    </row>
    <row r="868" spans="1:12" s="950" customFormat="1" ht="56.25" x14ac:dyDescent="0.2">
      <c r="A868" s="804" t="s">
        <v>14463</v>
      </c>
      <c r="B868" s="804" t="s">
        <v>11482</v>
      </c>
      <c r="C868" s="916" t="s">
        <v>14464</v>
      </c>
      <c r="D868" s="804" t="s">
        <v>14465</v>
      </c>
      <c r="E868" s="514" t="s">
        <v>6553</v>
      </c>
      <c r="F868" s="380">
        <v>1200</v>
      </c>
      <c r="G868" s="55">
        <v>273468</v>
      </c>
      <c r="H868" s="180"/>
      <c r="I868" s="802" t="s">
        <v>14586</v>
      </c>
      <c r="L868" s="22"/>
    </row>
    <row r="869" spans="1:12" s="950" customFormat="1" ht="56.25" x14ac:dyDescent="0.2">
      <c r="A869" s="804" t="s">
        <v>11494</v>
      </c>
      <c r="B869" s="804" t="s">
        <v>11482</v>
      </c>
      <c r="C869" s="916" t="s">
        <v>11495</v>
      </c>
      <c r="D869" s="804" t="s">
        <v>11496</v>
      </c>
      <c r="E869" s="514" t="s">
        <v>6553</v>
      </c>
      <c r="F869" s="380">
        <v>1201</v>
      </c>
      <c r="G869" s="55">
        <v>273695.89</v>
      </c>
      <c r="H869" s="180"/>
      <c r="I869" s="802" t="s">
        <v>14586</v>
      </c>
      <c r="L869" s="22"/>
    </row>
    <row r="870" spans="1:12" s="950" customFormat="1" ht="56.25" x14ac:dyDescent="0.2">
      <c r="A870" s="804" t="s">
        <v>11497</v>
      </c>
      <c r="B870" s="804" t="s">
        <v>11498</v>
      </c>
      <c r="C870" s="916" t="s">
        <v>11499</v>
      </c>
      <c r="D870" s="804" t="s">
        <v>11500</v>
      </c>
      <c r="E870" s="514" t="s">
        <v>6553</v>
      </c>
      <c r="F870" s="380">
        <v>1199</v>
      </c>
      <c r="G870" s="55">
        <v>278779.49</v>
      </c>
      <c r="H870" s="180"/>
      <c r="I870" s="802" t="s">
        <v>14586</v>
      </c>
      <c r="L870" s="22"/>
    </row>
    <row r="871" spans="1:12" s="950" customFormat="1" ht="56.25" x14ac:dyDescent="0.2">
      <c r="A871" s="804" t="s">
        <v>11501</v>
      </c>
      <c r="B871" s="804" t="s">
        <v>11498</v>
      </c>
      <c r="C871" s="916" t="s">
        <v>11502</v>
      </c>
      <c r="D871" s="804" t="s">
        <v>11503</v>
      </c>
      <c r="E871" s="514" t="s">
        <v>6553</v>
      </c>
      <c r="F871" s="380">
        <v>1200</v>
      </c>
      <c r="G871" s="55">
        <v>279012</v>
      </c>
      <c r="H871" s="180"/>
      <c r="I871" s="802" t="s">
        <v>14586</v>
      </c>
      <c r="L871" s="22"/>
    </row>
    <row r="872" spans="1:12" s="950" customFormat="1" ht="56.25" x14ac:dyDescent="0.2">
      <c r="A872" s="804" t="s">
        <v>11504</v>
      </c>
      <c r="B872" s="804" t="s">
        <v>11498</v>
      </c>
      <c r="C872" s="916" t="s">
        <v>11505</v>
      </c>
      <c r="D872" s="804" t="s">
        <v>11506</v>
      </c>
      <c r="E872" s="514" t="s">
        <v>6553</v>
      </c>
      <c r="F872" s="380">
        <v>1200</v>
      </c>
      <c r="G872" s="55">
        <v>279012</v>
      </c>
      <c r="H872" s="180"/>
      <c r="I872" s="802" t="s">
        <v>14586</v>
      </c>
      <c r="L872" s="22"/>
    </row>
    <row r="873" spans="1:12" s="950" customFormat="1" ht="56.25" x14ac:dyDescent="0.2">
      <c r="A873" s="804" t="s">
        <v>11507</v>
      </c>
      <c r="B873" s="804" t="s">
        <v>11498</v>
      </c>
      <c r="C873" s="916" t="s">
        <v>11508</v>
      </c>
      <c r="D873" s="804" t="s">
        <v>11509</v>
      </c>
      <c r="E873" s="514" t="s">
        <v>6553</v>
      </c>
      <c r="F873" s="380">
        <v>1200</v>
      </c>
      <c r="G873" s="55">
        <v>279012</v>
      </c>
      <c r="H873" s="180"/>
      <c r="I873" s="802" t="s">
        <v>14586</v>
      </c>
      <c r="L873" s="22"/>
    </row>
    <row r="874" spans="1:12" s="950" customFormat="1" ht="56.25" x14ac:dyDescent="0.2">
      <c r="A874" s="804" t="s">
        <v>11510</v>
      </c>
      <c r="B874" s="804" t="s">
        <v>11498</v>
      </c>
      <c r="C874" s="916" t="s">
        <v>11511</v>
      </c>
      <c r="D874" s="804" t="s">
        <v>11512</v>
      </c>
      <c r="E874" s="514" t="s">
        <v>6553</v>
      </c>
      <c r="F874" s="380">
        <v>1200</v>
      </c>
      <c r="G874" s="55">
        <v>279012</v>
      </c>
      <c r="H874" s="180"/>
      <c r="I874" s="802" t="s">
        <v>14586</v>
      </c>
      <c r="L874" s="22"/>
    </row>
    <row r="875" spans="1:12" s="950" customFormat="1" ht="56.25" x14ac:dyDescent="0.2">
      <c r="A875" s="804" t="s">
        <v>11513</v>
      </c>
      <c r="B875" s="804" t="s">
        <v>11498</v>
      </c>
      <c r="C875" s="916" t="s">
        <v>11514</v>
      </c>
      <c r="D875" s="804" t="s">
        <v>11515</v>
      </c>
      <c r="E875" s="514" t="s">
        <v>6553</v>
      </c>
      <c r="F875" s="380">
        <v>1200</v>
      </c>
      <c r="G875" s="55">
        <v>279012</v>
      </c>
      <c r="H875" s="180"/>
      <c r="I875" s="802" t="s">
        <v>14586</v>
      </c>
      <c r="L875" s="22"/>
    </row>
    <row r="876" spans="1:12" s="950" customFormat="1" ht="56.25" x14ac:dyDescent="0.2">
      <c r="A876" s="850" t="s">
        <v>11516</v>
      </c>
      <c r="B876" s="850" t="s">
        <v>11498</v>
      </c>
      <c r="C876" s="974" t="s">
        <v>11517</v>
      </c>
      <c r="D876" s="850" t="s">
        <v>11518</v>
      </c>
      <c r="E876" s="975" t="s">
        <v>6553</v>
      </c>
      <c r="F876" s="976">
        <v>1200</v>
      </c>
      <c r="G876" s="921">
        <v>279012</v>
      </c>
      <c r="H876" s="977"/>
      <c r="I876" s="802" t="s">
        <v>14586</v>
      </c>
      <c r="L876" s="22"/>
    </row>
    <row r="877" spans="1:12" s="950" customFormat="1" ht="56.25" x14ac:dyDescent="0.2">
      <c r="A877" s="850" t="s">
        <v>11519</v>
      </c>
      <c r="B877" s="850" t="s">
        <v>11482</v>
      </c>
      <c r="C877" s="974" t="s">
        <v>11520</v>
      </c>
      <c r="D877" s="850" t="s">
        <v>11521</v>
      </c>
      <c r="E877" s="975" t="s">
        <v>6553</v>
      </c>
      <c r="F877" s="976">
        <v>1199</v>
      </c>
      <c r="G877" s="921">
        <v>273240.11</v>
      </c>
      <c r="H877" s="977"/>
      <c r="I877" s="802" t="s">
        <v>14586</v>
      </c>
      <c r="L877" s="22"/>
    </row>
    <row r="878" spans="1:12" s="950" customFormat="1" ht="56.25" x14ac:dyDescent="0.2">
      <c r="A878" s="804" t="s">
        <v>11522</v>
      </c>
      <c r="B878" s="804" t="s">
        <v>14466</v>
      </c>
      <c r="C878" s="916" t="s">
        <v>11523</v>
      </c>
      <c r="D878" s="804" t="s">
        <v>11524</v>
      </c>
      <c r="E878" s="514" t="s">
        <v>6553</v>
      </c>
      <c r="F878" s="380">
        <v>1355</v>
      </c>
      <c r="G878" s="55">
        <v>2316941.6</v>
      </c>
      <c r="H878" s="180"/>
      <c r="I878" s="802" t="s">
        <v>14586</v>
      </c>
      <c r="J878" s="952"/>
      <c r="L878" s="22"/>
    </row>
    <row r="879" spans="1:12" s="950" customFormat="1" ht="56.25" x14ac:dyDescent="0.2">
      <c r="A879" s="804" t="s">
        <v>11525</v>
      </c>
      <c r="B879" s="804" t="s">
        <v>11498</v>
      </c>
      <c r="C879" s="916" t="s">
        <v>11526</v>
      </c>
      <c r="D879" s="804" t="s">
        <v>11527</v>
      </c>
      <c r="E879" s="514" t="s">
        <v>6553</v>
      </c>
      <c r="F879" s="380">
        <v>1200</v>
      </c>
      <c r="G879" s="55">
        <v>279012</v>
      </c>
      <c r="H879" s="180"/>
      <c r="I879" s="802" t="s">
        <v>14586</v>
      </c>
      <c r="J879" s="952"/>
      <c r="L879" s="22"/>
    </row>
    <row r="880" spans="1:12" s="950" customFormat="1" ht="56.25" x14ac:dyDescent="0.2">
      <c r="A880" s="804" t="s">
        <v>11528</v>
      </c>
      <c r="B880" s="804" t="s">
        <v>11482</v>
      </c>
      <c r="C880" s="916" t="s">
        <v>11529</v>
      </c>
      <c r="D880" s="804" t="s">
        <v>11530</v>
      </c>
      <c r="E880" s="514" t="s">
        <v>6553</v>
      </c>
      <c r="F880" s="380">
        <v>1200</v>
      </c>
      <c r="G880" s="55">
        <v>273468</v>
      </c>
      <c r="H880" s="180"/>
      <c r="I880" s="802" t="s">
        <v>14586</v>
      </c>
      <c r="J880" s="952"/>
      <c r="L880" s="22"/>
    </row>
    <row r="881" spans="1:12" s="950" customFormat="1" ht="56.25" x14ac:dyDescent="0.2">
      <c r="A881" s="804" t="s">
        <v>11531</v>
      </c>
      <c r="B881" s="804" t="s">
        <v>11482</v>
      </c>
      <c r="C881" s="916" t="s">
        <v>11532</v>
      </c>
      <c r="D881" s="804" t="s">
        <v>11533</v>
      </c>
      <c r="E881" s="514" t="s">
        <v>6553</v>
      </c>
      <c r="F881" s="380">
        <v>1200</v>
      </c>
      <c r="G881" s="55">
        <v>279012</v>
      </c>
      <c r="H881" s="180"/>
      <c r="I881" s="802" t="s">
        <v>14586</v>
      </c>
      <c r="J881" s="952"/>
      <c r="L881" s="22"/>
    </row>
    <row r="882" spans="1:12" s="950" customFormat="1" ht="56.25" x14ac:dyDescent="0.2">
      <c r="A882" s="804" t="s">
        <v>11534</v>
      </c>
      <c r="B882" s="804" t="s">
        <v>11482</v>
      </c>
      <c r="C882" s="916" t="s">
        <v>11535</v>
      </c>
      <c r="D882" s="804" t="s">
        <v>11536</v>
      </c>
      <c r="E882" s="514" t="s">
        <v>6553</v>
      </c>
      <c r="F882" s="380">
        <v>1193</v>
      </c>
      <c r="G882" s="55">
        <v>271872.77</v>
      </c>
      <c r="H882" s="180"/>
      <c r="I882" s="802" t="s">
        <v>14586</v>
      </c>
      <c r="J882" s="952"/>
      <c r="L882" s="22"/>
    </row>
    <row r="883" spans="1:12" s="950" customFormat="1" ht="56.25" x14ac:dyDescent="0.2">
      <c r="A883" s="804" t="s">
        <v>11537</v>
      </c>
      <c r="B883" s="804" t="s">
        <v>11482</v>
      </c>
      <c r="C883" s="916" t="s">
        <v>14467</v>
      </c>
      <c r="D883" s="804" t="s">
        <v>11538</v>
      </c>
      <c r="E883" s="514" t="s">
        <v>6553</v>
      </c>
      <c r="F883" s="380">
        <v>1200</v>
      </c>
      <c r="G883" s="55">
        <v>273468</v>
      </c>
      <c r="H883" s="180"/>
      <c r="I883" s="802" t="s">
        <v>14586</v>
      </c>
      <c r="J883" s="952"/>
      <c r="L883" s="22"/>
    </row>
    <row r="884" spans="1:12" s="950" customFormat="1" ht="56.25" x14ac:dyDescent="0.2">
      <c r="A884" s="804" t="s">
        <v>11539</v>
      </c>
      <c r="B884" s="804" t="s">
        <v>14468</v>
      </c>
      <c r="C884" s="916" t="s">
        <v>11540</v>
      </c>
      <c r="D884" s="804" t="s">
        <v>11541</v>
      </c>
      <c r="E884" s="514" t="s">
        <v>6553</v>
      </c>
      <c r="F884" s="380">
        <v>2004</v>
      </c>
      <c r="G884" s="55">
        <v>540178.19999999995</v>
      </c>
      <c r="H884" s="180"/>
      <c r="I884" s="802" t="s">
        <v>14586</v>
      </c>
      <c r="J884" s="952"/>
      <c r="L884" s="22"/>
    </row>
    <row r="885" spans="1:12" s="950" customFormat="1" ht="56.25" x14ac:dyDescent="0.2">
      <c r="A885" s="850" t="s">
        <v>11542</v>
      </c>
      <c r="B885" s="850" t="s">
        <v>11482</v>
      </c>
      <c r="C885" s="974" t="s">
        <v>11543</v>
      </c>
      <c r="D885" s="850" t="s">
        <v>11544</v>
      </c>
      <c r="E885" s="975" t="s">
        <v>6553</v>
      </c>
      <c r="F885" s="976">
        <v>1214</v>
      </c>
      <c r="G885" s="921">
        <v>282267.14</v>
      </c>
      <c r="H885" s="977"/>
      <c r="I885" s="802" t="s">
        <v>14586</v>
      </c>
      <c r="J885" s="952"/>
      <c r="L885" s="22"/>
    </row>
    <row r="886" spans="1:12" s="950" customFormat="1" ht="56.25" x14ac:dyDescent="0.2">
      <c r="A886" s="804" t="s">
        <v>11545</v>
      </c>
      <c r="B886" s="804" t="s">
        <v>11482</v>
      </c>
      <c r="C886" s="916" t="s">
        <v>11546</v>
      </c>
      <c r="D886" s="804" t="s">
        <v>11547</v>
      </c>
      <c r="E886" s="514" t="s">
        <v>6553</v>
      </c>
      <c r="F886" s="380">
        <v>1200</v>
      </c>
      <c r="G886" s="55">
        <v>273468</v>
      </c>
      <c r="H886" s="180"/>
      <c r="I886" s="802" t="s">
        <v>14586</v>
      </c>
      <c r="J886" s="952"/>
      <c r="L886" s="22"/>
    </row>
    <row r="887" spans="1:12" s="950" customFormat="1" ht="56.25" x14ac:dyDescent="0.2">
      <c r="A887" s="804" t="s">
        <v>11548</v>
      </c>
      <c r="B887" s="804" t="s">
        <v>11482</v>
      </c>
      <c r="C887" s="916" t="s">
        <v>11549</v>
      </c>
      <c r="D887" s="804" t="s">
        <v>11550</v>
      </c>
      <c r="E887" s="514" t="s">
        <v>6553</v>
      </c>
      <c r="F887" s="380">
        <v>1200</v>
      </c>
      <c r="G887" s="55">
        <v>273468</v>
      </c>
      <c r="H887" s="180"/>
      <c r="I887" s="802" t="s">
        <v>14586</v>
      </c>
      <c r="J887" s="952"/>
      <c r="L887" s="22"/>
    </row>
    <row r="888" spans="1:12" s="950" customFormat="1" ht="56.25" x14ac:dyDescent="0.2">
      <c r="A888" s="804" t="s">
        <v>11625</v>
      </c>
      <c r="B888" s="804" t="s">
        <v>11482</v>
      </c>
      <c r="C888" s="916" t="s">
        <v>11626</v>
      </c>
      <c r="D888" s="804" t="s">
        <v>11627</v>
      </c>
      <c r="E888" s="514" t="s">
        <v>6553</v>
      </c>
      <c r="F888" s="380">
        <v>1206</v>
      </c>
      <c r="G888" s="55">
        <v>280407.06</v>
      </c>
      <c r="H888" s="180"/>
      <c r="I888" s="802" t="s">
        <v>14586</v>
      </c>
      <c r="J888" s="952"/>
      <c r="L888" s="22"/>
    </row>
    <row r="889" spans="1:12" s="950" customFormat="1" ht="56.25" x14ac:dyDescent="0.2">
      <c r="A889" s="804" t="s">
        <v>11628</v>
      </c>
      <c r="B889" s="804" t="s">
        <v>11482</v>
      </c>
      <c r="C889" s="916" t="s">
        <v>11629</v>
      </c>
      <c r="D889" s="804" t="s">
        <v>11630</v>
      </c>
      <c r="E889" s="514" t="s">
        <v>6553</v>
      </c>
      <c r="F889" s="380">
        <v>1201</v>
      </c>
      <c r="G889" s="55">
        <v>279244.51</v>
      </c>
      <c r="H889" s="180"/>
      <c r="I889" s="802" t="s">
        <v>14586</v>
      </c>
      <c r="J889" s="952"/>
      <c r="L889" s="22"/>
    </row>
    <row r="890" spans="1:12" s="950" customFormat="1" ht="56.25" x14ac:dyDescent="0.2">
      <c r="A890" s="804" t="s">
        <v>11631</v>
      </c>
      <c r="B890" s="804" t="s">
        <v>11482</v>
      </c>
      <c r="C890" s="916" t="s">
        <v>11632</v>
      </c>
      <c r="D890" s="804" t="s">
        <v>11633</v>
      </c>
      <c r="E890" s="514" t="s">
        <v>6553</v>
      </c>
      <c r="F890" s="380">
        <v>1199</v>
      </c>
      <c r="G890" s="55">
        <v>278779.49</v>
      </c>
      <c r="H890" s="180"/>
      <c r="I890" s="802" t="s">
        <v>14586</v>
      </c>
      <c r="J890" s="952"/>
      <c r="L890" s="22"/>
    </row>
    <row r="891" spans="1:12" s="950" customFormat="1" ht="56.25" x14ac:dyDescent="0.2">
      <c r="A891" s="804" t="s">
        <v>11634</v>
      </c>
      <c r="B891" s="804" t="s">
        <v>11482</v>
      </c>
      <c r="C891" s="916" t="s">
        <v>11635</v>
      </c>
      <c r="D891" s="804" t="s">
        <v>11636</v>
      </c>
      <c r="E891" s="514" t="s">
        <v>6553</v>
      </c>
      <c r="F891" s="380">
        <v>1201</v>
      </c>
      <c r="G891" s="55">
        <v>279244.51</v>
      </c>
      <c r="H891" s="180"/>
      <c r="I891" s="802" t="s">
        <v>14586</v>
      </c>
      <c r="J891" s="952"/>
      <c r="L891" s="22"/>
    </row>
    <row r="892" spans="1:12" s="950" customFormat="1" ht="56.25" x14ac:dyDescent="0.2">
      <c r="A892" s="804" t="s">
        <v>11656</v>
      </c>
      <c r="B892" s="804" t="s">
        <v>11482</v>
      </c>
      <c r="C892" s="916" t="s">
        <v>11657</v>
      </c>
      <c r="D892" s="804" t="s">
        <v>11658</v>
      </c>
      <c r="E892" s="514" t="s">
        <v>6553</v>
      </c>
      <c r="F892" s="380">
        <v>1191</v>
      </c>
      <c r="G892" s="55">
        <v>271416.99</v>
      </c>
      <c r="H892" s="180"/>
      <c r="I892" s="802" t="s">
        <v>14586</v>
      </c>
      <c r="J892" s="952"/>
      <c r="L892" s="22"/>
    </row>
    <row r="893" spans="1:12" s="950" customFormat="1" ht="56.25" x14ac:dyDescent="0.2">
      <c r="A893" s="804" t="s">
        <v>11659</v>
      </c>
      <c r="B893" s="804" t="s">
        <v>11482</v>
      </c>
      <c r="C893" s="916" t="s">
        <v>11660</v>
      </c>
      <c r="D893" s="804" t="s">
        <v>11661</v>
      </c>
      <c r="E893" s="514" t="s">
        <v>6553</v>
      </c>
      <c r="F893" s="380">
        <v>1200</v>
      </c>
      <c r="G893" s="55">
        <v>273468</v>
      </c>
      <c r="H893" s="180"/>
      <c r="I893" s="802" t="s">
        <v>14586</v>
      </c>
      <c r="J893" s="952"/>
      <c r="L893" s="22"/>
    </row>
    <row r="894" spans="1:12" s="950" customFormat="1" ht="56.25" x14ac:dyDescent="0.2">
      <c r="A894" s="804" t="s">
        <v>11671</v>
      </c>
      <c r="B894" s="804" t="s">
        <v>11482</v>
      </c>
      <c r="C894" s="916" t="s">
        <v>11672</v>
      </c>
      <c r="D894" s="804" t="s">
        <v>11673</v>
      </c>
      <c r="E894" s="514" t="s">
        <v>6553</v>
      </c>
      <c r="F894" s="380">
        <v>1200</v>
      </c>
      <c r="G894" s="55">
        <v>279012</v>
      </c>
      <c r="H894" s="180"/>
      <c r="I894" s="802" t="s">
        <v>14586</v>
      </c>
      <c r="J894" s="952"/>
      <c r="L894" s="22"/>
    </row>
    <row r="895" spans="1:12" s="950" customFormat="1" ht="56.25" x14ac:dyDescent="0.2">
      <c r="A895" s="804" t="s">
        <v>11676</v>
      </c>
      <c r="B895" s="804" t="s">
        <v>11482</v>
      </c>
      <c r="C895" s="913" t="s">
        <v>11677</v>
      </c>
      <c r="D895" s="804" t="s">
        <v>11678</v>
      </c>
      <c r="E895" s="514" t="s">
        <v>6553</v>
      </c>
      <c r="F895" s="380">
        <v>1200</v>
      </c>
      <c r="G895" s="55">
        <v>279012</v>
      </c>
      <c r="H895" s="180"/>
      <c r="I895" s="802" t="s">
        <v>14586</v>
      </c>
      <c r="J895" s="952"/>
      <c r="L895" s="22"/>
    </row>
    <row r="896" spans="1:12" s="950" customFormat="1" ht="56.25" x14ac:dyDescent="0.2">
      <c r="A896" s="804" t="s">
        <v>11679</v>
      </c>
      <c r="B896" s="804" t="s">
        <v>11482</v>
      </c>
      <c r="C896" s="913" t="s">
        <v>11680</v>
      </c>
      <c r="D896" s="804" t="s">
        <v>11681</v>
      </c>
      <c r="E896" s="514" t="s">
        <v>6553</v>
      </c>
      <c r="F896" s="380">
        <v>1200</v>
      </c>
      <c r="G896" s="55">
        <v>279012</v>
      </c>
      <c r="H896" s="180"/>
      <c r="I896" s="802" t="s">
        <v>14586</v>
      </c>
      <c r="J896" s="952"/>
      <c r="L896" s="22"/>
    </row>
    <row r="897" spans="1:12" s="950" customFormat="1" ht="56.25" x14ac:dyDescent="0.2">
      <c r="A897" s="804" t="s">
        <v>11682</v>
      </c>
      <c r="B897" s="804" t="s">
        <v>11482</v>
      </c>
      <c r="C897" s="913" t="s">
        <v>11683</v>
      </c>
      <c r="D897" s="804" t="s">
        <v>11684</v>
      </c>
      <c r="E897" s="514" t="s">
        <v>6553</v>
      </c>
      <c r="F897" s="380">
        <v>1200</v>
      </c>
      <c r="G897" s="55">
        <v>279012</v>
      </c>
      <c r="H897" s="180"/>
      <c r="I897" s="802" t="s">
        <v>14586</v>
      </c>
      <c r="J897" s="952"/>
      <c r="L897" s="22"/>
    </row>
    <row r="898" spans="1:12" s="950" customFormat="1" ht="56.25" x14ac:dyDescent="0.2">
      <c r="A898" s="804" t="s">
        <v>11685</v>
      </c>
      <c r="B898" s="804" t="s">
        <v>11482</v>
      </c>
      <c r="C898" s="913" t="s">
        <v>11686</v>
      </c>
      <c r="D898" s="804" t="s">
        <v>11687</v>
      </c>
      <c r="E898" s="514" t="s">
        <v>6553</v>
      </c>
      <c r="F898" s="380">
        <v>1200</v>
      </c>
      <c r="G898" s="55">
        <v>279012</v>
      </c>
      <c r="H898" s="180"/>
      <c r="I898" s="802" t="s">
        <v>14586</v>
      </c>
      <c r="J898" s="952"/>
      <c r="L898" s="22"/>
    </row>
    <row r="899" spans="1:12" s="950" customFormat="1" ht="67.5" x14ac:dyDescent="0.2">
      <c r="A899" s="804" t="s">
        <v>11688</v>
      </c>
      <c r="B899" s="804" t="s">
        <v>11498</v>
      </c>
      <c r="C899" s="913" t="s">
        <v>11759</v>
      </c>
      <c r="D899" s="804" t="s">
        <v>11689</v>
      </c>
      <c r="E899" s="514" t="s">
        <v>6553</v>
      </c>
      <c r="F899" s="380">
        <v>1201</v>
      </c>
      <c r="G899" s="55">
        <v>273695.89</v>
      </c>
      <c r="H899" s="180"/>
      <c r="I899" s="802" t="s">
        <v>14586</v>
      </c>
      <c r="J899" s="952"/>
      <c r="L899" s="22"/>
    </row>
    <row r="900" spans="1:12" s="950" customFormat="1" ht="56.25" x14ac:dyDescent="0.2">
      <c r="A900" s="804" t="s">
        <v>11690</v>
      </c>
      <c r="B900" s="804" t="s">
        <v>11482</v>
      </c>
      <c r="C900" s="913" t="s">
        <v>11780</v>
      </c>
      <c r="D900" s="804" t="s">
        <v>11691</v>
      </c>
      <c r="E900" s="514" t="s">
        <v>6553</v>
      </c>
      <c r="F900" s="380">
        <v>1201</v>
      </c>
      <c r="G900" s="55">
        <v>273695.89</v>
      </c>
      <c r="H900" s="180"/>
      <c r="I900" s="802" t="s">
        <v>14586</v>
      </c>
      <c r="J900" s="952"/>
      <c r="L900" s="22"/>
    </row>
    <row r="901" spans="1:12" s="950" customFormat="1" ht="56.25" x14ac:dyDescent="0.2">
      <c r="A901" s="804" t="s">
        <v>11692</v>
      </c>
      <c r="B901" s="804" t="s">
        <v>11482</v>
      </c>
      <c r="C901" s="916" t="s">
        <v>11693</v>
      </c>
      <c r="D901" s="804" t="s">
        <v>11694</v>
      </c>
      <c r="E901" s="514" t="s">
        <v>6553</v>
      </c>
      <c r="F901" s="380">
        <v>1199</v>
      </c>
      <c r="G901" s="55">
        <v>278779.49</v>
      </c>
      <c r="H901" s="180"/>
      <c r="I901" s="802" t="s">
        <v>14586</v>
      </c>
      <c r="J901" s="952"/>
      <c r="L901" s="22"/>
    </row>
    <row r="902" spans="1:12" s="950" customFormat="1" ht="56.25" x14ac:dyDescent="0.2">
      <c r="A902" s="804" t="s">
        <v>11695</v>
      </c>
      <c r="B902" s="804" t="s">
        <v>11482</v>
      </c>
      <c r="C902" s="916" t="s">
        <v>11696</v>
      </c>
      <c r="D902" s="804" t="s">
        <v>11697</v>
      </c>
      <c r="E902" s="514" t="s">
        <v>6553</v>
      </c>
      <c r="F902" s="380">
        <v>1200</v>
      </c>
      <c r="G902" s="55">
        <v>279012</v>
      </c>
      <c r="H902" s="180"/>
      <c r="I902" s="802" t="s">
        <v>14586</v>
      </c>
      <c r="J902" s="952"/>
      <c r="L902" s="22"/>
    </row>
    <row r="903" spans="1:12" s="950" customFormat="1" ht="56.25" x14ac:dyDescent="0.2">
      <c r="A903" s="804" t="s">
        <v>11698</v>
      </c>
      <c r="B903" s="804" t="s">
        <v>11482</v>
      </c>
      <c r="C903" s="913" t="s">
        <v>11699</v>
      </c>
      <c r="D903" s="804" t="s">
        <v>11700</v>
      </c>
      <c r="E903" s="514" t="s">
        <v>6553</v>
      </c>
      <c r="F903" s="380">
        <v>1200</v>
      </c>
      <c r="G903" s="55">
        <v>279012</v>
      </c>
      <c r="H903" s="180"/>
      <c r="I903" s="802" t="s">
        <v>14586</v>
      </c>
      <c r="J903" s="952"/>
      <c r="L903" s="22"/>
    </row>
    <row r="904" spans="1:12" s="950" customFormat="1" ht="56.25" x14ac:dyDescent="0.2">
      <c r="A904" s="804" t="s">
        <v>11701</v>
      </c>
      <c r="B904" s="804" t="s">
        <v>11482</v>
      </c>
      <c r="C904" s="913" t="s">
        <v>11702</v>
      </c>
      <c r="D904" s="804" t="s">
        <v>11703</v>
      </c>
      <c r="E904" s="514" t="s">
        <v>6553</v>
      </c>
      <c r="F904" s="380">
        <v>1201</v>
      </c>
      <c r="G904" s="55">
        <v>279244.51</v>
      </c>
      <c r="H904" s="180"/>
      <c r="I904" s="802" t="s">
        <v>14586</v>
      </c>
      <c r="J904" s="952"/>
      <c r="L904" s="22"/>
    </row>
    <row r="905" spans="1:12" s="950" customFormat="1" ht="56.25" x14ac:dyDescent="0.2">
      <c r="A905" s="804" t="s">
        <v>11704</v>
      </c>
      <c r="B905" s="804" t="s">
        <v>11482</v>
      </c>
      <c r="C905" s="913" t="s">
        <v>11705</v>
      </c>
      <c r="D905" s="804" t="s">
        <v>11706</v>
      </c>
      <c r="E905" s="514" t="s">
        <v>6553</v>
      </c>
      <c r="F905" s="380">
        <v>1200</v>
      </c>
      <c r="G905" s="55">
        <v>279012</v>
      </c>
      <c r="H905" s="180"/>
      <c r="I905" s="802" t="s">
        <v>14586</v>
      </c>
      <c r="J905" s="952"/>
      <c r="L905" s="22"/>
    </row>
    <row r="906" spans="1:12" s="950" customFormat="1" ht="67.5" x14ac:dyDescent="0.2">
      <c r="A906" s="804" t="s">
        <v>11707</v>
      </c>
      <c r="B906" s="804" t="s">
        <v>11482</v>
      </c>
      <c r="C906" s="913" t="s">
        <v>14469</v>
      </c>
      <c r="D906" s="804" t="s">
        <v>11708</v>
      </c>
      <c r="E906" s="514" t="s">
        <v>6553</v>
      </c>
      <c r="F906" s="380">
        <v>1200</v>
      </c>
      <c r="G906" s="55">
        <v>279012</v>
      </c>
      <c r="H906" s="180"/>
      <c r="I906" s="802" t="s">
        <v>14586</v>
      </c>
      <c r="J906" s="952"/>
      <c r="L906" s="22"/>
    </row>
    <row r="907" spans="1:12" s="950" customFormat="1" ht="56.25" x14ac:dyDescent="0.2">
      <c r="A907" s="804" t="s">
        <v>11709</v>
      </c>
      <c r="B907" s="804" t="s">
        <v>11482</v>
      </c>
      <c r="C907" s="913" t="s">
        <v>11710</v>
      </c>
      <c r="D907" s="804" t="s">
        <v>11711</v>
      </c>
      <c r="E907" s="514" t="s">
        <v>6553</v>
      </c>
      <c r="F907" s="380">
        <v>1200</v>
      </c>
      <c r="G907" s="55">
        <v>279012</v>
      </c>
      <c r="H907" s="180"/>
      <c r="I907" s="802" t="s">
        <v>14586</v>
      </c>
      <c r="J907" s="952"/>
      <c r="L907" s="22"/>
    </row>
    <row r="908" spans="1:12" s="950" customFormat="1" ht="56.25" x14ac:dyDescent="0.2">
      <c r="A908" s="804" t="s">
        <v>11712</v>
      </c>
      <c r="B908" s="804" t="s">
        <v>11713</v>
      </c>
      <c r="C908" s="913" t="s">
        <v>14470</v>
      </c>
      <c r="D908" s="804" t="s">
        <v>11714</v>
      </c>
      <c r="E908" s="514" t="s">
        <v>6553</v>
      </c>
      <c r="F908" s="380">
        <v>1200</v>
      </c>
      <c r="G908" s="55">
        <v>279012</v>
      </c>
      <c r="H908" s="180"/>
      <c r="I908" s="802" t="s">
        <v>14586</v>
      </c>
      <c r="J908" s="952"/>
      <c r="L908" s="22"/>
    </row>
    <row r="909" spans="1:12" s="950" customFormat="1" ht="56.25" x14ac:dyDescent="0.2">
      <c r="A909" s="804" t="s">
        <v>11715</v>
      </c>
      <c r="B909" s="804" t="s">
        <v>11713</v>
      </c>
      <c r="C909" s="913" t="s">
        <v>14471</v>
      </c>
      <c r="D909" s="804" t="s">
        <v>11716</v>
      </c>
      <c r="E909" s="514" t="s">
        <v>6553</v>
      </c>
      <c r="F909" s="380">
        <v>1200</v>
      </c>
      <c r="G909" s="55">
        <v>279012</v>
      </c>
      <c r="H909" s="180"/>
      <c r="I909" s="802" t="s">
        <v>14586</v>
      </c>
      <c r="J909" s="952"/>
      <c r="L909" s="22"/>
    </row>
    <row r="910" spans="1:12" s="950" customFormat="1" ht="56.25" x14ac:dyDescent="0.2">
      <c r="A910" s="804" t="s">
        <v>11717</v>
      </c>
      <c r="B910" s="804" t="s">
        <v>11713</v>
      </c>
      <c r="C910" s="913" t="s">
        <v>11751</v>
      </c>
      <c r="D910" s="804" t="s">
        <v>11718</v>
      </c>
      <c r="E910" s="514" t="s">
        <v>6553</v>
      </c>
      <c r="F910" s="380">
        <v>1200</v>
      </c>
      <c r="G910" s="55">
        <v>279012</v>
      </c>
      <c r="H910" s="180"/>
      <c r="I910" s="802" t="s">
        <v>14586</v>
      </c>
      <c r="J910" s="952"/>
      <c r="L910" s="22"/>
    </row>
    <row r="911" spans="1:12" s="950" customFormat="1" ht="56.25" x14ac:dyDescent="0.2">
      <c r="A911" s="850" t="s">
        <v>11719</v>
      </c>
      <c r="B911" s="850" t="s">
        <v>11713</v>
      </c>
      <c r="C911" s="970" t="s">
        <v>11752</v>
      </c>
      <c r="D911" s="850" t="s">
        <v>11720</v>
      </c>
      <c r="E911" s="975" t="s">
        <v>6553</v>
      </c>
      <c r="F911" s="976">
        <v>1200</v>
      </c>
      <c r="G911" s="921">
        <v>279012</v>
      </c>
      <c r="H911" s="977"/>
      <c r="I911" s="802" t="s">
        <v>14586</v>
      </c>
      <c r="J911" s="952"/>
      <c r="L911" s="22"/>
    </row>
    <row r="912" spans="1:12" s="950" customFormat="1" ht="56.25" x14ac:dyDescent="0.2">
      <c r="A912" s="804" t="s">
        <v>11753</v>
      </c>
      <c r="B912" s="804" t="s">
        <v>11713</v>
      </c>
      <c r="C912" s="913" t="s">
        <v>11754</v>
      </c>
      <c r="D912" s="804" t="s">
        <v>11755</v>
      </c>
      <c r="E912" s="514" t="s">
        <v>6553</v>
      </c>
      <c r="F912" s="380">
        <v>1200</v>
      </c>
      <c r="G912" s="55">
        <v>279012</v>
      </c>
      <c r="H912" s="180"/>
      <c r="I912" s="802" t="s">
        <v>14586</v>
      </c>
      <c r="J912" s="952"/>
      <c r="L912" s="22"/>
    </row>
    <row r="913" spans="1:12" s="950" customFormat="1" ht="56.25" x14ac:dyDescent="0.2">
      <c r="A913" s="804" t="s">
        <v>11760</v>
      </c>
      <c r="B913" s="804" t="s">
        <v>11713</v>
      </c>
      <c r="C913" s="916" t="s">
        <v>11761</v>
      </c>
      <c r="D913" s="804" t="s">
        <v>11762</v>
      </c>
      <c r="E913" s="514" t="s">
        <v>6553</v>
      </c>
      <c r="F913" s="380">
        <v>1200</v>
      </c>
      <c r="G913" s="55">
        <v>279012</v>
      </c>
      <c r="H913" s="180"/>
      <c r="I913" s="802" t="s">
        <v>14586</v>
      </c>
      <c r="J913" s="952"/>
      <c r="L913" s="22"/>
    </row>
    <row r="914" spans="1:12" s="950" customFormat="1" ht="56.25" x14ac:dyDescent="0.2">
      <c r="A914" s="804" t="s">
        <v>11763</v>
      </c>
      <c r="B914" s="804" t="s">
        <v>11713</v>
      </c>
      <c r="C914" s="916" t="s">
        <v>11764</v>
      </c>
      <c r="D914" s="804" t="s">
        <v>11765</v>
      </c>
      <c r="E914" s="514" t="s">
        <v>6553</v>
      </c>
      <c r="F914" s="380">
        <v>1209</v>
      </c>
      <c r="G914" s="55">
        <v>275519.01</v>
      </c>
      <c r="H914" s="180"/>
      <c r="I914" s="802" t="s">
        <v>14586</v>
      </c>
      <c r="J914" s="952"/>
      <c r="L914" s="22"/>
    </row>
    <row r="915" spans="1:12" s="950" customFormat="1" ht="56.25" x14ac:dyDescent="0.2">
      <c r="A915" s="804" t="s">
        <v>11777</v>
      </c>
      <c r="B915" s="804" t="s">
        <v>11713</v>
      </c>
      <c r="C915" s="913" t="s">
        <v>11778</v>
      </c>
      <c r="D915" s="804" t="s">
        <v>11779</v>
      </c>
      <c r="E915" s="514" t="s">
        <v>6553</v>
      </c>
      <c r="F915" s="380">
        <v>1201</v>
      </c>
      <c r="G915" s="55">
        <v>273695.89</v>
      </c>
      <c r="H915" s="180"/>
      <c r="I915" s="802" t="s">
        <v>14586</v>
      </c>
      <c r="J915" s="952"/>
      <c r="L915" s="22"/>
    </row>
    <row r="916" spans="1:12" s="950" customFormat="1" ht="56.25" x14ac:dyDescent="0.2">
      <c r="A916" s="804" t="s">
        <v>11781</v>
      </c>
      <c r="B916" s="804" t="s">
        <v>11713</v>
      </c>
      <c r="C916" s="913" t="s">
        <v>11782</v>
      </c>
      <c r="D916" s="804" t="s">
        <v>11783</v>
      </c>
      <c r="E916" s="514" t="s">
        <v>6553</v>
      </c>
      <c r="F916" s="380">
        <v>1200</v>
      </c>
      <c r="G916" s="55">
        <v>279012</v>
      </c>
      <c r="H916" s="180"/>
      <c r="I916" s="802" t="s">
        <v>14586</v>
      </c>
      <c r="J916" s="952"/>
      <c r="L916" s="22"/>
    </row>
    <row r="917" spans="1:12" s="950" customFormat="1" ht="56.25" x14ac:dyDescent="0.2">
      <c r="A917" s="804" t="s">
        <v>11813</v>
      </c>
      <c r="B917" s="804" t="s">
        <v>11713</v>
      </c>
      <c r="C917" s="916" t="s">
        <v>11808</v>
      </c>
      <c r="D917" s="804" t="s">
        <v>11809</v>
      </c>
      <c r="E917" s="517" t="s">
        <v>6553</v>
      </c>
      <c r="F917" s="380">
        <v>1200</v>
      </c>
      <c r="G917" s="55">
        <v>279012</v>
      </c>
      <c r="H917" s="180"/>
      <c r="I917" s="802" t="s">
        <v>14586</v>
      </c>
      <c r="J917" s="952"/>
      <c r="L917" s="22"/>
    </row>
    <row r="918" spans="1:12" s="950" customFormat="1" ht="56.25" x14ac:dyDescent="0.2">
      <c r="A918" s="804" t="s">
        <v>11810</v>
      </c>
      <c r="B918" s="804" t="s">
        <v>11498</v>
      </c>
      <c r="C918" s="912" t="s">
        <v>11811</v>
      </c>
      <c r="D918" s="804" t="s">
        <v>11812</v>
      </c>
      <c r="E918" s="517" t="s">
        <v>6553</v>
      </c>
      <c r="F918" s="380">
        <v>1200</v>
      </c>
      <c r="G918" s="55">
        <v>279012</v>
      </c>
      <c r="H918" s="180"/>
      <c r="I918" s="802" t="s">
        <v>14586</v>
      </c>
      <c r="J918" s="952"/>
      <c r="L918" s="22"/>
    </row>
    <row r="919" spans="1:12" s="950" customFormat="1" ht="56.25" x14ac:dyDescent="0.2">
      <c r="A919" s="804" t="s">
        <v>11891</v>
      </c>
      <c r="B919" s="804" t="s">
        <v>11713</v>
      </c>
      <c r="C919" s="913" t="s">
        <v>11892</v>
      </c>
      <c r="D919" s="804" t="s">
        <v>11893</v>
      </c>
      <c r="E919" s="514" t="s">
        <v>6553</v>
      </c>
      <c r="F919" s="664">
        <v>1204</v>
      </c>
      <c r="G919" s="55">
        <v>274379.56</v>
      </c>
      <c r="H919" s="180"/>
      <c r="I919" s="802" t="s">
        <v>14586</v>
      </c>
      <c r="J919" s="952"/>
      <c r="L919" s="22"/>
    </row>
    <row r="920" spans="1:12" s="950" customFormat="1" ht="56.25" x14ac:dyDescent="0.2">
      <c r="A920" s="804" t="s">
        <v>11933</v>
      </c>
      <c r="B920" s="804" t="s">
        <v>11713</v>
      </c>
      <c r="C920" s="913" t="s">
        <v>11934</v>
      </c>
      <c r="D920" s="804" t="s">
        <v>11935</v>
      </c>
      <c r="E920" s="517" t="s">
        <v>6553</v>
      </c>
      <c r="F920" s="664">
        <v>1198</v>
      </c>
      <c r="G920" s="55">
        <v>278546.98</v>
      </c>
      <c r="H920" s="180"/>
      <c r="I920" s="802" t="s">
        <v>14586</v>
      </c>
      <c r="J920" s="952"/>
      <c r="L920" s="22"/>
    </row>
    <row r="921" spans="1:12" s="950" customFormat="1" ht="56.25" x14ac:dyDescent="0.2">
      <c r="A921" s="804" t="s">
        <v>11936</v>
      </c>
      <c r="B921" s="804" t="s">
        <v>11713</v>
      </c>
      <c r="C921" s="913" t="s">
        <v>11937</v>
      </c>
      <c r="D921" s="804" t="s">
        <v>11938</v>
      </c>
      <c r="E921" s="517" t="s">
        <v>6553</v>
      </c>
      <c r="F921" s="664">
        <v>1196</v>
      </c>
      <c r="G921" s="55">
        <v>278081.96000000002</v>
      </c>
      <c r="H921" s="180"/>
      <c r="I921" s="802" t="s">
        <v>14586</v>
      </c>
      <c r="J921" s="952"/>
      <c r="L921" s="22"/>
    </row>
    <row r="922" spans="1:12" s="950" customFormat="1" ht="56.25" x14ac:dyDescent="0.2">
      <c r="A922" s="850" t="s">
        <v>12679</v>
      </c>
      <c r="B922" s="850" t="s">
        <v>11713</v>
      </c>
      <c r="C922" s="970" t="s">
        <v>12680</v>
      </c>
      <c r="D922" s="850" t="s">
        <v>12681</v>
      </c>
      <c r="E922" s="978" t="s">
        <v>6553</v>
      </c>
      <c r="F922" s="979">
        <f>1201</f>
        <v>1201</v>
      </c>
      <c r="G922" s="921">
        <v>279244.51</v>
      </c>
      <c r="H922" s="180"/>
      <c r="I922" s="802" t="s">
        <v>14586</v>
      </c>
      <c r="J922" s="952"/>
      <c r="L922" s="22"/>
    </row>
    <row r="923" spans="1:12" s="950" customFormat="1" ht="56.25" x14ac:dyDescent="0.2">
      <c r="A923" s="804" t="s">
        <v>11939</v>
      </c>
      <c r="B923" s="804" t="s">
        <v>11713</v>
      </c>
      <c r="C923" s="913" t="s">
        <v>11940</v>
      </c>
      <c r="D923" s="804" t="s">
        <v>11941</v>
      </c>
      <c r="E923" s="517" t="s">
        <v>6553</v>
      </c>
      <c r="F923" s="664">
        <v>1197</v>
      </c>
      <c r="G923" s="55">
        <v>278314.46999999997</v>
      </c>
      <c r="H923" s="180"/>
      <c r="I923" s="802" t="s">
        <v>14586</v>
      </c>
      <c r="J923" s="952"/>
      <c r="L923" s="22"/>
    </row>
    <row r="924" spans="1:12" s="950" customFormat="1" ht="56.25" x14ac:dyDescent="0.2">
      <c r="A924" s="804" t="s">
        <v>11942</v>
      </c>
      <c r="B924" s="804" t="s">
        <v>11713</v>
      </c>
      <c r="C924" s="913" t="s">
        <v>11943</v>
      </c>
      <c r="D924" s="804" t="s">
        <v>11944</v>
      </c>
      <c r="E924" s="517" t="s">
        <v>6553</v>
      </c>
      <c r="F924" s="664">
        <v>1198</v>
      </c>
      <c r="G924" s="55">
        <v>278546.98</v>
      </c>
      <c r="H924" s="180"/>
      <c r="I924" s="802" t="s">
        <v>14586</v>
      </c>
      <c r="J924" s="952"/>
      <c r="L924" s="22"/>
    </row>
    <row r="925" spans="1:12" s="950" customFormat="1" ht="56.25" x14ac:dyDescent="0.2">
      <c r="A925" s="804" t="s">
        <v>11945</v>
      </c>
      <c r="B925" s="804" t="s">
        <v>11713</v>
      </c>
      <c r="C925" s="913" t="s">
        <v>11946</v>
      </c>
      <c r="D925" s="804" t="s">
        <v>11947</v>
      </c>
      <c r="E925" s="517" t="s">
        <v>6553</v>
      </c>
      <c r="F925" s="664">
        <v>1201</v>
      </c>
      <c r="G925" s="55">
        <v>279244.51</v>
      </c>
      <c r="H925" s="180"/>
      <c r="I925" s="802" t="s">
        <v>14586</v>
      </c>
      <c r="J925" s="952"/>
      <c r="L925" s="22"/>
    </row>
    <row r="926" spans="1:12" s="950" customFormat="1" ht="56.25" x14ac:dyDescent="0.2">
      <c r="A926" s="804" t="s">
        <v>11948</v>
      </c>
      <c r="B926" s="804" t="s">
        <v>11713</v>
      </c>
      <c r="C926" s="913" t="s">
        <v>11949</v>
      </c>
      <c r="D926" s="804" t="s">
        <v>11950</v>
      </c>
      <c r="E926" s="517" t="s">
        <v>6553</v>
      </c>
      <c r="F926" s="664">
        <v>1200</v>
      </c>
      <c r="G926" s="55">
        <v>279012</v>
      </c>
      <c r="H926" s="180"/>
      <c r="I926" s="802" t="s">
        <v>14586</v>
      </c>
      <c r="J926" s="952"/>
      <c r="L926" s="22"/>
    </row>
    <row r="927" spans="1:12" s="950" customFormat="1" ht="56.25" x14ac:dyDescent="0.2">
      <c r="A927" s="804" t="s">
        <v>11951</v>
      </c>
      <c r="B927" s="804" t="s">
        <v>11713</v>
      </c>
      <c r="C927" s="913" t="s">
        <v>11952</v>
      </c>
      <c r="D927" s="804" t="s">
        <v>11953</v>
      </c>
      <c r="E927" s="517" t="s">
        <v>6553</v>
      </c>
      <c r="F927" s="664">
        <v>1201</v>
      </c>
      <c r="G927" s="55">
        <v>279244.51</v>
      </c>
      <c r="H927" s="180"/>
      <c r="I927" s="802" t="s">
        <v>14586</v>
      </c>
      <c r="J927" s="952"/>
      <c r="L927" s="22"/>
    </row>
    <row r="928" spans="1:12" s="950" customFormat="1" ht="56.25" x14ac:dyDescent="0.2">
      <c r="A928" s="804" t="s">
        <v>11954</v>
      </c>
      <c r="B928" s="804" t="s">
        <v>11713</v>
      </c>
      <c r="C928" s="913" t="s">
        <v>11955</v>
      </c>
      <c r="D928" s="804" t="s">
        <v>11956</v>
      </c>
      <c r="E928" s="517" t="s">
        <v>6553</v>
      </c>
      <c r="F928" s="664">
        <v>1200</v>
      </c>
      <c r="G928" s="55">
        <v>279012</v>
      </c>
      <c r="H928" s="180"/>
      <c r="I928" s="802" t="s">
        <v>14586</v>
      </c>
      <c r="J928" s="952"/>
      <c r="L928" s="22"/>
    </row>
    <row r="929" spans="1:12" s="950" customFormat="1" ht="56.25" x14ac:dyDescent="0.2">
      <c r="A929" s="804" t="s">
        <v>11957</v>
      </c>
      <c r="B929" s="804" t="s">
        <v>11713</v>
      </c>
      <c r="C929" s="913" t="s">
        <v>11958</v>
      </c>
      <c r="D929" s="804" t="s">
        <v>11959</v>
      </c>
      <c r="E929" s="517" t="s">
        <v>6553</v>
      </c>
      <c r="F929" s="664">
        <v>1102</v>
      </c>
      <c r="G929" s="55">
        <v>257052.52</v>
      </c>
      <c r="H929" s="180"/>
      <c r="I929" s="802" t="s">
        <v>14586</v>
      </c>
      <c r="J929" s="952"/>
      <c r="L929" s="22"/>
    </row>
    <row r="930" spans="1:12" s="950" customFormat="1" ht="56.25" x14ac:dyDescent="0.2">
      <c r="A930" s="804" t="s">
        <v>11960</v>
      </c>
      <c r="B930" s="804" t="s">
        <v>11713</v>
      </c>
      <c r="C930" s="913" t="s">
        <v>11961</v>
      </c>
      <c r="D930" s="804" t="s">
        <v>11962</v>
      </c>
      <c r="E930" s="517" t="s">
        <v>6553</v>
      </c>
      <c r="F930" s="664">
        <v>1199</v>
      </c>
      <c r="G930" s="55">
        <v>278779.49</v>
      </c>
      <c r="H930" s="180"/>
      <c r="I930" s="802" t="s">
        <v>14586</v>
      </c>
      <c r="J930" s="952"/>
      <c r="L930" s="22"/>
    </row>
    <row r="931" spans="1:12" s="950" customFormat="1" ht="67.5" x14ac:dyDescent="0.2">
      <c r="A931" s="804" t="s">
        <v>11963</v>
      </c>
      <c r="B931" s="804" t="s">
        <v>11713</v>
      </c>
      <c r="C931" s="916" t="s">
        <v>11964</v>
      </c>
      <c r="D931" s="804" t="s">
        <v>11965</v>
      </c>
      <c r="E931" s="517" t="s">
        <v>6553</v>
      </c>
      <c r="F931" s="664">
        <v>1200</v>
      </c>
      <c r="G931" s="55">
        <v>279012</v>
      </c>
      <c r="H931" s="180"/>
      <c r="I931" s="802" t="s">
        <v>14586</v>
      </c>
      <c r="J931" s="952"/>
      <c r="L931" s="22"/>
    </row>
    <row r="932" spans="1:12" s="950" customFormat="1" ht="56.25" x14ac:dyDescent="0.2">
      <c r="A932" s="804" t="s">
        <v>11966</v>
      </c>
      <c r="B932" s="804" t="s">
        <v>11713</v>
      </c>
      <c r="C932" s="916" t="s">
        <v>11967</v>
      </c>
      <c r="D932" s="804" t="s">
        <v>11968</v>
      </c>
      <c r="E932" s="517" t="s">
        <v>6553</v>
      </c>
      <c r="F932" s="664">
        <v>1200</v>
      </c>
      <c r="G932" s="55">
        <v>279012</v>
      </c>
      <c r="H932" s="180"/>
      <c r="I932" s="802" t="s">
        <v>14586</v>
      </c>
      <c r="J932" s="952"/>
      <c r="L932" s="22"/>
    </row>
    <row r="933" spans="1:12" s="950" customFormat="1" ht="56.25" x14ac:dyDescent="0.2">
      <c r="A933" s="804" t="s">
        <v>11969</v>
      </c>
      <c r="B933" s="804" t="s">
        <v>11713</v>
      </c>
      <c r="C933" s="916" t="s">
        <v>11970</v>
      </c>
      <c r="D933" s="804" t="s">
        <v>11971</v>
      </c>
      <c r="E933" s="517" t="s">
        <v>6553</v>
      </c>
      <c r="F933" s="664">
        <v>1200</v>
      </c>
      <c r="G933" s="55">
        <v>279012</v>
      </c>
      <c r="H933" s="180"/>
      <c r="I933" s="802" t="s">
        <v>14586</v>
      </c>
      <c r="J933" s="952"/>
      <c r="L933" s="22"/>
    </row>
    <row r="934" spans="1:12" s="950" customFormat="1" ht="56.25" x14ac:dyDescent="0.2">
      <c r="A934" s="804" t="s">
        <v>11982</v>
      </c>
      <c r="B934" s="804" t="s">
        <v>11713</v>
      </c>
      <c r="C934" s="916" t="s">
        <v>14472</v>
      </c>
      <c r="D934" s="804" t="s">
        <v>11983</v>
      </c>
      <c r="E934" s="517" t="s">
        <v>6553</v>
      </c>
      <c r="F934" s="664">
        <v>1200</v>
      </c>
      <c r="G934" s="55">
        <v>273468</v>
      </c>
      <c r="H934" s="180"/>
      <c r="I934" s="802" t="s">
        <v>14586</v>
      </c>
      <c r="J934" s="952"/>
      <c r="L934" s="22"/>
    </row>
    <row r="935" spans="1:12" s="950" customFormat="1" ht="56.25" x14ac:dyDescent="0.2">
      <c r="A935" s="804" t="s">
        <v>11984</v>
      </c>
      <c r="B935" s="804" t="s">
        <v>11713</v>
      </c>
      <c r="C935" s="916" t="s">
        <v>11985</v>
      </c>
      <c r="D935" s="804" t="s">
        <v>11986</v>
      </c>
      <c r="E935" s="517" t="s">
        <v>6553</v>
      </c>
      <c r="F935" s="664">
        <v>1203</v>
      </c>
      <c r="G935" s="55">
        <v>274151.67</v>
      </c>
      <c r="H935" s="180"/>
      <c r="I935" s="802" t="s">
        <v>14586</v>
      </c>
      <c r="J935" s="952"/>
      <c r="L935" s="22"/>
    </row>
    <row r="936" spans="1:12" s="950" customFormat="1" ht="56.25" x14ac:dyDescent="0.2">
      <c r="A936" s="804" t="s">
        <v>11988</v>
      </c>
      <c r="B936" s="804" t="s">
        <v>11713</v>
      </c>
      <c r="C936" s="916" t="s">
        <v>11989</v>
      </c>
      <c r="D936" s="804" t="s">
        <v>11990</v>
      </c>
      <c r="E936" s="517" t="s">
        <v>6553</v>
      </c>
      <c r="F936" s="664">
        <v>1200</v>
      </c>
      <c r="G936" s="55">
        <v>279012</v>
      </c>
      <c r="H936" s="180"/>
      <c r="I936" s="802" t="s">
        <v>14586</v>
      </c>
      <c r="J936" s="952"/>
      <c r="L936" s="22"/>
    </row>
    <row r="937" spans="1:12" s="950" customFormat="1" ht="56.25" x14ac:dyDescent="0.2">
      <c r="A937" s="804" t="s">
        <v>11991</v>
      </c>
      <c r="B937" s="804" t="s">
        <v>11713</v>
      </c>
      <c r="C937" s="916" t="s">
        <v>11992</v>
      </c>
      <c r="D937" s="804" t="s">
        <v>11993</v>
      </c>
      <c r="E937" s="517" t="s">
        <v>6553</v>
      </c>
      <c r="F937" s="664">
        <v>1200</v>
      </c>
      <c r="G937" s="55">
        <v>279012</v>
      </c>
      <c r="H937" s="180"/>
      <c r="I937" s="802" t="s">
        <v>14586</v>
      </c>
      <c r="J937" s="952"/>
      <c r="L937" s="22"/>
    </row>
    <row r="938" spans="1:12" s="950" customFormat="1" ht="56.25" x14ac:dyDescent="0.2">
      <c r="A938" s="804" t="s">
        <v>11994</v>
      </c>
      <c r="B938" s="804" t="s">
        <v>11713</v>
      </c>
      <c r="C938" s="916" t="s">
        <v>11995</v>
      </c>
      <c r="D938" s="804" t="s">
        <v>11996</v>
      </c>
      <c r="E938" s="517" t="s">
        <v>6553</v>
      </c>
      <c r="F938" s="664">
        <v>1200</v>
      </c>
      <c r="G938" s="55">
        <v>279012</v>
      </c>
      <c r="H938" s="180"/>
      <c r="I938" s="802" t="s">
        <v>14586</v>
      </c>
      <c r="J938" s="952"/>
      <c r="L938" s="22"/>
    </row>
    <row r="939" spans="1:12" s="950" customFormat="1" ht="56.25" x14ac:dyDescent="0.2">
      <c r="A939" s="850" t="s">
        <v>11997</v>
      </c>
      <c r="B939" s="850" t="s">
        <v>11713</v>
      </c>
      <c r="C939" s="974" t="s">
        <v>11998</v>
      </c>
      <c r="D939" s="850" t="s">
        <v>11999</v>
      </c>
      <c r="E939" s="978" t="s">
        <v>6553</v>
      </c>
      <c r="F939" s="979">
        <v>1200</v>
      </c>
      <c r="G939" s="921">
        <v>279012</v>
      </c>
      <c r="H939" s="977"/>
      <c r="I939" s="802" t="s">
        <v>14586</v>
      </c>
      <c r="J939" s="952"/>
      <c r="L939" s="22"/>
    </row>
    <row r="940" spans="1:12" s="950" customFormat="1" ht="56.25" x14ac:dyDescent="0.2">
      <c r="A940" s="850" t="s">
        <v>12000</v>
      </c>
      <c r="B940" s="850" t="s">
        <v>11713</v>
      </c>
      <c r="C940" s="975" t="s">
        <v>12001</v>
      </c>
      <c r="D940" s="850" t="s">
        <v>12106</v>
      </c>
      <c r="E940" s="978" t="s">
        <v>6553</v>
      </c>
      <c r="F940" s="979">
        <v>1137</v>
      </c>
      <c r="G940" s="921">
        <v>264363.87</v>
      </c>
      <c r="H940" s="977"/>
      <c r="I940" s="802" t="s">
        <v>14586</v>
      </c>
      <c r="J940" s="952"/>
      <c r="L940" s="22"/>
    </row>
    <row r="941" spans="1:12" s="950" customFormat="1" ht="56.25" x14ac:dyDescent="0.2">
      <c r="A941" s="850" t="s">
        <v>12003</v>
      </c>
      <c r="B941" s="850" t="s">
        <v>11713</v>
      </c>
      <c r="C941" s="975" t="s">
        <v>12004</v>
      </c>
      <c r="D941" s="850" t="s">
        <v>12005</v>
      </c>
      <c r="E941" s="978" t="s">
        <v>6553</v>
      </c>
      <c r="F941" s="979">
        <v>1017</v>
      </c>
      <c r="G941" s="921">
        <v>236462.67</v>
      </c>
      <c r="H941" s="977"/>
      <c r="I941" s="802" t="s">
        <v>14586</v>
      </c>
      <c r="J941" s="952"/>
      <c r="L941" s="22"/>
    </row>
    <row r="942" spans="1:12" s="950" customFormat="1" ht="56.25" x14ac:dyDescent="0.2">
      <c r="A942" s="804" t="s">
        <v>12006</v>
      </c>
      <c r="B942" s="804" t="s">
        <v>11713</v>
      </c>
      <c r="C942" s="916" t="s">
        <v>12007</v>
      </c>
      <c r="D942" s="804" t="s">
        <v>12008</v>
      </c>
      <c r="E942" s="517" t="s">
        <v>6553</v>
      </c>
      <c r="F942" s="664">
        <v>1200</v>
      </c>
      <c r="G942" s="55">
        <v>279012</v>
      </c>
      <c r="H942" s="180"/>
      <c r="I942" s="802" t="s">
        <v>14586</v>
      </c>
      <c r="J942" s="952"/>
      <c r="L942" s="22"/>
    </row>
    <row r="943" spans="1:12" s="950" customFormat="1" ht="56.25" x14ac:dyDescent="0.2">
      <c r="A943" s="804" t="s">
        <v>12009</v>
      </c>
      <c r="B943" s="804" t="s">
        <v>11713</v>
      </c>
      <c r="C943" s="916" t="s">
        <v>12010</v>
      </c>
      <c r="D943" s="804" t="s">
        <v>12011</v>
      </c>
      <c r="E943" s="517" t="s">
        <v>6553</v>
      </c>
      <c r="F943" s="664">
        <v>1201</v>
      </c>
      <c r="G943" s="55">
        <v>279244.51</v>
      </c>
      <c r="H943" s="180"/>
      <c r="I943" s="802" t="s">
        <v>14586</v>
      </c>
      <c r="J943" s="952"/>
      <c r="L943" s="22"/>
    </row>
    <row r="944" spans="1:12" s="950" customFormat="1" ht="22.5" x14ac:dyDescent="0.2">
      <c r="A944" s="804" t="s">
        <v>12021</v>
      </c>
      <c r="B944" s="804" t="s">
        <v>11713</v>
      </c>
      <c r="C944" s="916" t="s">
        <v>12022</v>
      </c>
      <c r="D944" s="804" t="s">
        <v>12023</v>
      </c>
      <c r="E944" s="517" t="s">
        <v>6553</v>
      </c>
      <c r="F944" s="664">
        <v>1200</v>
      </c>
      <c r="G944" s="55">
        <v>279012</v>
      </c>
      <c r="H944" s="180"/>
      <c r="I944" s="802" t="s">
        <v>14586</v>
      </c>
      <c r="J944" s="952"/>
      <c r="L944" s="22"/>
    </row>
    <row r="945" spans="1:12" s="950" customFormat="1" ht="56.25" x14ac:dyDescent="0.2">
      <c r="A945" s="804" t="s">
        <v>12024</v>
      </c>
      <c r="B945" s="804" t="s">
        <v>11713</v>
      </c>
      <c r="C945" s="916" t="s">
        <v>12025</v>
      </c>
      <c r="D945" s="804" t="s">
        <v>12026</v>
      </c>
      <c r="E945" s="517" t="s">
        <v>6553</v>
      </c>
      <c r="F945" s="664">
        <v>1199</v>
      </c>
      <c r="G945" s="55">
        <v>278779.49</v>
      </c>
      <c r="H945" s="180"/>
      <c r="I945" s="802" t="s">
        <v>14586</v>
      </c>
      <c r="J945" s="952"/>
      <c r="L945" s="22"/>
    </row>
    <row r="946" spans="1:12" s="950" customFormat="1" ht="56.25" x14ac:dyDescent="0.2">
      <c r="A946" s="804" t="s">
        <v>12027</v>
      </c>
      <c r="B946" s="804" t="s">
        <v>11713</v>
      </c>
      <c r="C946" s="236" t="s">
        <v>12028</v>
      </c>
      <c r="D946" s="804" t="s">
        <v>12029</v>
      </c>
      <c r="E946" s="517" t="s">
        <v>6553</v>
      </c>
      <c r="F946" s="664">
        <v>1200</v>
      </c>
      <c r="G946" s="55">
        <v>279012</v>
      </c>
      <c r="H946" s="180"/>
      <c r="I946" s="802" t="s">
        <v>14586</v>
      </c>
      <c r="J946" s="952"/>
      <c r="L946" s="22"/>
    </row>
    <row r="947" spans="1:12" s="950" customFormat="1" ht="56.25" x14ac:dyDescent="0.2">
      <c r="A947" s="804" t="s">
        <v>12030</v>
      </c>
      <c r="B947" s="804" t="s">
        <v>11713</v>
      </c>
      <c r="C947" s="916" t="s">
        <v>12031</v>
      </c>
      <c r="D947" s="804" t="s">
        <v>12032</v>
      </c>
      <c r="E947" s="517" t="s">
        <v>6553</v>
      </c>
      <c r="F947" s="664">
        <v>1200</v>
      </c>
      <c r="G947" s="55">
        <v>279012</v>
      </c>
      <c r="H947" s="180"/>
      <c r="I947" s="802" t="s">
        <v>14586</v>
      </c>
      <c r="J947" s="952"/>
      <c r="L947" s="22"/>
    </row>
    <row r="948" spans="1:12" s="950" customFormat="1" ht="56.25" x14ac:dyDescent="0.2">
      <c r="A948" s="804" t="s">
        <v>12033</v>
      </c>
      <c r="B948" s="804" t="s">
        <v>11713</v>
      </c>
      <c r="C948" s="236" t="s">
        <v>14473</v>
      </c>
      <c r="D948" s="804" t="s">
        <v>12034</v>
      </c>
      <c r="E948" s="517" t="s">
        <v>6553</v>
      </c>
      <c r="F948" s="664">
        <v>1199</v>
      </c>
      <c r="G948" s="55">
        <v>278779.49</v>
      </c>
      <c r="H948" s="180"/>
      <c r="I948" s="802" t="s">
        <v>14586</v>
      </c>
      <c r="J948" s="952"/>
      <c r="L948" s="22"/>
    </row>
    <row r="949" spans="1:12" s="950" customFormat="1" ht="56.25" x14ac:dyDescent="0.2">
      <c r="A949" s="804" t="s">
        <v>12035</v>
      </c>
      <c r="B949" s="804" t="s">
        <v>11713</v>
      </c>
      <c r="C949" s="236" t="s">
        <v>12036</v>
      </c>
      <c r="D949" s="804" t="s">
        <v>12037</v>
      </c>
      <c r="E949" s="517" t="s">
        <v>6553</v>
      </c>
      <c r="F949" s="664">
        <v>1199</v>
      </c>
      <c r="G949" s="55">
        <v>278779.49</v>
      </c>
      <c r="H949" s="180"/>
      <c r="I949" s="802" t="s">
        <v>14586</v>
      </c>
      <c r="J949" s="952"/>
      <c r="L949" s="22"/>
    </row>
    <row r="950" spans="1:12" s="950" customFormat="1" ht="56.25" x14ac:dyDescent="0.2">
      <c r="A950" s="804" t="s">
        <v>12038</v>
      </c>
      <c r="B950" s="804" t="s">
        <v>11713</v>
      </c>
      <c r="C950" s="236" t="s">
        <v>12039</v>
      </c>
      <c r="D950" s="804" t="s">
        <v>12040</v>
      </c>
      <c r="E950" s="517" t="s">
        <v>6553</v>
      </c>
      <c r="F950" s="664">
        <v>1201</v>
      </c>
      <c r="G950" s="55">
        <v>279244.51</v>
      </c>
      <c r="H950" s="180"/>
      <c r="I950" s="802" t="s">
        <v>14586</v>
      </c>
      <c r="J950" s="952"/>
      <c r="L950" s="22"/>
    </row>
    <row r="951" spans="1:12" s="950" customFormat="1" ht="56.25" x14ac:dyDescent="0.2">
      <c r="A951" s="804" t="s">
        <v>12043</v>
      </c>
      <c r="B951" s="804" t="s">
        <v>11713</v>
      </c>
      <c r="C951" s="236" t="s">
        <v>12044</v>
      </c>
      <c r="D951" s="804" t="s">
        <v>12045</v>
      </c>
      <c r="E951" s="517" t="s">
        <v>6553</v>
      </c>
      <c r="F951" s="664">
        <v>1201</v>
      </c>
      <c r="G951" s="55">
        <v>279244.51</v>
      </c>
      <c r="H951" s="180"/>
      <c r="I951" s="802" t="s">
        <v>14586</v>
      </c>
      <c r="J951" s="952"/>
      <c r="L951" s="22"/>
    </row>
    <row r="952" spans="1:12" s="950" customFormat="1" ht="56.25" x14ac:dyDescent="0.2">
      <c r="A952" s="804" t="s">
        <v>12046</v>
      </c>
      <c r="B952" s="804" t="s">
        <v>11713</v>
      </c>
      <c r="C952" s="236" t="s">
        <v>12047</v>
      </c>
      <c r="D952" s="804" t="s">
        <v>12048</v>
      </c>
      <c r="E952" s="517" t="s">
        <v>6553</v>
      </c>
      <c r="F952" s="664">
        <v>1200</v>
      </c>
      <c r="G952" s="55">
        <v>279012</v>
      </c>
      <c r="H952" s="180"/>
      <c r="I952" s="802" t="s">
        <v>14586</v>
      </c>
      <c r="J952" s="952"/>
      <c r="L952" s="22"/>
    </row>
    <row r="953" spans="1:12" s="950" customFormat="1" ht="56.25" x14ac:dyDescent="0.2">
      <c r="A953" s="804" t="s">
        <v>12049</v>
      </c>
      <c r="B953" s="804" t="s">
        <v>11713</v>
      </c>
      <c r="C953" s="236" t="s">
        <v>12050</v>
      </c>
      <c r="D953" s="804" t="s">
        <v>12051</v>
      </c>
      <c r="E953" s="517" t="s">
        <v>6553</v>
      </c>
      <c r="F953" s="664">
        <v>1198</v>
      </c>
      <c r="G953" s="55">
        <v>278546.98</v>
      </c>
      <c r="H953" s="180"/>
      <c r="I953" s="802" t="s">
        <v>14586</v>
      </c>
      <c r="J953" s="952"/>
      <c r="L953" s="22"/>
    </row>
    <row r="954" spans="1:12" s="950" customFormat="1" ht="56.25" x14ac:dyDescent="0.2">
      <c r="A954" s="804" t="s">
        <v>12052</v>
      </c>
      <c r="B954" s="804" t="s">
        <v>11713</v>
      </c>
      <c r="C954" s="236" t="s">
        <v>12053</v>
      </c>
      <c r="D954" s="804" t="s">
        <v>12054</v>
      </c>
      <c r="E954" s="517" t="s">
        <v>6553</v>
      </c>
      <c r="F954" s="664">
        <v>1201</v>
      </c>
      <c r="G954" s="55">
        <v>279244.51</v>
      </c>
      <c r="H954" s="180"/>
      <c r="I954" s="802" t="s">
        <v>14586</v>
      </c>
      <c r="J954" s="952"/>
      <c r="L954" s="22"/>
    </row>
    <row r="955" spans="1:12" s="950" customFormat="1" ht="56.25" x14ac:dyDescent="0.2">
      <c r="A955" s="804" t="s">
        <v>12055</v>
      </c>
      <c r="B955" s="804" t="s">
        <v>11713</v>
      </c>
      <c r="C955" s="236" t="s">
        <v>12056</v>
      </c>
      <c r="D955" s="804" t="s">
        <v>12057</v>
      </c>
      <c r="E955" s="517" t="s">
        <v>6553</v>
      </c>
      <c r="F955" s="664">
        <v>1200</v>
      </c>
      <c r="G955" s="55">
        <v>279012</v>
      </c>
      <c r="H955" s="180"/>
      <c r="I955" s="802" t="s">
        <v>14586</v>
      </c>
      <c r="J955" s="952"/>
      <c r="L955" s="22"/>
    </row>
    <row r="956" spans="1:12" s="950" customFormat="1" ht="56.25" x14ac:dyDescent="0.2">
      <c r="A956" s="804" t="s">
        <v>12058</v>
      </c>
      <c r="B956" s="804" t="s">
        <v>11713</v>
      </c>
      <c r="C956" s="236" t="s">
        <v>12059</v>
      </c>
      <c r="D956" s="804" t="s">
        <v>12060</v>
      </c>
      <c r="E956" s="517" t="s">
        <v>6553</v>
      </c>
      <c r="F956" s="664">
        <v>1200</v>
      </c>
      <c r="G956" s="55">
        <v>279012</v>
      </c>
      <c r="H956" s="180"/>
      <c r="I956" s="802" t="s">
        <v>14586</v>
      </c>
      <c r="J956" s="952"/>
      <c r="L956" s="22"/>
    </row>
    <row r="957" spans="1:12" s="950" customFormat="1" ht="56.25" x14ac:dyDescent="0.2">
      <c r="A957" s="804" t="s">
        <v>12061</v>
      </c>
      <c r="B957" s="804" t="s">
        <v>11713</v>
      </c>
      <c r="C957" s="236" t="s">
        <v>14474</v>
      </c>
      <c r="D957" s="804" t="s">
        <v>12062</v>
      </c>
      <c r="E957" s="517" t="s">
        <v>6553</v>
      </c>
      <c r="F957" s="664">
        <v>1199</v>
      </c>
      <c r="G957" s="55">
        <v>278779.49</v>
      </c>
      <c r="H957" s="180"/>
      <c r="I957" s="802" t="s">
        <v>14586</v>
      </c>
      <c r="J957" s="952"/>
      <c r="L957" s="22"/>
    </row>
    <row r="958" spans="1:12" s="950" customFormat="1" ht="56.25" x14ac:dyDescent="0.2">
      <c r="A958" s="804" t="s">
        <v>12063</v>
      </c>
      <c r="B958" s="804" t="s">
        <v>11713</v>
      </c>
      <c r="C958" s="236" t="s">
        <v>14475</v>
      </c>
      <c r="D958" s="804" t="s">
        <v>12064</v>
      </c>
      <c r="E958" s="517" t="s">
        <v>6553</v>
      </c>
      <c r="F958" s="664">
        <v>1200</v>
      </c>
      <c r="G958" s="55">
        <v>279012</v>
      </c>
      <c r="H958" s="180"/>
      <c r="I958" s="802" t="s">
        <v>14586</v>
      </c>
      <c r="J958" s="952"/>
      <c r="L958" s="22"/>
    </row>
    <row r="959" spans="1:12" s="950" customFormat="1" ht="56.25" x14ac:dyDescent="0.2">
      <c r="A959" s="850" t="s">
        <v>12077</v>
      </c>
      <c r="B959" s="850" t="s">
        <v>11713</v>
      </c>
      <c r="C959" s="980" t="s">
        <v>12078</v>
      </c>
      <c r="D959" s="850" t="s">
        <v>12079</v>
      </c>
      <c r="E959" s="978" t="s">
        <v>6553</v>
      </c>
      <c r="F959" s="979">
        <v>1201</v>
      </c>
      <c r="G959" s="921">
        <v>279244.51</v>
      </c>
      <c r="H959" s="977"/>
      <c r="I959" s="802" t="s">
        <v>14586</v>
      </c>
      <c r="J959" s="952"/>
      <c r="L959" s="22"/>
    </row>
    <row r="960" spans="1:12" s="950" customFormat="1" ht="56.25" x14ac:dyDescent="0.2">
      <c r="A960" s="804" t="s">
        <v>12080</v>
      </c>
      <c r="B960" s="804" t="s">
        <v>11713</v>
      </c>
      <c r="C960" s="236" t="s">
        <v>12081</v>
      </c>
      <c r="D960" s="804" t="s">
        <v>12082</v>
      </c>
      <c r="E960" s="517" t="s">
        <v>6553</v>
      </c>
      <c r="F960" s="664">
        <v>1201</v>
      </c>
      <c r="G960" s="55">
        <v>279244.51</v>
      </c>
      <c r="H960" s="180"/>
      <c r="I960" s="802" t="s">
        <v>14586</v>
      </c>
      <c r="J960" s="952"/>
      <c r="L960" s="22"/>
    </row>
    <row r="961" spans="1:12" s="950" customFormat="1" ht="56.25" x14ac:dyDescent="0.2">
      <c r="A961" s="804" t="s">
        <v>12085</v>
      </c>
      <c r="B961" s="804" t="s">
        <v>11713</v>
      </c>
      <c r="C961" s="236" t="s">
        <v>12089</v>
      </c>
      <c r="D961" s="804" t="s">
        <v>12090</v>
      </c>
      <c r="E961" s="517" t="s">
        <v>6553</v>
      </c>
      <c r="F961" s="664">
        <v>1201</v>
      </c>
      <c r="G961" s="55">
        <v>279244.51</v>
      </c>
      <c r="H961" s="180"/>
      <c r="I961" s="802" t="s">
        <v>14586</v>
      </c>
      <c r="J961" s="952"/>
      <c r="L961" s="22"/>
    </row>
    <row r="962" spans="1:12" s="950" customFormat="1" ht="56.25" x14ac:dyDescent="0.2">
      <c r="A962" s="804" t="s">
        <v>12086</v>
      </c>
      <c r="B962" s="804" t="s">
        <v>11713</v>
      </c>
      <c r="C962" s="912" t="s">
        <v>12087</v>
      </c>
      <c r="D962" s="804" t="s">
        <v>12088</v>
      </c>
      <c r="E962" s="517" t="s">
        <v>6553</v>
      </c>
      <c r="F962" s="664">
        <v>1199</v>
      </c>
      <c r="G962" s="55">
        <v>278779.49</v>
      </c>
      <c r="H962" s="180"/>
      <c r="I962" s="802" t="s">
        <v>14586</v>
      </c>
      <c r="J962" s="952"/>
      <c r="L962" s="22"/>
    </row>
    <row r="963" spans="1:12" s="950" customFormat="1" ht="56.25" x14ac:dyDescent="0.2">
      <c r="A963" s="804" t="s">
        <v>12091</v>
      </c>
      <c r="B963" s="804" t="s">
        <v>11713</v>
      </c>
      <c r="C963" s="912" t="s">
        <v>12092</v>
      </c>
      <c r="D963" s="804" t="s">
        <v>12093</v>
      </c>
      <c r="E963" s="517" t="s">
        <v>6553</v>
      </c>
      <c r="F963" s="664">
        <v>1199</v>
      </c>
      <c r="G963" s="55">
        <v>278779.49</v>
      </c>
      <c r="H963" s="180"/>
      <c r="I963" s="802" t="s">
        <v>14586</v>
      </c>
      <c r="J963" s="952"/>
      <c r="L963" s="22"/>
    </row>
    <row r="964" spans="1:12" s="950" customFormat="1" ht="56.25" x14ac:dyDescent="0.2">
      <c r="A964" s="804" t="s">
        <v>12094</v>
      </c>
      <c r="B964" s="804" t="s">
        <v>11713</v>
      </c>
      <c r="C964" s="665" t="s">
        <v>12122</v>
      </c>
      <c r="D964" s="804" t="s">
        <v>12123</v>
      </c>
      <c r="E964" s="517" t="s">
        <v>6553</v>
      </c>
      <c r="F964" s="664">
        <v>1200</v>
      </c>
      <c r="G964" s="55">
        <v>279012</v>
      </c>
      <c r="H964" s="180"/>
      <c r="I964" s="802" t="s">
        <v>14586</v>
      </c>
      <c r="J964" s="952"/>
      <c r="L964" s="22"/>
    </row>
    <row r="965" spans="1:12" s="950" customFormat="1" ht="56.25" x14ac:dyDescent="0.2">
      <c r="A965" s="804" t="s">
        <v>12095</v>
      </c>
      <c r="B965" s="804" t="s">
        <v>11713</v>
      </c>
      <c r="C965" s="665" t="s">
        <v>12124</v>
      </c>
      <c r="D965" s="804" t="s">
        <v>12125</v>
      </c>
      <c r="E965" s="517" t="s">
        <v>6553</v>
      </c>
      <c r="F965" s="664">
        <v>1200</v>
      </c>
      <c r="G965" s="55">
        <v>279012</v>
      </c>
      <c r="H965" s="180"/>
      <c r="I965" s="802" t="s">
        <v>14586</v>
      </c>
      <c r="J965" s="952"/>
      <c r="L965" s="22"/>
    </row>
    <row r="966" spans="1:12" s="950" customFormat="1" ht="67.5" x14ac:dyDescent="0.2">
      <c r="A966" s="804" t="s">
        <v>12096</v>
      </c>
      <c r="B966" s="804" t="s">
        <v>11713</v>
      </c>
      <c r="C966" s="665" t="s">
        <v>12097</v>
      </c>
      <c r="D966" s="804" t="s">
        <v>12098</v>
      </c>
      <c r="E966" s="517" t="s">
        <v>6553</v>
      </c>
      <c r="F966" s="664">
        <v>1006</v>
      </c>
      <c r="G966" s="55">
        <v>229257.34</v>
      </c>
      <c r="H966" s="180"/>
      <c r="I966" s="802" t="s">
        <v>14586</v>
      </c>
      <c r="J966" s="952"/>
      <c r="L966" s="22"/>
    </row>
    <row r="967" spans="1:12" s="950" customFormat="1" ht="56.25" x14ac:dyDescent="0.2">
      <c r="A967" s="804" t="s">
        <v>12099</v>
      </c>
      <c r="B967" s="804" t="s">
        <v>11713</v>
      </c>
      <c r="C967" s="236" t="s">
        <v>12100</v>
      </c>
      <c r="D967" s="804" t="s">
        <v>12101</v>
      </c>
      <c r="E967" s="517" t="s">
        <v>6553</v>
      </c>
      <c r="F967" s="664">
        <v>1200</v>
      </c>
      <c r="G967" s="55">
        <v>279012</v>
      </c>
      <c r="H967" s="180"/>
      <c r="I967" s="802" t="s">
        <v>14586</v>
      </c>
      <c r="J967" s="952"/>
      <c r="L967" s="22"/>
    </row>
    <row r="968" spans="1:12" s="950" customFormat="1" ht="67.5" x14ac:dyDescent="0.2">
      <c r="A968" s="804" t="s">
        <v>12102</v>
      </c>
      <c r="B968" s="804" t="s">
        <v>11713</v>
      </c>
      <c r="C968" s="236" t="s">
        <v>12103</v>
      </c>
      <c r="D968" s="804" t="s">
        <v>12104</v>
      </c>
      <c r="E968" s="517" t="s">
        <v>6553</v>
      </c>
      <c r="F968" s="664">
        <v>1200</v>
      </c>
      <c r="G968" s="55">
        <v>279012</v>
      </c>
      <c r="H968" s="180"/>
      <c r="I968" s="802" t="s">
        <v>14586</v>
      </c>
      <c r="J968" s="952"/>
      <c r="L968" s="22"/>
    </row>
    <row r="969" spans="1:12" s="950" customFormat="1" ht="56.25" x14ac:dyDescent="0.2">
      <c r="A969" s="804" t="s">
        <v>12105</v>
      </c>
      <c r="B969" s="804" t="s">
        <v>11713</v>
      </c>
      <c r="C969" s="236" t="s">
        <v>12325</v>
      </c>
      <c r="D969" s="804" t="s">
        <v>12326</v>
      </c>
      <c r="E969" s="517" t="s">
        <v>6553</v>
      </c>
      <c r="F969" s="664">
        <v>1198</v>
      </c>
      <c r="G969" s="55">
        <v>278546.98</v>
      </c>
      <c r="H969" s="180"/>
      <c r="I969" s="802" t="s">
        <v>14586</v>
      </c>
      <c r="J969" s="952"/>
      <c r="L969" s="22"/>
    </row>
    <row r="970" spans="1:12" s="950" customFormat="1" ht="56.25" x14ac:dyDescent="0.2">
      <c r="A970" s="804" t="s">
        <v>12107</v>
      </c>
      <c r="B970" s="804" t="s">
        <v>11713</v>
      </c>
      <c r="C970" s="236" t="s">
        <v>12108</v>
      </c>
      <c r="D970" s="804" t="s">
        <v>12109</v>
      </c>
      <c r="E970" s="517" t="s">
        <v>6553</v>
      </c>
      <c r="F970" s="664">
        <v>1200</v>
      </c>
      <c r="G970" s="55">
        <v>279012</v>
      </c>
      <c r="H970" s="180"/>
      <c r="I970" s="802" t="s">
        <v>14586</v>
      </c>
      <c r="J970" s="952"/>
      <c r="L970" s="22"/>
    </row>
    <row r="971" spans="1:12" s="950" customFormat="1" ht="56.25" x14ac:dyDescent="0.2">
      <c r="A971" s="804" t="s">
        <v>12110</v>
      </c>
      <c r="B971" s="804" t="s">
        <v>11713</v>
      </c>
      <c r="C971" s="236" t="s">
        <v>12111</v>
      </c>
      <c r="D971" s="804" t="s">
        <v>12112</v>
      </c>
      <c r="E971" s="517" t="s">
        <v>6553</v>
      </c>
      <c r="F971" s="664">
        <v>1200</v>
      </c>
      <c r="G971" s="55">
        <v>279012</v>
      </c>
      <c r="H971" s="180"/>
      <c r="I971" s="802" t="s">
        <v>14586</v>
      </c>
      <c r="J971" s="952"/>
      <c r="L971" s="22"/>
    </row>
    <row r="972" spans="1:12" s="950" customFormat="1" ht="56.25" x14ac:dyDescent="0.2">
      <c r="A972" s="804" t="s">
        <v>12113</v>
      </c>
      <c r="B972" s="804" t="s">
        <v>11713</v>
      </c>
      <c r="C972" s="236" t="s">
        <v>12114</v>
      </c>
      <c r="D972" s="804" t="s">
        <v>12115</v>
      </c>
      <c r="E972" s="517" t="s">
        <v>6553</v>
      </c>
      <c r="F972" s="664">
        <v>1200</v>
      </c>
      <c r="G972" s="55">
        <v>279012</v>
      </c>
      <c r="H972" s="180"/>
      <c r="I972" s="802" t="s">
        <v>14586</v>
      </c>
      <c r="J972" s="952"/>
      <c r="L972" s="22"/>
    </row>
    <row r="973" spans="1:12" s="950" customFormat="1" ht="56.25" x14ac:dyDescent="0.2">
      <c r="A973" s="804" t="s">
        <v>12116</v>
      </c>
      <c r="B973" s="804" t="s">
        <v>11713</v>
      </c>
      <c r="C973" s="236" t="s">
        <v>12117</v>
      </c>
      <c r="D973" s="804" t="s">
        <v>11893</v>
      </c>
      <c r="E973" s="517" t="s">
        <v>6553</v>
      </c>
      <c r="F973" s="664">
        <v>1204</v>
      </c>
      <c r="G973" s="55">
        <v>274379.56</v>
      </c>
      <c r="H973" s="180"/>
      <c r="I973" s="802" t="s">
        <v>14586</v>
      </c>
      <c r="J973" s="952"/>
      <c r="L973" s="22"/>
    </row>
    <row r="974" spans="1:12" s="950" customFormat="1" ht="67.5" x14ac:dyDescent="0.2">
      <c r="A974" s="804" t="s">
        <v>12118</v>
      </c>
      <c r="B974" s="804" t="s">
        <v>11713</v>
      </c>
      <c r="C974" s="236" t="s">
        <v>12119</v>
      </c>
      <c r="D974" s="804" t="s">
        <v>11983</v>
      </c>
      <c r="E974" s="517" t="s">
        <v>6553</v>
      </c>
      <c r="F974" s="664">
        <v>1200</v>
      </c>
      <c r="G974" s="55">
        <v>273468</v>
      </c>
      <c r="H974" s="180"/>
      <c r="I974" s="802" t="s">
        <v>14586</v>
      </c>
      <c r="J974" s="952"/>
      <c r="L974" s="22"/>
    </row>
    <row r="975" spans="1:12" s="950" customFormat="1" ht="56.25" x14ac:dyDescent="0.2">
      <c r="A975" s="850" t="s">
        <v>12127</v>
      </c>
      <c r="B975" s="850" t="s">
        <v>11713</v>
      </c>
      <c r="C975" s="980" t="s">
        <v>12128</v>
      </c>
      <c r="D975" s="850" t="s">
        <v>12129</v>
      </c>
      <c r="E975" s="978" t="s">
        <v>6553</v>
      </c>
      <c r="F975" s="979">
        <v>1200</v>
      </c>
      <c r="G975" s="921">
        <v>279012</v>
      </c>
      <c r="H975" s="977"/>
      <c r="I975" s="802" t="s">
        <v>14586</v>
      </c>
      <c r="J975" s="952"/>
      <c r="L975" s="22"/>
    </row>
    <row r="976" spans="1:12" s="950" customFormat="1" ht="56.25" x14ac:dyDescent="0.2">
      <c r="A976" s="804" t="s">
        <v>12133</v>
      </c>
      <c r="B976" s="804" t="s">
        <v>11713</v>
      </c>
      <c r="C976" s="665" t="s">
        <v>12142</v>
      </c>
      <c r="D976" s="804" t="s">
        <v>12143</v>
      </c>
      <c r="E976" s="517" t="s">
        <v>6553</v>
      </c>
      <c r="F976" s="664">
        <v>1200</v>
      </c>
      <c r="G976" s="55">
        <v>279012</v>
      </c>
      <c r="H976" s="180"/>
      <c r="I976" s="802" t="s">
        <v>14586</v>
      </c>
      <c r="J976" s="952"/>
      <c r="L976" s="22"/>
    </row>
    <row r="977" spans="1:12" s="950" customFormat="1" ht="56.25" x14ac:dyDescent="0.2">
      <c r="A977" s="804" t="s">
        <v>12134</v>
      </c>
      <c r="B977" s="804" t="s">
        <v>11713</v>
      </c>
      <c r="C977" s="665" t="s">
        <v>12152</v>
      </c>
      <c r="D977" s="804" t="s">
        <v>12153</v>
      </c>
      <c r="E977" s="517" t="s">
        <v>6553</v>
      </c>
      <c r="F977" s="664">
        <v>1200</v>
      </c>
      <c r="G977" s="55">
        <v>279012</v>
      </c>
      <c r="H977" s="180"/>
      <c r="I977" s="802" t="s">
        <v>14586</v>
      </c>
      <c r="J977" s="952"/>
      <c r="L977" s="22"/>
    </row>
    <row r="978" spans="1:12" s="950" customFormat="1" ht="56.25" x14ac:dyDescent="0.2">
      <c r="A978" s="804" t="s">
        <v>12135</v>
      </c>
      <c r="B978" s="804" t="s">
        <v>11713</v>
      </c>
      <c r="C978" s="665" t="s">
        <v>12144</v>
      </c>
      <c r="D978" s="804" t="s">
        <v>12145</v>
      </c>
      <c r="E978" s="517" t="s">
        <v>6553</v>
      </c>
      <c r="F978" s="664">
        <v>1202</v>
      </c>
      <c r="G978" s="55">
        <v>279477.02</v>
      </c>
      <c r="H978" s="180"/>
      <c r="I978" s="802" t="s">
        <v>14586</v>
      </c>
      <c r="J978" s="952"/>
      <c r="L978" s="22"/>
    </row>
    <row r="979" spans="1:12" s="950" customFormat="1" ht="56.25" x14ac:dyDescent="0.2">
      <c r="A979" s="804" t="s">
        <v>12136</v>
      </c>
      <c r="B979" s="804" t="s">
        <v>11713</v>
      </c>
      <c r="C979" s="665" t="s">
        <v>12146</v>
      </c>
      <c r="D979" s="804" t="s">
        <v>12147</v>
      </c>
      <c r="E979" s="517" t="s">
        <v>6553</v>
      </c>
      <c r="F979" s="664">
        <v>1201</v>
      </c>
      <c r="G979" s="55">
        <v>279244.51</v>
      </c>
      <c r="H979" s="180"/>
      <c r="I979" s="802" t="s">
        <v>14586</v>
      </c>
      <c r="J979" s="952"/>
      <c r="L979" s="22"/>
    </row>
    <row r="980" spans="1:12" s="950" customFormat="1" ht="56.25" x14ac:dyDescent="0.2">
      <c r="A980" s="804" t="s">
        <v>12137</v>
      </c>
      <c r="B980" s="804" t="s">
        <v>11713</v>
      </c>
      <c r="C980" s="665" t="s">
        <v>12148</v>
      </c>
      <c r="D980" s="804" t="s">
        <v>12149</v>
      </c>
      <c r="E980" s="517" t="s">
        <v>6553</v>
      </c>
      <c r="F980" s="664">
        <v>1201</v>
      </c>
      <c r="G980" s="55">
        <v>279244.51</v>
      </c>
      <c r="H980" s="180"/>
      <c r="I980" s="802" t="s">
        <v>14586</v>
      </c>
      <c r="J980" s="952"/>
      <c r="L980" s="22"/>
    </row>
    <row r="981" spans="1:12" s="950" customFormat="1" ht="56.25" x14ac:dyDescent="0.2">
      <c r="A981" s="804" t="s">
        <v>12138</v>
      </c>
      <c r="B981" s="804" t="s">
        <v>11713</v>
      </c>
      <c r="C981" s="665" t="s">
        <v>12150</v>
      </c>
      <c r="D981" s="804" t="s">
        <v>12151</v>
      </c>
      <c r="E981" s="517" t="s">
        <v>6553</v>
      </c>
      <c r="F981" s="664">
        <v>1201</v>
      </c>
      <c r="G981" s="55">
        <v>279244.51</v>
      </c>
      <c r="H981" s="180"/>
      <c r="I981" s="802" t="s">
        <v>14586</v>
      </c>
      <c r="J981" s="952"/>
      <c r="L981" s="22"/>
    </row>
    <row r="982" spans="1:12" s="950" customFormat="1" ht="56.25" x14ac:dyDescent="0.2">
      <c r="A982" s="804" t="s">
        <v>12139</v>
      </c>
      <c r="B982" s="804" t="s">
        <v>11713</v>
      </c>
      <c r="C982" s="917" t="s">
        <v>12154</v>
      </c>
      <c r="D982" s="199" t="s">
        <v>12155</v>
      </c>
      <c r="E982" s="666" t="s">
        <v>6553</v>
      </c>
      <c r="F982" s="667">
        <v>1200</v>
      </c>
      <c r="G982" s="516">
        <v>279012</v>
      </c>
      <c r="H982" s="180"/>
      <c r="I982" s="802" t="s">
        <v>14586</v>
      </c>
      <c r="J982" s="952"/>
      <c r="L982" s="22"/>
    </row>
    <row r="983" spans="1:12" s="950" customFormat="1" ht="56.25" x14ac:dyDescent="0.2">
      <c r="A983" s="804" t="s">
        <v>12140</v>
      </c>
      <c r="B983" s="804" t="s">
        <v>11713</v>
      </c>
      <c r="C983" s="917" t="s">
        <v>12156</v>
      </c>
      <c r="D983" s="804" t="s">
        <v>12157</v>
      </c>
      <c r="E983" s="517" t="s">
        <v>6553</v>
      </c>
      <c r="F983" s="664">
        <v>1201</v>
      </c>
      <c r="G983" s="55">
        <v>279244.51</v>
      </c>
      <c r="H983" s="180"/>
      <c r="I983" s="802" t="s">
        <v>14586</v>
      </c>
      <c r="J983" s="952"/>
      <c r="L983" s="22"/>
    </row>
    <row r="984" spans="1:12" s="950" customFormat="1" ht="56.25" x14ac:dyDescent="0.2">
      <c r="A984" s="804" t="s">
        <v>12141</v>
      </c>
      <c r="B984" s="804" t="s">
        <v>11713</v>
      </c>
      <c r="C984" s="665" t="s">
        <v>12158</v>
      </c>
      <c r="D984" s="804" t="s">
        <v>12159</v>
      </c>
      <c r="E984" s="517" t="s">
        <v>6553</v>
      </c>
      <c r="F984" s="664">
        <v>1199</v>
      </c>
      <c r="G984" s="55">
        <v>278779.49</v>
      </c>
      <c r="H984" s="180"/>
      <c r="I984" s="802" t="s">
        <v>14586</v>
      </c>
      <c r="J984" s="952"/>
      <c r="L984" s="22"/>
    </row>
    <row r="985" spans="1:12" s="950" customFormat="1" ht="56.25" x14ac:dyDescent="0.2">
      <c r="A985" s="804" t="s">
        <v>12160</v>
      </c>
      <c r="B985" s="804" t="s">
        <v>11713</v>
      </c>
      <c r="C985" s="665" t="s">
        <v>12161</v>
      </c>
      <c r="D985" s="804" t="s">
        <v>12162</v>
      </c>
      <c r="E985" s="517" t="s">
        <v>6553</v>
      </c>
      <c r="F985" s="667">
        <v>1200</v>
      </c>
      <c r="G985" s="516">
        <v>279012</v>
      </c>
      <c r="H985" s="180"/>
      <c r="I985" s="802" t="s">
        <v>14586</v>
      </c>
      <c r="J985" s="952"/>
      <c r="L985" s="22"/>
    </row>
    <row r="986" spans="1:12" s="950" customFormat="1" ht="56.25" x14ac:dyDescent="0.2">
      <c r="A986" s="804" t="s">
        <v>12163</v>
      </c>
      <c r="B986" s="804" t="s">
        <v>11713</v>
      </c>
      <c r="C986" s="665" t="s">
        <v>14476</v>
      </c>
      <c r="D986" s="804" t="s">
        <v>12164</v>
      </c>
      <c r="E986" s="517" t="s">
        <v>6553</v>
      </c>
      <c r="F986" s="667">
        <v>1200</v>
      </c>
      <c r="G986" s="516">
        <v>279012</v>
      </c>
      <c r="H986" s="180"/>
      <c r="I986" s="802" t="s">
        <v>14586</v>
      </c>
      <c r="J986" s="952"/>
      <c r="L986" s="22"/>
    </row>
    <row r="987" spans="1:12" s="950" customFormat="1" ht="56.25" x14ac:dyDescent="0.2">
      <c r="A987" s="804" t="s">
        <v>12174</v>
      </c>
      <c r="B987" s="804" t="s">
        <v>11713</v>
      </c>
      <c r="C987" s="665" t="s">
        <v>12175</v>
      </c>
      <c r="D987" s="804" t="s">
        <v>12176</v>
      </c>
      <c r="E987" s="517" t="s">
        <v>6553</v>
      </c>
      <c r="F987" s="667">
        <v>1200</v>
      </c>
      <c r="G987" s="516">
        <v>279012</v>
      </c>
      <c r="H987" s="180"/>
      <c r="I987" s="802" t="s">
        <v>14586</v>
      </c>
      <c r="J987" s="952"/>
      <c r="L987" s="22"/>
    </row>
    <row r="988" spans="1:12" s="950" customFormat="1" ht="56.25" x14ac:dyDescent="0.2">
      <c r="A988" s="804" t="s">
        <v>12177</v>
      </c>
      <c r="B988" s="804" t="s">
        <v>11713</v>
      </c>
      <c r="C988" s="665" t="s">
        <v>12178</v>
      </c>
      <c r="D988" s="804" t="s">
        <v>12179</v>
      </c>
      <c r="E988" s="517" t="s">
        <v>6553</v>
      </c>
      <c r="F988" s="664">
        <v>1199</v>
      </c>
      <c r="G988" s="55">
        <v>278779.49</v>
      </c>
      <c r="H988" s="180"/>
      <c r="I988" s="802" t="s">
        <v>14586</v>
      </c>
      <c r="J988" s="952"/>
      <c r="L988" s="22"/>
    </row>
    <row r="989" spans="1:12" s="950" customFormat="1" ht="67.5" x14ac:dyDescent="0.2">
      <c r="A989" s="804" t="s">
        <v>12180</v>
      </c>
      <c r="B989" s="804" t="s">
        <v>11713</v>
      </c>
      <c r="C989" s="665" t="s">
        <v>12181</v>
      </c>
      <c r="D989" s="804" t="s">
        <v>12182</v>
      </c>
      <c r="E989" s="517" t="s">
        <v>6553</v>
      </c>
      <c r="F989" s="664">
        <v>1201</v>
      </c>
      <c r="G989" s="55">
        <v>279244.51</v>
      </c>
      <c r="H989" s="180"/>
      <c r="I989" s="802" t="s">
        <v>14586</v>
      </c>
      <c r="J989" s="952"/>
      <c r="L989" s="22"/>
    </row>
    <row r="990" spans="1:12" s="950" customFormat="1" ht="56.25" x14ac:dyDescent="0.2">
      <c r="A990" s="804" t="s">
        <v>12183</v>
      </c>
      <c r="B990" s="804" t="s">
        <v>11713</v>
      </c>
      <c r="C990" s="665" t="s">
        <v>12184</v>
      </c>
      <c r="D990" s="804" t="s">
        <v>12185</v>
      </c>
      <c r="E990" s="517" t="s">
        <v>6553</v>
      </c>
      <c r="F990" s="667">
        <v>1200</v>
      </c>
      <c r="G990" s="516">
        <v>279012</v>
      </c>
      <c r="H990" s="180"/>
      <c r="I990" s="802" t="s">
        <v>14586</v>
      </c>
      <c r="J990" s="952"/>
      <c r="L990" s="22"/>
    </row>
    <row r="991" spans="1:12" s="950" customFormat="1" ht="56.25" x14ac:dyDescent="0.2">
      <c r="A991" s="804" t="s">
        <v>12186</v>
      </c>
      <c r="B991" s="804" t="s">
        <v>11713</v>
      </c>
      <c r="C991" s="665" t="s">
        <v>12187</v>
      </c>
      <c r="D991" s="804" t="s">
        <v>12188</v>
      </c>
      <c r="E991" s="517" t="s">
        <v>6553</v>
      </c>
      <c r="F991" s="667">
        <v>1200</v>
      </c>
      <c r="G991" s="516">
        <v>279012</v>
      </c>
      <c r="H991" s="180"/>
      <c r="I991" s="802" t="s">
        <v>14586</v>
      </c>
      <c r="J991" s="952"/>
      <c r="L991" s="22"/>
    </row>
    <row r="992" spans="1:12" s="950" customFormat="1" ht="56.25" x14ac:dyDescent="0.2">
      <c r="A992" s="804" t="s">
        <v>12189</v>
      </c>
      <c r="B992" s="804" t="s">
        <v>11713</v>
      </c>
      <c r="C992" s="665" t="s">
        <v>12190</v>
      </c>
      <c r="D992" s="804" t="s">
        <v>12191</v>
      </c>
      <c r="E992" s="517" t="s">
        <v>6553</v>
      </c>
      <c r="F992" s="667">
        <v>1200</v>
      </c>
      <c r="G992" s="516">
        <v>279012</v>
      </c>
      <c r="H992" s="180"/>
      <c r="I992" s="802" t="s">
        <v>14586</v>
      </c>
      <c r="J992" s="952"/>
      <c r="L992" s="22"/>
    </row>
    <row r="993" spans="1:12" s="950" customFormat="1" ht="56.25" x14ac:dyDescent="0.2">
      <c r="A993" s="804" t="s">
        <v>12192</v>
      </c>
      <c r="B993" s="804" t="s">
        <v>11713</v>
      </c>
      <c r="C993" s="665" t="s">
        <v>12193</v>
      </c>
      <c r="D993" s="804" t="s">
        <v>12194</v>
      </c>
      <c r="E993" s="517" t="s">
        <v>6553</v>
      </c>
      <c r="F993" s="667">
        <v>1200</v>
      </c>
      <c r="G993" s="516">
        <v>279012</v>
      </c>
      <c r="H993" s="180"/>
      <c r="I993" s="802" t="s">
        <v>14586</v>
      </c>
      <c r="J993" s="952"/>
      <c r="L993" s="22"/>
    </row>
    <row r="994" spans="1:12" s="950" customFormat="1" ht="67.5" x14ac:dyDescent="0.2">
      <c r="A994" s="804" t="s">
        <v>12195</v>
      </c>
      <c r="B994" s="804" t="s">
        <v>11713</v>
      </c>
      <c r="C994" s="665" t="s">
        <v>12196</v>
      </c>
      <c r="D994" s="804" t="s">
        <v>12197</v>
      </c>
      <c r="E994" s="517" t="s">
        <v>6553</v>
      </c>
      <c r="F994" s="667">
        <v>1200</v>
      </c>
      <c r="G994" s="516">
        <v>279012</v>
      </c>
      <c r="H994" s="180"/>
      <c r="I994" s="802" t="s">
        <v>14586</v>
      </c>
      <c r="J994" s="952"/>
      <c r="L994" s="22"/>
    </row>
    <row r="995" spans="1:12" s="950" customFormat="1" ht="67.5" x14ac:dyDescent="0.2">
      <c r="A995" s="804" t="s">
        <v>12200</v>
      </c>
      <c r="B995" s="804" t="s">
        <v>11713</v>
      </c>
      <c r="C995" s="665" t="s">
        <v>12198</v>
      </c>
      <c r="D995" s="804" t="s">
        <v>12199</v>
      </c>
      <c r="E995" s="517" t="s">
        <v>6553</v>
      </c>
      <c r="F995" s="664">
        <v>1199</v>
      </c>
      <c r="G995" s="55">
        <v>278779.49</v>
      </c>
      <c r="H995" s="180"/>
      <c r="I995" s="802" t="s">
        <v>14586</v>
      </c>
      <c r="J995" s="952"/>
      <c r="L995" s="22"/>
    </row>
    <row r="996" spans="1:12" s="950" customFormat="1" ht="56.25" x14ac:dyDescent="0.2">
      <c r="A996" s="804" t="s">
        <v>12201</v>
      </c>
      <c r="B996" s="804" t="s">
        <v>11713</v>
      </c>
      <c r="C996" s="665" t="s">
        <v>12202</v>
      </c>
      <c r="D996" s="804" t="s">
        <v>12203</v>
      </c>
      <c r="E996" s="517" t="s">
        <v>6553</v>
      </c>
      <c r="F996" s="667">
        <v>1200</v>
      </c>
      <c r="G996" s="516">
        <v>279012</v>
      </c>
      <c r="H996" s="180"/>
      <c r="I996" s="802" t="s">
        <v>14586</v>
      </c>
      <c r="J996" s="952"/>
      <c r="L996" s="22"/>
    </row>
    <row r="997" spans="1:12" s="950" customFormat="1" ht="56.25" x14ac:dyDescent="0.2">
      <c r="A997" s="804" t="s">
        <v>12204</v>
      </c>
      <c r="B997" s="804" t="s">
        <v>11713</v>
      </c>
      <c r="C997" s="665" t="s">
        <v>12205</v>
      </c>
      <c r="D997" s="804" t="s">
        <v>12206</v>
      </c>
      <c r="E997" s="517" t="s">
        <v>6553</v>
      </c>
      <c r="F997" s="667">
        <v>1200</v>
      </c>
      <c r="G997" s="516">
        <v>279012</v>
      </c>
      <c r="H997" s="180"/>
      <c r="I997" s="802" t="s">
        <v>14586</v>
      </c>
      <c r="J997" s="952"/>
      <c r="L997" s="22"/>
    </row>
    <row r="998" spans="1:12" s="950" customFormat="1" ht="56.25" x14ac:dyDescent="0.2">
      <c r="A998" s="804" t="s">
        <v>12207</v>
      </c>
      <c r="B998" s="804" t="s">
        <v>11713</v>
      </c>
      <c r="C998" s="665" t="s">
        <v>12208</v>
      </c>
      <c r="D998" s="804" t="s">
        <v>12209</v>
      </c>
      <c r="E998" s="517" t="s">
        <v>6553</v>
      </c>
      <c r="F998" s="667">
        <v>1200</v>
      </c>
      <c r="G998" s="516">
        <v>273468</v>
      </c>
      <c r="H998" s="180"/>
      <c r="I998" s="802" t="s">
        <v>14586</v>
      </c>
      <c r="J998" s="952"/>
      <c r="L998" s="22"/>
    </row>
    <row r="999" spans="1:12" s="950" customFormat="1" ht="56.25" x14ac:dyDescent="0.2">
      <c r="A999" s="804" t="s">
        <v>12210</v>
      </c>
      <c r="B999" s="804" t="s">
        <v>11713</v>
      </c>
      <c r="C999" s="665" t="s">
        <v>12211</v>
      </c>
      <c r="D999" s="804" t="s">
        <v>12212</v>
      </c>
      <c r="E999" s="517" t="s">
        <v>6553</v>
      </c>
      <c r="F999" s="667">
        <v>1200</v>
      </c>
      <c r="G999" s="516">
        <v>279012</v>
      </c>
      <c r="H999" s="180"/>
      <c r="I999" s="802" t="s">
        <v>14586</v>
      </c>
      <c r="J999" s="952"/>
      <c r="L999" s="22"/>
    </row>
    <row r="1000" spans="1:12" s="950" customFormat="1" ht="56.25" x14ac:dyDescent="0.2">
      <c r="A1000" s="804" t="s">
        <v>12213</v>
      </c>
      <c r="B1000" s="804" t="s">
        <v>11713</v>
      </c>
      <c r="C1000" s="665" t="s">
        <v>12214</v>
      </c>
      <c r="D1000" s="804" t="s">
        <v>12215</v>
      </c>
      <c r="E1000" s="517" t="s">
        <v>6553</v>
      </c>
      <c r="F1000" s="667">
        <v>1200</v>
      </c>
      <c r="G1000" s="516">
        <v>279012</v>
      </c>
      <c r="H1000" s="180"/>
      <c r="I1000" s="802" t="s">
        <v>14586</v>
      </c>
      <c r="J1000" s="952"/>
      <c r="L1000" s="22"/>
    </row>
    <row r="1001" spans="1:12" s="950" customFormat="1" ht="56.25" x14ac:dyDescent="0.2">
      <c r="A1001" s="804" t="s">
        <v>12216</v>
      </c>
      <c r="B1001" s="804" t="s">
        <v>11713</v>
      </c>
      <c r="C1001" s="665" t="s">
        <v>12217</v>
      </c>
      <c r="D1001" s="804" t="s">
        <v>12218</v>
      </c>
      <c r="E1001" s="517" t="s">
        <v>6553</v>
      </c>
      <c r="F1001" s="664">
        <v>1201</v>
      </c>
      <c r="G1001" s="55">
        <v>279244.51</v>
      </c>
      <c r="H1001" s="180"/>
      <c r="I1001" s="802" t="s">
        <v>14586</v>
      </c>
      <c r="J1001" s="952"/>
      <c r="L1001" s="22"/>
    </row>
    <row r="1002" spans="1:12" s="950" customFormat="1" ht="56.25" x14ac:dyDescent="0.2">
      <c r="A1002" s="804" t="s">
        <v>12219</v>
      </c>
      <c r="B1002" s="804" t="s">
        <v>11713</v>
      </c>
      <c r="C1002" s="918" t="s">
        <v>12220</v>
      </c>
      <c r="D1002" s="804" t="s">
        <v>12221</v>
      </c>
      <c r="E1002" s="517" t="s">
        <v>6553</v>
      </c>
      <c r="F1002" s="667">
        <v>1200</v>
      </c>
      <c r="G1002" s="516">
        <v>279012</v>
      </c>
      <c r="H1002" s="180"/>
      <c r="I1002" s="802" t="s">
        <v>14586</v>
      </c>
      <c r="J1002" s="952"/>
      <c r="L1002" s="22"/>
    </row>
    <row r="1003" spans="1:12" s="950" customFormat="1" ht="56.25" x14ac:dyDescent="0.2">
      <c r="A1003" s="804" t="s">
        <v>12222</v>
      </c>
      <c r="B1003" s="804" t="s">
        <v>11713</v>
      </c>
      <c r="C1003" s="918" t="s">
        <v>12223</v>
      </c>
      <c r="D1003" s="804" t="s">
        <v>12224</v>
      </c>
      <c r="E1003" s="517" t="s">
        <v>6553</v>
      </c>
      <c r="F1003" s="664">
        <v>1199</v>
      </c>
      <c r="G1003" s="55">
        <v>278779.49</v>
      </c>
      <c r="H1003" s="180"/>
      <c r="I1003" s="802" t="s">
        <v>14586</v>
      </c>
      <c r="J1003" s="952"/>
      <c r="L1003" s="22"/>
    </row>
    <row r="1004" spans="1:12" s="950" customFormat="1" ht="56.25" x14ac:dyDescent="0.2">
      <c r="A1004" s="850" t="s">
        <v>12225</v>
      </c>
      <c r="B1004" s="850" t="s">
        <v>11713</v>
      </c>
      <c r="C1004" s="981" t="s">
        <v>12226</v>
      </c>
      <c r="D1004" s="850" t="s">
        <v>12227</v>
      </c>
      <c r="E1004" s="978" t="s">
        <v>6553</v>
      </c>
      <c r="F1004" s="853">
        <v>1200</v>
      </c>
      <c r="G1004" s="924">
        <v>279012</v>
      </c>
      <c r="H1004" s="977"/>
      <c r="I1004" s="802" t="s">
        <v>14586</v>
      </c>
      <c r="J1004" s="952"/>
      <c r="L1004" s="22"/>
    </row>
    <row r="1005" spans="1:12" s="950" customFormat="1" ht="56.25" x14ac:dyDescent="0.2">
      <c r="A1005" s="804" t="s">
        <v>12228</v>
      </c>
      <c r="B1005" s="804" t="s">
        <v>11713</v>
      </c>
      <c r="C1005" s="918" t="s">
        <v>12229</v>
      </c>
      <c r="D1005" s="804" t="s">
        <v>12230</v>
      </c>
      <c r="E1005" s="517" t="s">
        <v>6553</v>
      </c>
      <c r="F1005" s="667">
        <v>1200</v>
      </c>
      <c r="G1005" s="516">
        <v>279012</v>
      </c>
      <c r="H1005" s="180"/>
      <c r="I1005" s="802" t="s">
        <v>14586</v>
      </c>
      <c r="J1005" s="952"/>
      <c r="L1005" s="22"/>
    </row>
    <row r="1006" spans="1:12" s="950" customFormat="1" ht="56.25" x14ac:dyDescent="0.2">
      <c r="A1006" s="804" t="s">
        <v>12231</v>
      </c>
      <c r="B1006" s="804" t="s">
        <v>11713</v>
      </c>
      <c r="C1006" s="918" t="s">
        <v>12232</v>
      </c>
      <c r="D1006" s="804" t="s">
        <v>12233</v>
      </c>
      <c r="E1006" s="517" t="s">
        <v>6553</v>
      </c>
      <c r="F1006" s="667">
        <v>1200</v>
      </c>
      <c r="G1006" s="516">
        <v>279012</v>
      </c>
      <c r="H1006" s="180"/>
      <c r="I1006" s="802" t="s">
        <v>14586</v>
      </c>
      <c r="J1006" s="952"/>
      <c r="L1006" s="22"/>
    </row>
    <row r="1007" spans="1:12" s="950" customFormat="1" ht="56.25" x14ac:dyDescent="0.2">
      <c r="A1007" s="804" t="s">
        <v>12234</v>
      </c>
      <c r="B1007" s="804" t="s">
        <v>11713</v>
      </c>
      <c r="C1007" s="918" t="s">
        <v>12238</v>
      </c>
      <c r="D1007" s="804" t="s">
        <v>12235</v>
      </c>
      <c r="E1007" s="517" t="s">
        <v>6553</v>
      </c>
      <c r="F1007" s="667">
        <v>1200</v>
      </c>
      <c r="G1007" s="516">
        <v>279012</v>
      </c>
      <c r="H1007" s="180"/>
      <c r="I1007" s="802" t="s">
        <v>14586</v>
      </c>
      <c r="J1007" s="952"/>
      <c r="L1007" s="22"/>
    </row>
    <row r="1008" spans="1:12" s="950" customFormat="1" ht="56.25" x14ac:dyDescent="0.2">
      <c r="A1008" s="804" t="s">
        <v>12236</v>
      </c>
      <c r="B1008" s="804" t="s">
        <v>11713</v>
      </c>
      <c r="C1008" s="918" t="s">
        <v>12239</v>
      </c>
      <c r="D1008" s="804" t="s">
        <v>12237</v>
      </c>
      <c r="E1008" s="517" t="s">
        <v>6553</v>
      </c>
      <c r="F1008" s="667">
        <v>1200</v>
      </c>
      <c r="G1008" s="516">
        <v>279012</v>
      </c>
      <c r="H1008" s="180"/>
      <c r="I1008" s="802" t="s">
        <v>14586</v>
      </c>
      <c r="J1008" s="952"/>
      <c r="L1008" s="22"/>
    </row>
    <row r="1009" spans="1:12" s="950" customFormat="1" ht="56.25" x14ac:dyDescent="0.2">
      <c r="A1009" s="804" t="s">
        <v>12240</v>
      </c>
      <c r="B1009" s="804" t="s">
        <v>11498</v>
      </c>
      <c r="C1009" s="918" t="s">
        <v>12241</v>
      </c>
      <c r="D1009" s="804" t="s">
        <v>12242</v>
      </c>
      <c r="E1009" s="517" t="s">
        <v>6553</v>
      </c>
      <c r="F1009" s="664">
        <v>1199</v>
      </c>
      <c r="G1009" s="55">
        <v>278779.49</v>
      </c>
      <c r="H1009" s="180"/>
      <c r="I1009" s="802" t="s">
        <v>14586</v>
      </c>
      <c r="J1009" s="952"/>
      <c r="L1009" s="22"/>
    </row>
    <row r="1010" spans="1:12" s="950" customFormat="1" ht="56.25" x14ac:dyDescent="0.2">
      <c r="A1010" s="804" t="s">
        <v>12243</v>
      </c>
      <c r="B1010" s="804" t="s">
        <v>11713</v>
      </c>
      <c r="C1010" s="912" t="s">
        <v>12244</v>
      </c>
      <c r="D1010" s="804" t="s">
        <v>12245</v>
      </c>
      <c r="E1010" s="517" t="s">
        <v>6553</v>
      </c>
      <c r="F1010" s="667">
        <v>1200</v>
      </c>
      <c r="G1010" s="516">
        <v>279012</v>
      </c>
      <c r="H1010" s="180"/>
      <c r="I1010" s="802" t="s">
        <v>14586</v>
      </c>
      <c r="J1010" s="952"/>
      <c r="L1010" s="22"/>
    </row>
    <row r="1011" spans="1:12" s="950" customFormat="1" ht="56.25" x14ac:dyDescent="0.2">
      <c r="A1011" s="804" t="s">
        <v>12246</v>
      </c>
      <c r="B1011" s="804" t="s">
        <v>11713</v>
      </c>
      <c r="C1011" s="912" t="s">
        <v>12247</v>
      </c>
      <c r="D1011" s="804" t="s">
        <v>12248</v>
      </c>
      <c r="E1011" s="517" t="s">
        <v>6553</v>
      </c>
      <c r="F1011" s="667">
        <v>1200</v>
      </c>
      <c r="G1011" s="516">
        <v>279012</v>
      </c>
      <c r="H1011" s="180"/>
      <c r="I1011" s="802" t="s">
        <v>14586</v>
      </c>
      <c r="J1011" s="952"/>
      <c r="L1011" s="22"/>
    </row>
    <row r="1012" spans="1:12" s="950" customFormat="1" ht="56.25" x14ac:dyDescent="0.2">
      <c r="A1012" s="804" t="s">
        <v>12249</v>
      </c>
      <c r="B1012" s="804" t="s">
        <v>11713</v>
      </c>
      <c r="C1012" s="912" t="s">
        <v>12250</v>
      </c>
      <c r="D1012" s="804" t="s">
        <v>12251</v>
      </c>
      <c r="E1012" s="517" t="s">
        <v>6553</v>
      </c>
      <c r="F1012" s="664">
        <v>1199</v>
      </c>
      <c r="G1012" s="55">
        <v>278779.49</v>
      </c>
      <c r="H1012" s="180"/>
      <c r="I1012" s="802" t="s">
        <v>14586</v>
      </c>
      <c r="J1012" s="952"/>
      <c r="L1012" s="22"/>
    </row>
    <row r="1013" spans="1:12" s="950" customFormat="1" ht="56.25" x14ac:dyDescent="0.2">
      <c r="A1013" s="804" t="s">
        <v>12252</v>
      </c>
      <c r="B1013" s="804" t="s">
        <v>11713</v>
      </c>
      <c r="C1013" s="912" t="s">
        <v>12253</v>
      </c>
      <c r="D1013" s="804" t="s">
        <v>12254</v>
      </c>
      <c r="E1013" s="517" t="s">
        <v>6553</v>
      </c>
      <c r="F1013" s="664">
        <v>1198</v>
      </c>
      <c r="G1013" s="55">
        <v>278546.98</v>
      </c>
      <c r="H1013" s="180"/>
      <c r="I1013" s="802" t="s">
        <v>14586</v>
      </c>
      <c r="J1013" s="952"/>
      <c r="L1013" s="22"/>
    </row>
    <row r="1014" spans="1:12" s="950" customFormat="1" ht="56.25" x14ac:dyDescent="0.2">
      <c r="A1014" s="804" t="s">
        <v>12255</v>
      </c>
      <c r="B1014" s="804" t="s">
        <v>11713</v>
      </c>
      <c r="C1014" s="912" t="s">
        <v>12256</v>
      </c>
      <c r="D1014" s="804" t="s">
        <v>12257</v>
      </c>
      <c r="E1014" s="517" t="s">
        <v>6553</v>
      </c>
      <c r="F1014" s="664">
        <v>1199</v>
      </c>
      <c r="G1014" s="55">
        <v>278779.49</v>
      </c>
      <c r="H1014" s="180"/>
      <c r="I1014" s="802" t="s">
        <v>14586</v>
      </c>
      <c r="J1014" s="952"/>
      <c r="L1014" s="22"/>
    </row>
    <row r="1015" spans="1:12" s="950" customFormat="1" ht="56.25" x14ac:dyDescent="0.2">
      <c r="A1015" s="804" t="s">
        <v>12258</v>
      </c>
      <c r="B1015" s="804" t="s">
        <v>11713</v>
      </c>
      <c r="C1015" s="912" t="s">
        <v>12259</v>
      </c>
      <c r="D1015" s="804" t="s">
        <v>12260</v>
      </c>
      <c r="E1015" s="517" t="s">
        <v>6553</v>
      </c>
      <c r="F1015" s="664">
        <v>1199</v>
      </c>
      <c r="G1015" s="55">
        <v>278779.49</v>
      </c>
      <c r="H1015" s="180"/>
      <c r="I1015" s="802" t="s">
        <v>14586</v>
      </c>
      <c r="J1015" s="952"/>
      <c r="L1015" s="22"/>
    </row>
    <row r="1016" spans="1:12" s="950" customFormat="1" ht="56.25" x14ac:dyDescent="0.2">
      <c r="A1016" s="804" t="s">
        <v>12261</v>
      </c>
      <c r="B1016" s="804" t="s">
        <v>11713</v>
      </c>
      <c r="C1016" s="916" t="s">
        <v>12262</v>
      </c>
      <c r="D1016" s="804" t="s">
        <v>12263</v>
      </c>
      <c r="E1016" s="517" t="s">
        <v>6553</v>
      </c>
      <c r="F1016" s="664">
        <v>925</v>
      </c>
      <c r="G1016" s="55">
        <v>215765.5</v>
      </c>
      <c r="H1016" s="180"/>
      <c r="I1016" s="802" t="s">
        <v>14586</v>
      </c>
      <c r="J1016" s="952"/>
      <c r="L1016" s="22"/>
    </row>
    <row r="1017" spans="1:12" s="950" customFormat="1" ht="56.25" x14ac:dyDescent="0.2">
      <c r="A1017" s="804" t="s">
        <v>12264</v>
      </c>
      <c r="B1017" s="804" t="s">
        <v>11713</v>
      </c>
      <c r="C1017" s="916" t="s">
        <v>12265</v>
      </c>
      <c r="D1017" s="804" t="s">
        <v>12266</v>
      </c>
      <c r="E1017" s="517" t="s">
        <v>6553</v>
      </c>
      <c r="F1017" s="664">
        <v>1201</v>
      </c>
      <c r="G1017" s="55">
        <v>279244.51</v>
      </c>
      <c r="H1017" s="180"/>
      <c r="I1017" s="802" t="s">
        <v>14586</v>
      </c>
      <c r="J1017" s="952"/>
      <c r="L1017" s="22"/>
    </row>
    <row r="1018" spans="1:12" s="950" customFormat="1" ht="67.5" x14ac:dyDescent="0.2">
      <c r="A1018" s="804" t="s">
        <v>12267</v>
      </c>
      <c r="B1018" s="804" t="s">
        <v>11713</v>
      </c>
      <c r="C1018" s="916" t="s">
        <v>12268</v>
      </c>
      <c r="D1018" s="804" t="s">
        <v>12269</v>
      </c>
      <c r="E1018" s="517" t="s">
        <v>6553</v>
      </c>
      <c r="F1018" s="667">
        <v>1200</v>
      </c>
      <c r="G1018" s="516">
        <v>279012</v>
      </c>
      <c r="H1018" s="180"/>
      <c r="I1018" s="802" t="s">
        <v>14586</v>
      </c>
      <c r="J1018" s="952"/>
      <c r="L1018" s="22"/>
    </row>
    <row r="1019" spans="1:12" s="950" customFormat="1" ht="56.25" x14ac:dyDescent="0.2">
      <c r="A1019" s="804" t="s">
        <v>12270</v>
      </c>
      <c r="B1019" s="804" t="s">
        <v>11713</v>
      </c>
      <c r="C1019" s="912" t="s">
        <v>12271</v>
      </c>
      <c r="D1019" s="804" t="s">
        <v>12272</v>
      </c>
      <c r="E1019" s="517" t="s">
        <v>6553</v>
      </c>
      <c r="F1019" s="664">
        <v>1199</v>
      </c>
      <c r="G1019" s="55">
        <v>278779.49</v>
      </c>
      <c r="H1019" s="180"/>
      <c r="I1019" s="802" t="s">
        <v>14586</v>
      </c>
      <c r="J1019" s="952"/>
      <c r="L1019" s="22"/>
    </row>
    <row r="1020" spans="1:12" s="950" customFormat="1" ht="56.25" x14ac:dyDescent="0.2">
      <c r="A1020" s="804" t="s">
        <v>12273</v>
      </c>
      <c r="B1020" s="804" t="s">
        <v>11713</v>
      </c>
      <c r="C1020" s="912" t="s">
        <v>12274</v>
      </c>
      <c r="D1020" s="804" t="s">
        <v>12275</v>
      </c>
      <c r="E1020" s="517" t="s">
        <v>6553</v>
      </c>
      <c r="F1020" s="664">
        <v>1199</v>
      </c>
      <c r="G1020" s="55">
        <v>278779.49</v>
      </c>
      <c r="H1020" s="180"/>
      <c r="I1020" s="802" t="s">
        <v>14586</v>
      </c>
      <c r="J1020" s="952"/>
      <c r="L1020" s="22"/>
    </row>
    <row r="1021" spans="1:12" s="950" customFormat="1" ht="56.25" x14ac:dyDescent="0.2">
      <c r="A1021" s="804" t="s">
        <v>12276</v>
      </c>
      <c r="B1021" s="804" t="s">
        <v>11498</v>
      </c>
      <c r="C1021" s="916" t="s">
        <v>12277</v>
      </c>
      <c r="D1021" s="804" t="s">
        <v>12278</v>
      </c>
      <c r="E1021" s="517" t="s">
        <v>6553</v>
      </c>
      <c r="F1021" s="667">
        <v>1200</v>
      </c>
      <c r="G1021" s="516">
        <v>279012</v>
      </c>
      <c r="H1021" s="180"/>
      <c r="I1021" s="802" t="s">
        <v>14586</v>
      </c>
      <c r="J1021" s="952"/>
      <c r="L1021" s="22"/>
    </row>
    <row r="1022" spans="1:12" s="950" customFormat="1" ht="56.25" x14ac:dyDescent="0.2">
      <c r="A1022" s="804" t="s">
        <v>12279</v>
      </c>
      <c r="B1022" s="804" t="s">
        <v>11713</v>
      </c>
      <c r="C1022" s="916" t="s">
        <v>12280</v>
      </c>
      <c r="D1022" s="804" t="s">
        <v>12281</v>
      </c>
      <c r="E1022" s="517" t="s">
        <v>6553</v>
      </c>
      <c r="F1022" s="667">
        <v>1200</v>
      </c>
      <c r="G1022" s="516">
        <v>279012</v>
      </c>
      <c r="H1022" s="180"/>
      <c r="I1022" s="802" t="s">
        <v>14586</v>
      </c>
      <c r="J1022" s="952"/>
      <c r="L1022" s="22"/>
    </row>
    <row r="1023" spans="1:12" s="950" customFormat="1" ht="56.25" x14ac:dyDescent="0.2">
      <c r="A1023" s="804" t="s">
        <v>12282</v>
      </c>
      <c r="B1023" s="804" t="s">
        <v>11713</v>
      </c>
      <c r="C1023" s="916" t="s">
        <v>14477</v>
      </c>
      <c r="D1023" s="804" t="s">
        <v>12283</v>
      </c>
      <c r="E1023" s="517" t="s">
        <v>6553</v>
      </c>
      <c r="F1023" s="664">
        <v>1199</v>
      </c>
      <c r="G1023" s="55">
        <v>278779.49</v>
      </c>
      <c r="H1023" s="180"/>
      <c r="I1023" s="802" t="s">
        <v>14586</v>
      </c>
      <c r="J1023" s="952"/>
      <c r="L1023" s="22"/>
    </row>
    <row r="1024" spans="1:12" s="950" customFormat="1" ht="56.25" x14ac:dyDescent="0.2">
      <c r="A1024" s="804" t="s">
        <v>12284</v>
      </c>
      <c r="B1024" s="804" t="s">
        <v>11713</v>
      </c>
      <c r="C1024" s="916" t="s">
        <v>14478</v>
      </c>
      <c r="D1024" s="804" t="s">
        <v>12285</v>
      </c>
      <c r="E1024" s="517" t="s">
        <v>6553</v>
      </c>
      <c r="F1024" s="664">
        <v>1201</v>
      </c>
      <c r="G1024" s="55">
        <v>279244.51</v>
      </c>
      <c r="H1024" s="180"/>
      <c r="I1024" s="802" t="s">
        <v>14586</v>
      </c>
      <c r="J1024" s="952"/>
      <c r="L1024" s="22"/>
    </row>
    <row r="1025" spans="1:12" s="950" customFormat="1" ht="56.25" x14ac:dyDescent="0.2">
      <c r="A1025" s="804" t="s">
        <v>12286</v>
      </c>
      <c r="B1025" s="804" t="s">
        <v>11713</v>
      </c>
      <c r="C1025" s="916" t="s">
        <v>12287</v>
      </c>
      <c r="D1025" s="804" t="s">
        <v>12288</v>
      </c>
      <c r="E1025" s="517" t="s">
        <v>6553</v>
      </c>
      <c r="F1025" s="664">
        <v>1199</v>
      </c>
      <c r="G1025" s="55">
        <v>278779.49</v>
      </c>
      <c r="H1025" s="180"/>
      <c r="I1025" s="802" t="s">
        <v>14586</v>
      </c>
      <c r="J1025" s="952"/>
      <c r="L1025" s="22"/>
    </row>
    <row r="1026" spans="1:12" s="950" customFormat="1" ht="56.25" x14ac:dyDescent="0.2">
      <c r="A1026" s="804" t="s">
        <v>12289</v>
      </c>
      <c r="B1026" s="804" t="s">
        <v>11713</v>
      </c>
      <c r="C1026" s="916" t="s">
        <v>12290</v>
      </c>
      <c r="D1026" s="804" t="s">
        <v>12291</v>
      </c>
      <c r="E1026" s="517" t="s">
        <v>6553</v>
      </c>
      <c r="F1026" s="664">
        <v>1201</v>
      </c>
      <c r="G1026" s="55">
        <v>279244.51</v>
      </c>
      <c r="H1026" s="180"/>
      <c r="I1026" s="802" t="s">
        <v>14586</v>
      </c>
      <c r="J1026" s="952"/>
      <c r="L1026" s="22"/>
    </row>
    <row r="1027" spans="1:12" s="950" customFormat="1" ht="56.25" x14ac:dyDescent="0.2">
      <c r="A1027" s="804" t="s">
        <v>12292</v>
      </c>
      <c r="B1027" s="804" t="s">
        <v>11713</v>
      </c>
      <c r="C1027" s="916" t="s">
        <v>12293</v>
      </c>
      <c r="D1027" s="804" t="s">
        <v>12294</v>
      </c>
      <c r="E1027" s="517" t="s">
        <v>6553</v>
      </c>
      <c r="F1027" s="664">
        <v>1201</v>
      </c>
      <c r="G1027" s="55">
        <v>279244.51</v>
      </c>
      <c r="H1027" s="180"/>
      <c r="I1027" s="802" t="s">
        <v>14586</v>
      </c>
      <c r="J1027" s="952"/>
      <c r="L1027" s="22"/>
    </row>
    <row r="1028" spans="1:12" s="950" customFormat="1" ht="56.25" x14ac:dyDescent="0.2">
      <c r="A1028" s="804" t="s">
        <v>12295</v>
      </c>
      <c r="B1028" s="804" t="s">
        <v>11713</v>
      </c>
      <c r="C1028" s="916" t="s">
        <v>12296</v>
      </c>
      <c r="D1028" s="804" t="s">
        <v>12297</v>
      </c>
      <c r="E1028" s="517" t="s">
        <v>6553</v>
      </c>
      <c r="F1028" s="667">
        <v>1200</v>
      </c>
      <c r="G1028" s="516">
        <v>279012</v>
      </c>
      <c r="H1028" s="180"/>
      <c r="I1028" s="802" t="s">
        <v>14586</v>
      </c>
      <c r="J1028" s="952"/>
      <c r="L1028" s="22"/>
    </row>
    <row r="1029" spans="1:12" s="950" customFormat="1" ht="56.25" x14ac:dyDescent="0.2">
      <c r="A1029" s="804" t="s">
        <v>12298</v>
      </c>
      <c r="B1029" s="804" t="s">
        <v>11713</v>
      </c>
      <c r="C1029" s="916" t="s">
        <v>12299</v>
      </c>
      <c r="D1029" s="804" t="s">
        <v>12300</v>
      </c>
      <c r="E1029" s="517" t="s">
        <v>6553</v>
      </c>
      <c r="F1029" s="667">
        <v>1200</v>
      </c>
      <c r="G1029" s="516">
        <v>279012</v>
      </c>
      <c r="H1029" s="180"/>
      <c r="I1029" s="802" t="s">
        <v>14586</v>
      </c>
      <c r="J1029" s="952"/>
      <c r="L1029" s="22"/>
    </row>
    <row r="1030" spans="1:12" s="950" customFormat="1" ht="56.25" x14ac:dyDescent="0.2">
      <c r="A1030" s="804" t="s">
        <v>12301</v>
      </c>
      <c r="B1030" s="804" t="s">
        <v>11713</v>
      </c>
      <c r="C1030" s="916" t="s">
        <v>12302</v>
      </c>
      <c r="D1030" s="804" t="s">
        <v>12303</v>
      </c>
      <c r="E1030" s="517" t="s">
        <v>6553</v>
      </c>
      <c r="F1030" s="667">
        <v>1200</v>
      </c>
      <c r="G1030" s="55">
        <v>279012</v>
      </c>
      <c r="H1030" s="180"/>
      <c r="I1030" s="802" t="s">
        <v>14586</v>
      </c>
      <c r="J1030" s="952"/>
      <c r="L1030" s="22"/>
    </row>
    <row r="1031" spans="1:12" s="950" customFormat="1" ht="56.25" x14ac:dyDescent="0.2">
      <c r="A1031" s="804" t="s">
        <v>12304</v>
      </c>
      <c r="B1031" s="804" t="s">
        <v>11713</v>
      </c>
      <c r="C1031" s="916" t="s">
        <v>12305</v>
      </c>
      <c r="D1031" s="804" t="s">
        <v>12306</v>
      </c>
      <c r="E1031" s="517" t="s">
        <v>6553</v>
      </c>
      <c r="F1031" s="664">
        <v>1201</v>
      </c>
      <c r="G1031" s="55">
        <v>279244.51</v>
      </c>
      <c r="H1031" s="180"/>
      <c r="I1031" s="802" t="s">
        <v>14586</v>
      </c>
      <c r="J1031" s="952"/>
      <c r="L1031" s="22"/>
    </row>
    <row r="1032" spans="1:12" s="950" customFormat="1" ht="56.25" x14ac:dyDescent="0.2">
      <c r="A1032" s="804" t="s">
        <v>12307</v>
      </c>
      <c r="B1032" s="804" t="s">
        <v>11713</v>
      </c>
      <c r="C1032" s="916" t="s">
        <v>12308</v>
      </c>
      <c r="D1032" s="804" t="s">
        <v>12309</v>
      </c>
      <c r="E1032" s="517" t="s">
        <v>6553</v>
      </c>
      <c r="F1032" s="667">
        <v>1200</v>
      </c>
      <c r="G1032" s="516">
        <v>279012</v>
      </c>
      <c r="H1032" s="180"/>
      <c r="I1032" s="802" t="s">
        <v>14586</v>
      </c>
      <c r="J1032" s="952"/>
      <c r="L1032" s="22"/>
    </row>
    <row r="1033" spans="1:12" s="950" customFormat="1" ht="56.25" x14ac:dyDescent="0.2">
      <c r="A1033" s="804" t="s">
        <v>12310</v>
      </c>
      <c r="B1033" s="804" t="s">
        <v>11713</v>
      </c>
      <c r="C1033" s="916" t="s">
        <v>12311</v>
      </c>
      <c r="D1033" s="804" t="s">
        <v>12312</v>
      </c>
      <c r="E1033" s="517" t="s">
        <v>6553</v>
      </c>
      <c r="F1033" s="667">
        <v>1200</v>
      </c>
      <c r="G1033" s="55">
        <v>279012</v>
      </c>
      <c r="H1033" s="180"/>
      <c r="I1033" s="802" t="s">
        <v>14586</v>
      </c>
      <c r="J1033" s="952"/>
      <c r="L1033" s="22"/>
    </row>
    <row r="1034" spans="1:12" s="950" customFormat="1" ht="56.25" x14ac:dyDescent="0.2">
      <c r="A1034" s="804" t="s">
        <v>12313</v>
      </c>
      <c r="B1034" s="804" t="s">
        <v>11713</v>
      </c>
      <c r="C1034" s="916" t="s">
        <v>12314</v>
      </c>
      <c r="D1034" s="804" t="s">
        <v>12315</v>
      </c>
      <c r="E1034" s="517" t="s">
        <v>6553</v>
      </c>
      <c r="F1034" s="664">
        <v>1203</v>
      </c>
      <c r="G1034" s="55">
        <v>274151.67</v>
      </c>
      <c r="H1034" s="180"/>
      <c r="I1034" s="802" t="s">
        <v>14586</v>
      </c>
      <c r="J1034" s="952"/>
      <c r="L1034" s="22"/>
    </row>
    <row r="1035" spans="1:12" s="950" customFormat="1" ht="56.25" x14ac:dyDescent="0.2">
      <c r="A1035" s="804" t="s">
        <v>12316</v>
      </c>
      <c r="B1035" s="804" t="s">
        <v>11713</v>
      </c>
      <c r="C1035" s="916" t="s">
        <v>12317</v>
      </c>
      <c r="D1035" s="804" t="s">
        <v>12318</v>
      </c>
      <c r="E1035" s="517" t="s">
        <v>6553</v>
      </c>
      <c r="F1035" s="667">
        <v>1200</v>
      </c>
      <c r="G1035" s="516">
        <v>273468</v>
      </c>
      <c r="H1035" s="180"/>
      <c r="I1035" s="802" t="s">
        <v>14586</v>
      </c>
      <c r="J1035" s="952"/>
      <c r="L1035" s="22"/>
    </row>
    <row r="1036" spans="1:12" s="950" customFormat="1" ht="56.25" x14ac:dyDescent="0.2">
      <c r="A1036" s="804" t="s">
        <v>12319</v>
      </c>
      <c r="B1036" s="804" t="s">
        <v>11498</v>
      </c>
      <c r="C1036" s="916" t="s">
        <v>12320</v>
      </c>
      <c r="D1036" s="804" t="s">
        <v>12321</v>
      </c>
      <c r="E1036" s="517" t="s">
        <v>6553</v>
      </c>
      <c r="F1036" s="664">
        <v>1200</v>
      </c>
      <c r="G1036" s="55">
        <v>273468</v>
      </c>
      <c r="H1036" s="180"/>
      <c r="I1036" s="802" t="s">
        <v>14586</v>
      </c>
      <c r="J1036" s="952"/>
      <c r="L1036" s="22"/>
    </row>
    <row r="1037" spans="1:12" s="950" customFormat="1" ht="56.25" x14ac:dyDescent="0.2">
      <c r="A1037" s="804" t="s">
        <v>12322</v>
      </c>
      <c r="B1037" s="804" t="s">
        <v>11498</v>
      </c>
      <c r="C1037" s="916" t="s">
        <v>12323</v>
      </c>
      <c r="D1037" s="804" t="s">
        <v>12324</v>
      </c>
      <c r="E1037" s="517" t="s">
        <v>6553</v>
      </c>
      <c r="F1037" s="664">
        <v>1200</v>
      </c>
      <c r="G1037" s="55">
        <v>273468</v>
      </c>
      <c r="H1037" s="180"/>
      <c r="I1037" s="802" t="s">
        <v>14586</v>
      </c>
      <c r="J1037" s="952"/>
      <c r="L1037" s="22"/>
    </row>
    <row r="1038" spans="1:12" s="950" customFormat="1" ht="56.25" x14ac:dyDescent="0.2">
      <c r="A1038" s="804" t="s">
        <v>12327</v>
      </c>
      <c r="B1038" s="804" t="s">
        <v>11713</v>
      </c>
      <c r="C1038" s="916" t="s">
        <v>12328</v>
      </c>
      <c r="D1038" s="804" t="s">
        <v>12329</v>
      </c>
      <c r="E1038" s="517" t="s">
        <v>6553</v>
      </c>
      <c r="F1038" s="664">
        <v>1190</v>
      </c>
      <c r="G1038" s="55">
        <v>276686.90000000002</v>
      </c>
      <c r="H1038" s="180"/>
      <c r="I1038" s="802" t="s">
        <v>14586</v>
      </c>
      <c r="J1038" s="952"/>
      <c r="L1038" s="22"/>
    </row>
    <row r="1039" spans="1:12" s="950" customFormat="1" ht="56.25" x14ac:dyDescent="0.2">
      <c r="A1039" s="804" t="s">
        <v>12330</v>
      </c>
      <c r="B1039" s="804" t="s">
        <v>11713</v>
      </c>
      <c r="C1039" s="916" t="s">
        <v>12331</v>
      </c>
      <c r="D1039" s="804" t="s">
        <v>12332</v>
      </c>
      <c r="E1039" s="517" t="s">
        <v>6553</v>
      </c>
      <c r="F1039" s="667">
        <v>1200</v>
      </c>
      <c r="G1039" s="516">
        <v>279012</v>
      </c>
      <c r="H1039" s="180"/>
      <c r="I1039" s="802" t="s">
        <v>14586</v>
      </c>
      <c r="J1039" s="952"/>
      <c r="L1039" s="22"/>
    </row>
    <row r="1040" spans="1:12" s="950" customFormat="1" ht="56.25" x14ac:dyDescent="0.2">
      <c r="A1040" s="804" t="s">
        <v>12333</v>
      </c>
      <c r="B1040" s="804" t="s">
        <v>11713</v>
      </c>
      <c r="C1040" s="916" t="s">
        <v>12334</v>
      </c>
      <c r="D1040" s="804" t="s">
        <v>12335</v>
      </c>
      <c r="E1040" s="517" t="s">
        <v>6553</v>
      </c>
      <c r="F1040" s="667">
        <v>1200</v>
      </c>
      <c r="G1040" s="516">
        <v>279012</v>
      </c>
      <c r="H1040" s="180"/>
      <c r="I1040" s="802" t="s">
        <v>14586</v>
      </c>
      <c r="J1040" s="952"/>
      <c r="L1040" s="22"/>
    </row>
    <row r="1041" spans="1:12" s="950" customFormat="1" ht="56.25" x14ac:dyDescent="0.2">
      <c r="A1041" s="804" t="s">
        <v>12336</v>
      </c>
      <c r="B1041" s="804" t="s">
        <v>11713</v>
      </c>
      <c r="C1041" s="916" t="s">
        <v>12337</v>
      </c>
      <c r="D1041" s="804" t="s">
        <v>12338</v>
      </c>
      <c r="E1041" s="517" t="s">
        <v>6553</v>
      </c>
      <c r="F1041" s="664">
        <v>1201</v>
      </c>
      <c r="G1041" s="55">
        <v>279244.51</v>
      </c>
      <c r="H1041" s="180"/>
      <c r="I1041" s="802" t="s">
        <v>14586</v>
      </c>
      <c r="J1041" s="952"/>
      <c r="L1041" s="22"/>
    </row>
    <row r="1042" spans="1:12" s="950" customFormat="1" ht="56.25" x14ac:dyDescent="0.2">
      <c r="A1042" s="804" t="s">
        <v>12339</v>
      </c>
      <c r="B1042" s="804" t="s">
        <v>11713</v>
      </c>
      <c r="C1042" s="916" t="s">
        <v>12340</v>
      </c>
      <c r="D1042" s="804" t="s">
        <v>12341</v>
      </c>
      <c r="E1042" s="517" t="s">
        <v>6553</v>
      </c>
      <c r="F1042" s="667">
        <v>1200</v>
      </c>
      <c r="G1042" s="516">
        <v>279012</v>
      </c>
      <c r="H1042" s="180"/>
      <c r="I1042" s="802" t="s">
        <v>14586</v>
      </c>
      <c r="J1042" s="952"/>
      <c r="L1042" s="22"/>
    </row>
    <row r="1043" spans="1:12" s="950" customFormat="1" ht="56.25" x14ac:dyDescent="0.2">
      <c r="A1043" s="804" t="s">
        <v>12342</v>
      </c>
      <c r="B1043" s="804" t="s">
        <v>11713</v>
      </c>
      <c r="C1043" s="916" t="s">
        <v>12343</v>
      </c>
      <c r="D1043" s="804" t="s">
        <v>12344</v>
      </c>
      <c r="E1043" s="517" t="s">
        <v>6553</v>
      </c>
      <c r="F1043" s="667">
        <v>1200</v>
      </c>
      <c r="G1043" s="516">
        <v>136032</v>
      </c>
      <c r="H1043" s="180"/>
      <c r="I1043" s="802" t="s">
        <v>14586</v>
      </c>
      <c r="J1043" s="952"/>
      <c r="L1043" s="22"/>
    </row>
    <row r="1044" spans="1:12" s="950" customFormat="1" ht="56.25" x14ac:dyDescent="0.2">
      <c r="A1044" s="804" t="s">
        <v>12345</v>
      </c>
      <c r="B1044" s="804" t="s">
        <v>11713</v>
      </c>
      <c r="C1044" s="916" t="s">
        <v>12346</v>
      </c>
      <c r="D1044" s="804" t="s">
        <v>12347</v>
      </c>
      <c r="E1044" s="517" t="s">
        <v>6553</v>
      </c>
      <c r="F1044" s="667">
        <v>1200</v>
      </c>
      <c r="G1044" s="516">
        <v>136032</v>
      </c>
      <c r="H1044" s="180"/>
      <c r="I1044" s="802" t="s">
        <v>14586</v>
      </c>
      <c r="J1044" s="952"/>
      <c r="L1044" s="22"/>
    </row>
    <row r="1045" spans="1:12" s="950" customFormat="1" ht="56.25" x14ac:dyDescent="0.2">
      <c r="A1045" s="850" t="s">
        <v>12348</v>
      </c>
      <c r="B1045" s="850" t="s">
        <v>11713</v>
      </c>
      <c r="C1045" s="974" t="s">
        <v>12349</v>
      </c>
      <c r="D1045" s="850" t="s">
        <v>12350</v>
      </c>
      <c r="E1045" s="978" t="s">
        <v>6553</v>
      </c>
      <c r="F1045" s="853">
        <v>1200</v>
      </c>
      <c r="G1045" s="924">
        <v>279012</v>
      </c>
      <c r="H1045" s="977"/>
      <c r="I1045" s="802" t="s">
        <v>14586</v>
      </c>
      <c r="J1045" s="952"/>
      <c r="L1045" s="22"/>
    </row>
    <row r="1046" spans="1:12" s="950" customFormat="1" ht="56.25" x14ac:dyDescent="0.2">
      <c r="A1046" s="804" t="s">
        <v>12351</v>
      </c>
      <c r="B1046" s="804" t="s">
        <v>11713</v>
      </c>
      <c r="C1046" s="916" t="s">
        <v>12352</v>
      </c>
      <c r="D1046" s="804" t="s">
        <v>12353</v>
      </c>
      <c r="E1046" s="517" t="s">
        <v>6553</v>
      </c>
      <c r="F1046" s="667">
        <v>1200</v>
      </c>
      <c r="G1046" s="516">
        <v>136032</v>
      </c>
      <c r="H1046" s="180"/>
      <c r="I1046" s="802" t="s">
        <v>14586</v>
      </c>
      <c r="J1046" s="952"/>
      <c r="L1046" s="22"/>
    </row>
    <row r="1047" spans="1:12" s="950" customFormat="1" ht="56.25" x14ac:dyDescent="0.2">
      <c r="A1047" s="850" t="s">
        <v>12354</v>
      </c>
      <c r="B1047" s="850" t="s">
        <v>11713</v>
      </c>
      <c r="C1047" s="974" t="s">
        <v>12355</v>
      </c>
      <c r="D1047" s="850" t="s">
        <v>12356</v>
      </c>
      <c r="E1047" s="978" t="s">
        <v>6553</v>
      </c>
      <c r="F1047" s="853">
        <v>1200</v>
      </c>
      <c r="G1047" s="924">
        <v>136032</v>
      </c>
      <c r="H1047" s="977"/>
      <c r="I1047" s="802" t="s">
        <v>14586</v>
      </c>
      <c r="J1047" s="952"/>
      <c r="L1047" s="22"/>
    </row>
    <row r="1048" spans="1:12" s="950" customFormat="1" ht="56.25" x14ac:dyDescent="0.2">
      <c r="A1048" s="804" t="s">
        <v>12357</v>
      </c>
      <c r="B1048" s="804" t="s">
        <v>11713</v>
      </c>
      <c r="C1048" s="916" t="s">
        <v>12358</v>
      </c>
      <c r="D1048" s="804" t="s">
        <v>12359</v>
      </c>
      <c r="E1048" s="517" t="s">
        <v>6553</v>
      </c>
      <c r="F1048" s="664">
        <v>1199</v>
      </c>
      <c r="G1048" s="55">
        <v>278779.49</v>
      </c>
      <c r="H1048" s="180"/>
      <c r="I1048" s="802" t="s">
        <v>14586</v>
      </c>
      <c r="J1048" s="952"/>
      <c r="L1048" s="22"/>
    </row>
    <row r="1049" spans="1:12" s="950" customFormat="1" ht="56.25" x14ac:dyDescent="0.2">
      <c r="A1049" s="804" t="s">
        <v>12360</v>
      </c>
      <c r="B1049" s="804" t="s">
        <v>11713</v>
      </c>
      <c r="C1049" s="916" t="s">
        <v>12361</v>
      </c>
      <c r="D1049" s="804" t="s">
        <v>12362</v>
      </c>
      <c r="E1049" s="517" t="s">
        <v>6553</v>
      </c>
      <c r="F1049" s="667">
        <v>1200</v>
      </c>
      <c r="G1049" s="516">
        <v>279012</v>
      </c>
      <c r="H1049" s="180"/>
      <c r="I1049" s="802" t="s">
        <v>14586</v>
      </c>
      <c r="J1049" s="952"/>
      <c r="L1049" s="22"/>
    </row>
    <row r="1050" spans="1:12" s="950" customFormat="1" ht="56.25" x14ac:dyDescent="0.2">
      <c r="A1050" s="804" t="s">
        <v>12363</v>
      </c>
      <c r="B1050" s="804" t="s">
        <v>11713</v>
      </c>
      <c r="C1050" s="916" t="s">
        <v>12364</v>
      </c>
      <c r="D1050" s="804" t="s">
        <v>12365</v>
      </c>
      <c r="E1050" s="517" t="s">
        <v>6553</v>
      </c>
      <c r="F1050" s="667">
        <v>1200</v>
      </c>
      <c r="G1050" s="516">
        <v>279012</v>
      </c>
      <c r="H1050" s="180"/>
      <c r="I1050" s="802" t="s">
        <v>14586</v>
      </c>
      <c r="J1050" s="952"/>
      <c r="L1050" s="22"/>
    </row>
    <row r="1051" spans="1:12" s="950" customFormat="1" ht="56.25" x14ac:dyDescent="0.2">
      <c r="A1051" s="804" t="s">
        <v>12366</v>
      </c>
      <c r="B1051" s="804" t="s">
        <v>11713</v>
      </c>
      <c r="C1051" s="916" t="s">
        <v>12367</v>
      </c>
      <c r="D1051" s="804" t="s">
        <v>12368</v>
      </c>
      <c r="E1051" s="517" t="s">
        <v>6553</v>
      </c>
      <c r="F1051" s="664">
        <v>1198</v>
      </c>
      <c r="G1051" s="55">
        <v>278546.98</v>
      </c>
      <c r="H1051" s="180"/>
      <c r="I1051" s="802" t="s">
        <v>14586</v>
      </c>
      <c r="J1051" s="952"/>
      <c r="L1051" s="22"/>
    </row>
    <row r="1052" spans="1:12" s="950" customFormat="1" ht="56.25" x14ac:dyDescent="0.2">
      <c r="A1052" s="804" t="s">
        <v>12369</v>
      </c>
      <c r="B1052" s="804" t="s">
        <v>11713</v>
      </c>
      <c r="C1052" s="916" t="s">
        <v>12370</v>
      </c>
      <c r="D1052" s="804" t="s">
        <v>12371</v>
      </c>
      <c r="E1052" s="517" t="s">
        <v>6553</v>
      </c>
      <c r="F1052" s="664">
        <v>1198</v>
      </c>
      <c r="G1052" s="55">
        <v>278546.98</v>
      </c>
      <c r="H1052" s="180"/>
      <c r="I1052" s="802" t="s">
        <v>14586</v>
      </c>
      <c r="J1052" s="952"/>
      <c r="L1052" s="22"/>
    </row>
    <row r="1053" spans="1:12" s="950" customFormat="1" ht="56.25" x14ac:dyDescent="0.2">
      <c r="A1053" s="804" t="s">
        <v>12372</v>
      </c>
      <c r="B1053" s="804" t="s">
        <v>11713</v>
      </c>
      <c r="C1053" s="916" t="s">
        <v>12373</v>
      </c>
      <c r="D1053" s="804" t="s">
        <v>12374</v>
      </c>
      <c r="E1053" s="517" t="s">
        <v>6553</v>
      </c>
      <c r="F1053" s="667">
        <v>1200</v>
      </c>
      <c r="G1053" s="55">
        <v>279012</v>
      </c>
      <c r="H1053" s="180"/>
      <c r="I1053" s="802" t="s">
        <v>14586</v>
      </c>
      <c r="J1053" s="952"/>
      <c r="L1053" s="22"/>
    </row>
    <row r="1054" spans="1:12" s="950" customFormat="1" ht="56.25" x14ac:dyDescent="0.2">
      <c r="A1054" s="804" t="s">
        <v>12375</v>
      </c>
      <c r="B1054" s="804" t="s">
        <v>11713</v>
      </c>
      <c r="C1054" s="916" t="s">
        <v>12376</v>
      </c>
      <c r="D1054" s="804" t="s">
        <v>12377</v>
      </c>
      <c r="E1054" s="517" t="s">
        <v>6553</v>
      </c>
      <c r="F1054" s="667">
        <v>1200</v>
      </c>
      <c r="G1054" s="55">
        <v>279012</v>
      </c>
      <c r="H1054" s="180"/>
      <c r="I1054" s="802" t="s">
        <v>14586</v>
      </c>
      <c r="J1054" s="952"/>
      <c r="L1054" s="22"/>
    </row>
    <row r="1055" spans="1:12" s="950" customFormat="1" ht="56.25" x14ac:dyDescent="0.2">
      <c r="A1055" s="804" t="s">
        <v>12378</v>
      </c>
      <c r="B1055" s="804" t="s">
        <v>11713</v>
      </c>
      <c r="C1055" s="916" t="s">
        <v>12379</v>
      </c>
      <c r="D1055" s="804" t="s">
        <v>12380</v>
      </c>
      <c r="E1055" s="517" t="s">
        <v>6553</v>
      </c>
      <c r="F1055" s="667">
        <v>1200</v>
      </c>
      <c r="G1055" s="516">
        <v>279012</v>
      </c>
      <c r="H1055" s="180"/>
      <c r="I1055" s="802" t="s">
        <v>14586</v>
      </c>
      <c r="J1055" s="952"/>
      <c r="L1055" s="22"/>
    </row>
    <row r="1056" spans="1:12" s="950" customFormat="1" ht="67.5" x14ac:dyDescent="0.2">
      <c r="A1056" s="804" t="s">
        <v>12381</v>
      </c>
      <c r="B1056" s="804" t="s">
        <v>11713</v>
      </c>
      <c r="C1056" s="916" t="s">
        <v>12382</v>
      </c>
      <c r="D1056" s="804" t="s">
        <v>12383</v>
      </c>
      <c r="E1056" s="517" t="s">
        <v>6553</v>
      </c>
      <c r="F1056" s="664">
        <v>1199</v>
      </c>
      <c r="G1056" s="55">
        <v>278779.49</v>
      </c>
      <c r="H1056" s="180"/>
      <c r="I1056" s="802" t="s">
        <v>14586</v>
      </c>
      <c r="J1056" s="952"/>
      <c r="L1056" s="22"/>
    </row>
    <row r="1057" spans="1:12" s="950" customFormat="1" ht="56.25" x14ac:dyDescent="0.2">
      <c r="A1057" s="804" t="s">
        <v>12384</v>
      </c>
      <c r="B1057" s="804" t="s">
        <v>11713</v>
      </c>
      <c r="C1057" s="916" t="s">
        <v>12385</v>
      </c>
      <c r="D1057" s="804" t="s">
        <v>12386</v>
      </c>
      <c r="E1057" s="517" t="s">
        <v>6553</v>
      </c>
      <c r="F1057" s="664">
        <v>1197</v>
      </c>
      <c r="G1057" s="55">
        <v>278314.46999999997</v>
      </c>
      <c r="H1057" s="180"/>
      <c r="I1057" s="802" t="s">
        <v>14586</v>
      </c>
      <c r="J1057" s="952"/>
      <c r="L1057" s="22"/>
    </row>
    <row r="1058" spans="1:12" s="950" customFormat="1" ht="56.25" x14ac:dyDescent="0.2">
      <c r="A1058" s="804" t="s">
        <v>12387</v>
      </c>
      <c r="B1058" s="804" t="s">
        <v>11713</v>
      </c>
      <c r="C1058" s="916" t="s">
        <v>12388</v>
      </c>
      <c r="D1058" s="804" t="s">
        <v>12389</v>
      </c>
      <c r="E1058" s="517" t="s">
        <v>6553</v>
      </c>
      <c r="F1058" s="664">
        <v>1199</v>
      </c>
      <c r="G1058" s="55">
        <v>278779.49</v>
      </c>
      <c r="H1058" s="180"/>
      <c r="I1058" s="802" t="s">
        <v>14586</v>
      </c>
      <c r="J1058" s="952"/>
      <c r="L1058" s="22"/>
    </row>
    <row r="1059" spans="1:12" s="950" customFormat="1" ht="56.25" x14ac:dyDescent="0.2">
      <c r="A1059" s="804" t="s">
        <v>12390</v>
      </c>
      <c r="B1059" s="804" t="s">
        <v>11713</v>
      </c>
      <c r="C1059" s="916" t="s">
        <v>12391</v>
      </c>
      <c r="D1059" s="804" t="s">
        <v>12392</v>
      </c>
      <c r="E1059" s="517" t="s">
        <v>6553</v>
      </c>
      <c r="F1059" s="664">
        <v>1199</v>
      </c>
      <c r="G1059" s="55">
        <v>278779.49</v>
      </c>
      <c r="H1059" s="180"/>
      <c r="I1059" s="802" t="s">
        <v>14586</v>
      </c>
      <c r="J1059" s="952"/>
      <c r="L1059" s="22"/>
    </row>
    <row r="1060" spans="1:12" s="950" customFormat="1" ht="56.25" x14ac:dyDescent="0.2">
      <c r="A1060" s="804" t="s">
        <v>12393</v>
      </c>
      <c r="B1060" s="804" t="s">
        <v>11713</v>
      </c>
      <c r="C1060" s="916" t="s">
        <v>12394</v>
      </c>
      <c r="D1060" s="804" t="s">
        <v>12395</v>
      </c>
      <c r="E1060" s="517" t="s">
        <v>6553</v>
      </c>
      <c r="F1060" s="664">
        <v>1201</v>
      </c>
      <c r="G1060" s="55">
        <v>279244.51</v>
      </c>
      <c r="H1060" s="180"/>
      <c r="I1060" s="802" t="s">
        <v>14586</v>
      </c>
      <c r="J1060" s="952"/>
      <c r="L1060" s="22"/>
    </row>
    <row r="1061" spans="1:12" s="950" customFormat="1" ht="56.25" x14ac:dyDescent="0.2">
      <c r="A1061" s="804" t="s">
        <v>12396</v>
      </c>
      <c r="B1061" s="804" t="s">
        <v>11713</v>
      </c>
      <c r="C1061" s="916" t="s">
        <v>12397</v>
      </c>
      <c r="D1061" s="804" t="s">
        <v>12398</v>
      </c>
      <c r="E1061" s="517" t="s">
        <v>6553</v>
      </c>
      <c r="F1061" s="664">
        <v>1201</v>
      </c>
      <c r="G1061" s="55">
        <v>279244.51</v>
      </c>
      <c r="H1061" s="180"/>
      <c r="I1061" s="802" t="s">
        <v>14586</v>
      </c>
      <c r="J1061" s="952"/>
      <c r="L1061" s="22"/>
    </row>
    <row r="1062" spans="1:12" s="950" customFormat="1" ht="56.25" x14ac:dyDescent="0.2">
      <c r="A1062" s="804" t="s">
        <v>12405</v>
      </c>
      <c r="B1062" s="804" t="s">
        <v>11713</v>
      </c>
      <c r="C1062" s="916" t="s">
        <v>12406</v>
      </c>
      <c r="D1062" s="804" t="s">
        <v>12407</v>
      </c>
      <c r="E1062" s="517" t="s">
        <v>6553</v>
      </c>
      <c r="F1062" s="667">
        <v>1200</v>
      </c>
      <c r="G1062" s="516">
        <v>279012</v>
      </c>
      <c r="H1062" s="180"/>
      <c r="I1062" s="802" t="s">
        <v>14586</v>
      </c>
      <c r="J1062" s="952"/>
      <c r="L1062" s="22"/>
    </row>
    <row r="1063" spans="1:12" s="950" customFormat="1" ht="56.25" x14ac:dyDescent="0.2">
      <c r="A1063" s="804" t="s">
        <v>12408</v>
      </c>
      <c r="B1063" s="804" t="s">
        <v>11713</v>
      </c>
      <c r="C1063" s="916" t="s">
        <v>12409</v>
      </c>
      <c r="D1063" s="804" t="s">
        <v>12410</v>
      </c>
      <c r="E1063" s="517" t="s">
        <v>6553</v>
      </c>
      <c r="F1063" s="664">
        <v>1199</v>
      </c>
      <c r="G1063" s="55">
        <v>278779.49</v>
      </c>
      <c r="H1063" s="180"/>
      <c r="I1063" s="802" t="s">
        <v>14586</v>
      </c>
      <c r="J1063" s="952"/>
      <c r="L1063" s="22"/>
    </row>
    <row r="1064" spans="1:12" s="950" customFormat="1" ht="67.5" x14ac:dyDescent="0.2">
      <c r="A1064" s="804" t="s">
        <v>12416</v>
      </c>
      <c r="B1064" s="804" t="s">
        <v>11713</v>
      </c>
      <c r="C1064" s="916" t="s">
        <v>12417</v>
      </c>
      <c r="D1064" s="804" t="s">
        <v>12418</v>
      </c>
      <c r="E1064" s="517" t="s">
        <v>6553</v>
      </c>
      <c r="F1064" s="667">
        <v>1200</v>
      </c>
      <c r="G1064" s="516">
        <v>279012</v>
      </c>
      <c r="H1064" s="180"/>
      <c r="I1064" s="802" t="s">
        <v>14586</v>
      </c>
      <c r="J1064" s="952"/>
      <c r="L1064" s="22"/>
    </row>
    <row r="1065" spans="1:12" s="950" customFormat="1" ht="56.25" x14ac:dyDescent="0.2">
      <c r="A1065" s="804" t="s">
        <v>12419</v>
      </c>
      <c r="B1065" s="804" t="s">
        <v>11713</v>
      </c>
      <c r="C1065" s="916" t="s">
        <v>12420</v>
      </c>
      <c r="D1065" s="804" t="s">
        <v>12421</v>
      </c>
      <c r="E1065" s="517" t="s">
        <v>6553</v>
      </c>
      <c r="F1065" s="667">
        <v>1200</v>
      </c>
      <c r="G1065" s="516">
        <v>279012</v>
      </c>
      <c r="H1065" s="180"/>
      <c r="I1065" s="802" t="s">
        <v>14586</v>
      </c>
      <c r="J1065" s="952"/>
      <c r="L1065" s="22"/>
    </row>
    <row r="1066" spans="1:12" s="950" customFormat="1" ht="67.5" x14ac:dyDescent="0.2">
      <c r="A1066" s="804" t="s">
        <v>12422</v>
      </c>
      <c r="B1066" s="804" t="s">
        <v>11713</v>
      </c>
      <c r="C1066" s="916" t="s">
        <v>12423</v>
      </c>
      <c r="D1066" s="804" t="s">
        <v>12424</v>
      </c>
      <c r="E1066" s="517" t="s">
        <v>6553</v>
      </c>
      <c r="F1066" s="667">
        <v>1200</v>
      </c>
      <c r="G1066" s="516">
        <v>279012</v>
      </c>
      <c r="H1066" s="180"/>
      <c r="I1066" s="802" t="s">
        <v>14586</v>
      </c>
      <c r="J1066" s="952"/>
      <c r="L1066" s="22"/>
    </row>
    <row r="1067" spans="1:12" s="950" customFormat="1" ht="56.25" x14ac:dyDescent="0.2">
      <c r="A1067" s="804" t="s">
        <v>12425</v>
      </c>
      <c r="B1067" s="804" t="s">
        <v>11713</v>
      </c>
      <c r="C1067" s="916" t="s">
        <v>12426</v>
      </c>
      <c r="D1067" s="804" t="s">
        <v>12427</v>
      </c>
      <c r="E1067" s="517" t="s">
        <v>6553</v>
      </c>
      <c r="F1067" s="664">
        <v>1202</v>
      </c>
      <c r="G1067" s="55">
        <v>279477.02</v>
      </c>
      <c r="H1067" s="180"/>
      <c r="I1067" s="802" t="s">
        <v>14586</v>
      </c>
      <c r="J1067" s="952"/>
      <c r="L1067" s="22"/>
    </row>
    <row r="1068" spans="1:12" s="950" customFormat="1" ht="56.25" x14ac:dyDescent="0.2">
      <c r="A1068" s="804" t="s">
        <v>12428</v>
      </c>
      <c r="B1068" s="804" t="s">
        <v>11713</v>
      </c>
      <c r="C1068" s="916" t="s">
        <v>12429</v>
      </c>
      <c r="D1068" s="804" t="s">
        <v>12430</v>
      </c>
      <c r="E1068" s="517" t="s">
        <v>6553</v>
      </c>
      <c r="F1068" s="664">
        <v>1201</v>
      </c>
      <c r="G1068" s="55">
        <v>279244.51</v>
      </c>
      <c r="H1068" s="180"/>
      <c r="I1068" s="802" t="s">
        <v>14586</v>
      </c>
      <c r="J1068" s="952"/>
      <c r="L1068" s="22"/>
    </row>
    <row r="1069" spans="1:12" s="950" customFormat="1" ht="56.25" x14ac:dyDescent="0.2">
      <c r="A1069" s="804" t="s">
        <v>12431</v>
      </c>
      <c r="B1069" s="804" t="s">
        <v>11713</v>
      </c>
      <c r="C1069" s="916" t="s">
        <v>12432</v>
      </c>
      <c r="D1069" s="804" t="s">
        <v>12433</v>
      </c>
      <c r="E1069" s="517" t="s">
        <v>6553</v>
      </c>
      <c r="F1069" s="667">
        <v>1200</v>
      </c>
      <c r="G1069" s="516">
        <v>279012</v>
      </c>
      <c r="H1069" s="180"/>
      <c r="I1069" s="802" t="s">
        <v>14586</v>
      </c>
      <c r="J1069" s="952"/>
      <c r="L1069" s="22"/>
    </row>
    <row r="1070" spans="1:12" s="950" customFormat="1" ht="56.25" x14ac:dyDescent="0.2">
      <c r="A1070" s="804" t="s">
        <v>12434</v>
      </c>
      <c r="B1070" s="804" t="s">
        <v>11713</v>
      </c>
      <c r="C1070" s="916" t="s">
        <v>12435</v>
      </c>
      <c r="D1070" s="804" t="s">
        <v>12436</v>
      </c>
      <c r="E1070" s="517" t="s">
        <v>6553</v>
      </c>
      <c r="F1070" s="667">
        <v>1200</v>
      </c>
      <c r="G1070" s="516">
        <v>279012</v>
      </c>
      <c r="H1070" s="180"/>
      <c r="I1070" s="802" t="s">
        <v>14586</v>
      </c>
      <c r="J1070" s="952"/>
      <c r="L1070" s="22"/>
    </row>
    <row r="1071" spans="1:12" s="950" customFormat="1" ht="56.25" x14ac:dyDescent="0.2">
      <c r="A1071" s="804" t="s">
        <v>12437</v>
      </c>
      <c r="B1071" s="804" t="s">
        <v>11713</v>
      </c>
      <c r="C1071" s="916" t="s">
        <v>12438</v>
      </c>
      <c r="D1071" s="804" t="s">
        <v>12439</v>
      </c>
      <c r="E1071" s="517" t="s">
        <v>6553</v>
      </c>
      <c r="F1071" s="667">
        <v>1200</v>
      </c>
      <c r="G1071" s="516">
        <v>279012</v>
      </c>
      <c r="H1071" s="180"/>
      <c r="I1071" s="802" t="s">
        <v>14586</v>
      </c>
      <c r="J1071" s="952"/>
      <c r="L1071" s="22"/>
    </row>
    <row r="1072" spans="1:12" s="950" customFormat="1" ht="56.25" x14ac:dyDescent="0.2">
      <c r="A1072" s="804" t="s">
        <v>12440</v>
      </c>
      <c r="B1072" s="804" t="s">
        <v>11713</v>
      </c>
      <c r="C1072" s="916" t="s">
        <v>12441</v>
      </c>
      <c r="D1072" s="804" t="s">
        <v>12442</v>
      </c>
      <c r="E1072" s="517" t="s">
        <v>6553</v>
      </c>
      <c r="F1072" s="664">
        <v>1199</v>
      </c>
      <c r="G1072" s="55">
        <v>278779.49</v>
      </c>
      <c r="H1072" s="180"/>
      <c r="I1072" s="802" t="s">
        <v>14586</v>
      </c>
      <c r="J1072" s="952"/>
      <c r="L1072" s="22"/>
    </row>
    <row r="1073" spans="1:12" s="950" customFormat="1" ht="56.25" x14ac:dyDescent="0.2">
      <c r="A1073" s="804" t="s">
        <v>12443</v>
      </c>
      <c r="B1073" s="804" t="s">
        <v>11713</v>
      </c>
      <c r="C1073" s="916" t="s">
        <v>12444</v>
      </c>
      <c r="D1073" s="804" t="s">
        <v>12445</v>
      </c>
      <c r="E1073" s="517" t="s">
        <v>6553</v>
      </c>
      <c r="F1073" s="667">
        <v>1200</v>
      </c>
      <c r="G1073" s="516">
        <v>279012</v>
      </c>
      <c r="H1073" s="180"/>
      <c r="I1073" s="802" t="s">
        <v>14586</v>
      </c>
      <c r="J1073" s="952"/>
      <c r="L1073" s="22"/>
    </row>
    <row r="1074" spans="1:12" s="950" customFormat="1" ht="56.25" x14ac:dyDescent="0.2">
      <c r="A1074" s="850" t="s">
        <v>12446</v>
      </c>
      <c r="B1074" s="850" t="s">
        <v>11713</v>
      </c>
      <c r="C1074" s="974" t="s">
        <v>12447</v>
      </c>
      <c r="D1074" s="850" t="s">
        <v>12448</v>
      </c>
      <c r="E1074" s="978" t="s">
        <v>6553</v>
      </c>
      <c r="F1074" s="853">
        <v>1200</v>
      </c>
      <c r="G1074" s="924">
        <v>279012</v>
      </c>
      <c r="H1074" s="977"/>
      <c r="I1074" s="802" t="s">
        <v>14586</v>
      </c>
      <c r="J1074" s="952"/>
      <c r="L1074" s="22"/>
    </row>
    <row r="1075" spans="1:12" s="950" customFormat="1" ht="56.25" x14ac:dyDescent="0.2">
      <c r="A1075" s="804" t="s">
        <v>12449</v>
      </c>
      <c r="B1075" s="804" t="s">
        <v>11713</v>
      </c>
      <c r="C1075" s="916" t="s">
        <v>12450</v>
      </c>
      <c r="D1075" s="804" t="s">
        <v>12451</v>
      </c>
      <c r="E1075" s="517" t="s">
        <v>6553</v>
      </c>
      <c r="F1075" s="667">
        <v>1200</v>
      </c>
      <c r="G1075" s="516">
        <v>279012</v>
      </c>
      <c r="H1075" s="180"/>
      <c r="I1075" s="802" t="s">
        <v>14586</v>
      </c>
      <c r="J1075" s="952"/>
      <c r="L1075" s="22"/>
    </row>
    <row r="1076" spans="1:12" s="950" customFormat="1" ht="56.25" x14ac:dyDescent="0.2">
      <c r="A1076" s="804" t="s">
        <v>12452</v>
      </c>
      <c r="B1076" s="804" t="s">
        <v>11498</v>
      </c>
      <c r="C1076" s="916" t="s">
        <v>12453</v>
      </c>
      <c r="D1076" s="804" t="s">
        <v>12454</v>
      </c>
      <c r="E1076" s="517" t="s">
        <v>6553</v>
      </c>
      <c r="F1076" s="664">
        <v>1201</v>
      </c>
      <c r="G1076" s="55">
        <v>279244.51</v>
      </c>
      <c r="H1076" s="180"/>
      <c r="I1076" s="802" t="s">
        <v>14586</v>
      </c>
      <c r="J1076" s="952"/>
      <c r="L1076" s="22"/>
    </row>
    <row r="1077" spans="1:12" s="950" customFormat="1" ht="56.25" x14ac:dyDescent="0.2">
      <c r="A1077" s="804" t="s">
        <v>12455</v>
      </c>
      <c r="B1077" s="804" t="s">
        <v>11498</v>
      </c>
      <c r="C1077" s="916" t="s">
        <v>12456</v>
      </c>
      <c r="D1077" s="804" t="s">
        <v>12457</v>
      </c>
      <c r="E1077" s="517" t="s">
        <v>6553</v>
      </c>
      <c r="F1077" s="664">
        <v>1201</v>
      </c>
      <c r="G1077" s="55">
        <v>279244.51</v>
      </c>
      <c r="H1077" s="180"/>
      <c r="I1077" s="802" t="s">
        <v>14586</v>
      </c>
      <c r="J1077" s="952"/>
      <c r="L1077" s="22"/>
    </row>
    <row r="1078" spans="1:12" s="950" customFormat="1" ht="56.25" x14ac:dyDescent="0.2">
      <c r="A1078" s="804" t="s">
        <v>12458</v>
      </c>
      <c r="B1078" s="804" t="s">
        <v>11713</v>
      </c>
      <c r="C1078" s="916" t="s">
        <v>12459</v>
      </c>
      <c r="D1078" s="804" t="s">
        <v>12460</v>
      </c>
      <c r="E1078" s="517" t="s">
        <v>6553</v>
      </c>
      <c r="F1078" s="664">
        <v>1199</v>
      </c>
      <c r="G1078" s="55">
        <v>278779.49</v>
      </c>
      <c r="H1078" s="180"/>
      <c r="I1078" s="802" t="s">
        <v>14586</v>
      </c>
      <c r="J1078" s="952"/>
      <c r="L1078" s="22"/>
    </row>
    <row r="1079" spans="1:12" s="950" customFormat="1" ht="45" x14ac:dyDescent="0.2">
      <c r="A1079" s="804" t="s">
        <v>12479</v>
      </c>
      <c r="B1079" s="184" t="s">
        <v>12477</v>
      </c>
      <c r="C1079" s="184" t="s">
        <v>12042</v>
      </c>
      <c r="D1079" s="850" t="s">
        <v>12478</v>
      </c>
      <c r="E1079" s="852" t="s">
        <v>6553</v>
      </c>
      <c r="F1079" s="982">
        <v>1631</v>
      </c>
      <c r="G1079" s="925">
        <v>184890.16</v>
      </c>
      <c r="H1079" s="977"/>
      <c r="I1079" s="802" t="s">
        <v>14586</v>
      </c>
      <c r="J1079" s="953"/>
      <c r="L1079" s="22"/>
    </row>
    <row r="1080" spans="1:12" s="950" customFormat="1" ht="56.25" x14ac:dyDescent="0.2">
      <c r="A1080" s="804" t="s">
        <v>12480</v>
      </c>
      <c r="B1080" s="804" t="s">
        <v>11713</v>
      </c>
      <c r="C1080" s="669" t="s">
        <v>12481</v>
      </c>
      <c r="D1080" s="804" t="s">
        <v>12482</v>
      </c>
      <c r="E1080" s="807" t="s">
        <v>6553</v>
      </c>
      <c r="F1080" s="668">
        <v>1198</v>
      </c>
      <c r="G1080" s="123">
        <v>278546.98</v>
      </c>
      <c r="H1080" s="180"/>
      <c r="I1080" s="802" t="s">
        <v>14586</v>
      </c>
      <c r="J1080" s="952"/>
      <c r="L1080" s="22"/>
    </row>
    <row r="1081" spans="1:12" s="950" customFormat="1" ht="56.25" x14ac:dyDescent="0.2">
      <c r="A1081" s="804" t="s">
        <v>12483</v>
      </c>
      <c r="B1081" s="804" t="s">
        <v>11713</v>
      </c>
      <c r="C1081" s="669" t="s">
        <v>12484</v>
      </c>
      <c r="D1081" s="804" t="s">
        <v>12485</v>
      </c>
      <c r="E1081" s="807" t="s">
        <v>6553</v>
      </c>
      <c r="F1081" s="668">
        <v>1199</v>
      </c>
      <c r="G1081" s="123">
        <v>278779.49</v>
      </c>
      <c r="H1081" s="180"/>
      <c r="I1081" s="802" t="s">
        <v>14586</v>
      </c>
      <c r="J1081" s="952"/>
      <c r="L1081" s="22"/>
    </row>
    <row r="1082" spans="1:12" s="950" customFormat="1" ht="56.25" x14ac:dyDescent="0.2">
      <c r="A1082" s="804" t="s">
        <v>12486</v>
      </c>
      <c r="B1082" s="184" t="s">
        <v>12477</v>
      </c>
      <c r="C1082" s="669" t="s">
        <v>12487</v>
      </c>
      <c r="D1082" s="804" t="s">
        <v>12488</v>
      </c>
      <c r="E1082" s="807" t="s">
        <v>6553</v>
      </c>
      <c r="F1082" s="667">
        <v>1200</v>
      </c>
      <c r="G1082" s="516">
        <v>279012</v>
      </c>
      <c r="H1082" s="180"/>
      <c r="I1082" s="802" t="s">
        <v>14586</v>
      </c>
      <c r="J1082" s="952"/>
      <c r="L1082" s="22"/>
    </row>
    <row r="1083" spans="1:12" s="950" customFormat="1" ht="56.25" x14ac:dyDescent="0.2">
      <c r="A1083" s="804" t="s">
        <v>12489</v>
      </c>
      <c r="B1083" s="804" t="s">
        <v>11713</v>
      </c>
      <c r="C1083" s="669" t="s">
        <v>12490</v>
      </c>
      <c r="D1083" s="804" t="s">
        <v>12491</v>
      </c>
      <c r="E1083" s="807" t="s">
        <v>6553</v>
      </c>
      <c r="F1083" s="668">
        <v>1201</v>
      </c>
      <c r="G1083" s="123">
        <v>279244.51</v>
      </c>
      <c r="H1083" s="180"/>
      <c r="I1083" s="802" t="s">
        <v>14586</v>
      </c>
      <c r="J1083" s="952"/>
      <c r="L1083" s="22"/>
    </row>
    <row r="1084" spans="1:12" s="950" customFormat="1" ht="56.25" x14ac:dyDescent="0.2">
      <c r="A1084" s="804" t="s">
        <v>12492</v>
      </c>
      <c r="B1084" s="184" t="s">
        <v>12477</v>
      </c>
      <c r="C1084" s="669" t="s">
        <v>14479</v>
      </c>
      <c r="D1084" s="804" t="s">
        <v>12493</v>
      </c>
      <c r="E1084" s="807" t="s">
        <v>6553</v>
      </c>
      <c r="F1084" s="668">
        <v>1150</v>
      </c>
      <c r="G1084" s="123">
        <v>262073.5</v>
      </c>
      <c r="H1084" s="180"/>
      <c r="I1084" s="802" t="s">
        <v>14586</v>
      </c>
      <c r="J1084" s="952"/>
      <c r="L1084" s="22"/>
    </row>
    <row r="1085" spans="1:12" s="950" customFormat="1" ht="56.25" x14ac:dyDescent="0.2">
      <c r="A1085" s="804" t="s">
        <v>12517</v>
      </c>
      <c r="B1085" s="804" t="s">
        <v>11713</v>
      </c>
      <c r="C1085" s="669" t="s">
        <v>14480</v>
      </c>
      <c r="D1085" s="804" t="s">
        <v>12518</v>
      </c>
      <c r="E1085" s="807" t="s">
        <v>6553</v>
      </c>
      <c r="F1085" s="667">
        <v>1200</v>
      </c>
      <c r="G1085" s="516">
        <v>279012</v>
      </c>
      <c r="H1085" s="180"/>
      <c r="I1085" s="802" t="s">
        <v>14586</v>
      </c>
      <c r="J1085" s="952"/>
      <c r="L1085" s="22"/>
    </row>
    <row r="1086" spans="1:12" s="950" customFormat="1" ht="56.25" x14ac:dyDescent="0.2">
      <c r="A1086" s="804" t="s">
        <v>12519</v>
      </c>
      <c r="B1086" s="804" t="s">
        <v>11713</v>
      </c>
      <c r="C1086" s="669" t="s">
        <v>14481</v>
      </c>
      <c r="D1086" s="804" t="s">
        <v>12520</v>
      </c>
      <c r="E1086" s="807" t="s">
        <v>6553</v>
      </c>
      <c r="F1086" s="668">
        <v>1201</v>
      </c>
      <c r="G1086" s="123">
        <v>279244.51</v>
      </c>
      <c r="H1086" s="180"/>
      <c r="I1086" s="802" t="s">
        <v>14586</v>
      </c>
      <c r="J1086" s="952"/>
      <c r="L1086" s="22"/>
    </row>
    <row r="1087" spans="1:12" s="950" customFormat="1" ht="56.25" x14ac:dyDescent="0.2">
      <c r="A1087" s="850" t="s">
        <v>12521</v>
      </c>
      <c r="B1087" s="850" t="s">
        <v>11713</v>
      </c>
      <c r="C1087" s="983" t="s">
        <v>14482</v>
      </c>
      <c r="D1087" s="850" t="s">
        <v>12522</v>
      </c>
      <c r="E1087" s="852" t="s">
        <v>6553</v>
      </c>
      <c r="F1087" s="982">
        <v>1199</v>
      </c>
      <c r="G1087" s="925">
        <v>278779.49</v>
      </c>
      <c r="H1087" s="977"/>
      <c r="I1087" s="802" t="s">
        <v>14586</v>
      </c>
      <c r="J1087" s="952"/>
      <c r="L1087" s="22"/>
    </row>
    <row r="1088" spans="1:12" s="950" customFormat="1" ht="56.25" x14ac:dyDescent="0.2">
      <c r="A1088" s="804" t="s">
        <v>12523</v>
      </c>
      <c r="B1088" s="804" t="s">
        <v>11713</v>
      </c>
      <c r="C1088" s="669" t="s">
        <v>14483</v>
      </c>
      <c r="D1088" s="804" t="s">
        <v>12524</v>
      </c>
      <c r="E1088" s="807" t="s">
        <v>6553</v>
      </c>
      <c r="F1088" s="668">
        <v>1201</v>
      </c>
      <c r="G1088" s="123">
        <v>279244.51</v>
      </c>
      <c r="H1088" s="180"/>
      <c r="I1088" s="802" t="s">
        <v>14586</v>
      </c>
      <c r="J1088" s="952"/>
      <c r="L1088" s="22"/>
    </row>
    <row r="1089" spans="1:12" s="950" customFormat="1" ht="56.25" x14ac:dyDescent="0.2">
      <c r="A1089" s="804" t="s">
        <v>12525</v>
      </c>
      <c r="B1089" s="804" t="s">
        <v>11713</v>
      </c>
      <c r="C1089" s="669" t="s">
        <v>14484</v>
      </c>
      <c r="D1089" s="804" t="s">
        <v>12526</v>
      </c>
      <c r="E1089" s="807" t="s">
        <v>6553</v>
      </c>
      <c r="F1089" s="668">
        <v>1198</v>
      </c>
      <c r="G1089" s="123">
        <v>278546.98</v>
      </c>
      <c r="H1089" s="180"/>
      <c r="I1089" s="802" t="s">
        <v>14586</v>
      </c>
      <c r="J1089" s="952"/>
      <c r="L1089" s="22"/>
    </row>
    <row r="1090" spans="1:12" s="950" customFormat="1" ht="56.25" x14ac:dyDescent="0.2">
      <c r="A1090" s="804" t="s">
        <v>12527</v>
      </c>
      <c r="B1090" s="804" t="s">
        <v>11713</v>
      </c>
      <c r="C1090" s="669" t="s">
        <v>14485</v>
      </c>
      <c r="D1090" s="804" t="s">
        <v>12528</v>
      </c>
      <c r="E1090" s="807" t="s">
        <v>6553</v>
      </c>
      <c r="F1090" s="668">
        <v>1201</v>
      </c>
      <c r="G1090" s="123">
        <v>279244.51</v>
      </c>
      <c r="H1090" s="180"/>
      <c r="I1090" s="802" t="s">
        <v>14586</v>
      </c>
      <c r="J1090" s="952"/>
      <c r="L1090" s="22"/>
    </row>
    <row r="1091" spans="1:12" s="950" customFormat="1" ht="56.25" x14ac:dyDescent="0.2">
      <c r="A1091" s="804" t="s">
        <v>12533</v>
      </c>
      <c r="B1091" s="184" t="s">
        <v>12477</v>
      </c>
      <c r="C1091" s="669" t="s">
        <v>12534</v>
      </c>
      <c r="D1091" s="804" t="s">
        <v>12535</v>
      </c>
      <c r="E1091" s="807" t="s">
        <v>6553</v>
      </c>
      <c r="F1091" s="667">
        <v>1200</v>
      </c>
      <c r="G1091" s="516">
        <v>279012</v>
      </c>
      <c r="H1091" s="180"/>
      <c r="I1091" s="802" t="s">
        <v>14586</v>
      </c>
      <c r="J1091" s="952"/>
      <c r="L1091" s="22"/>
    </row>
    <row r="1092" spans="1:12" s="950" customFormat="1" ht="56.25" x14ac:dyDescent="0.2">
      <c r="A1092" s="804" t="s">
        <v>12536</v>
      </c>
      <c r="B1092" s="184" t="s">
        <v>11713</v>
      </c>
      <c r="C1092" s="669" t="s">
        <v>12537</v>
      </c>
      <c r="D1092" s="804" t="s">
        <v>12538</v>
      </c>
      <c r="E1092" s="807" t="s">
        <v>6553</v>
      </c>
      <c r="F1092" s="667">
        <v>1200</v>
      </c>
      <c r="G1092" s="516" t="s">
        <v>14429</v>
      </c>
      <c r="H1092" s="180"/>
      <c r="I1092" s="802" t="s">
        <v>14586</v>
      </c>
      <c r="J1092" s="952"/>
      <c r="L1092" s="22"/>
    </row>
    <row r="1093" spans="1:12" s="950" customFormat="1" ht="56.25" x14ac:dyDescent="0.2">
      <c r="A1093" s="804" t="s">
        <v>12539</v>
      </c>
      <c r="B1093" s="184" t="s">
        <v>11713</v>
      </c>
      <c r="C1093" s="669" t="s">
        <v>12540</v>
      </c>
      <c r="D1093" s="804" t="s">
        <v>12541</v>
      </c>
      <c r="E1093" s="807" t="s">
        <v>6553</v>
      </c>
      <c r="F1093" s="668">
        <v>1201</v>
      </c>
      <c r="G1093" s="123">
        <v>279244.51</v>
      </c>
      <c r="H1093" s="180"/>
      <c r="I1093" s="802" t="s">
        <v>14586</v>
      </c>
      <c r="J1093" s="952"/>
      <c r="L1093" s="22"/>
    </row>
    <row r="1094" spans="1:12" s="950" customFormat="1" ht="56.25" x14ac:dyDescent="0.2">
      <c r="A1094" s="804" t="s">
        <v>12542</v>
      </c>
      <c r="B1094" s="184" t="s">
        <v>11713</v>
      </c>
      <c r="C1094" s="669" t="s">
        <v>12543</v>
      </c>
      <c r="D1094" s="804" t="s">
        <v>12544</v>
      </c>
      <c r="E1094" s="807" t="s">
        <v>6553</v>
      </c>
      <c r="F1094" s="668">
        <v>1201</v>
      </c>
      <c r="G1094" s="123">
        <v>279244.51</v>
      </c>
      <c r="H1094" s="180"/>
      <c r="I1094" s="802" t="s">
        <v>14586</v>
      </c>
      <c r="J1094" s="952"/>
      <c r="L1094" s="22"/>
    </row>
    <row r="1095" spans="1:12" s="950" customFormat="1" ht="56.25" x14ac:dyDescent="0.2">
      <c r="A1095" s="804" t="s">
        <v>12545</v>
      </c>
      <c r="B1095" s="184" t="s">
        <v>11713</v>
      </c>
      <c r="C1095" s="669" t="s">
        <v>12546</v>
      </c>
      <c r="D1095" s="804" t="s">
        <v>12547</v>
      </c>
      <c r="E1095" s="807" t="s">
        <v>6553</v>
      </c>
      <c r="F1095" s="668">
        <v>1199</v>
      </c>
      <c r="G1095" s="123">
        <v>278779.49</v>
      </c>
      <c r="H1095" s="180"/>
      <c r="I1095" s="802" t="s">
        <v>14586</v>
      </c>
      <c r="J1095" s="952"/>
      <c r="L1095" s="22"/>
    </row>
    <row r="1096" spans="1:12" s="950" customFormat="1" ht="56.25" x14ac:dyDescent="0.2">
      <c r="A1096" s="804" t="s">
        <v>12548</v>
      </c>
      <c r="B1096" s="184" t="s">
        <v>11713</v>
      </c>
      <c r="C1096" s="669" t="s">
        <v>12549</v>
      </c>
      <c r="D1096" s="804" t="s">
        <v>12550</v>
      </c>
      <c r="E1096" s="807" t="s">
        <v>6553</v>
      </c>
      <c r="F1096" s="667">
        <v>1200</v>
      </c>
      <c r="G1096" s="516">
        <v>279012</v>
      </c>
      <c r="H1096" s="180"/>
      <c r="I1096" s="802" t="s">
        <v>14586</v>
      </c>
      <c r="J1096" s="952"/>
      <c r="L1096" s="22"/>
    </row>
    <row r="1097" spans="1:12" s="950" customFormat="1" ht="56.25" x14ac:dyDescent="0.2">
      <c r="A1097" s="850" t="s">
        <v>12551</v>
      </c>
      <c r="B1097" s="984" t="s">
        <v>11713</v>
      </c>
      <c r="C1097" s="983" t="s">
        <v>12552</v>
      </c>
      <c r="D1097" s="985" t="s">
        <v>12553</v>
      </c>
      <c r="E1097" s="986" t="s">
        <v>6553</v>
      </c>
      <c r="F1097" s="904">
        <v>1200</v>
      </c>
      <c r="G1097" s="921">
        <v>279012</v>
      </c>
      <c r="H1097" s="977"/>
      <c r="I1097" s="802" t="s">
        <v>14586</v>
      </c>
      <c r="J1097" s="952"/>
      <c r="L1097" s="22"/>
    </row>
    <row r="1098" spans="1:12" s="950" customFormat="1" ht="56.25" x14ac:dyDescent="0.2">
      <c r="A1098" s="804" t="s">
        <v>12585</v>
      </c>
      <c r="B1098" s="184" t="s">
        <v>11713</v>
      </c>
      <c r="C1098" s="669" t="s">
        <v>12586</v>
      </c>
      <c r="D1098" s="199" t="s">
        <v>12587</v>
      </c>
      <c r="E1098" s="803" t="s">
        <v>6553</v>
      </c>
      <c r="F1098" s="670">
        <v>1199</v>
      </c>
      <c r="G1098" s="123">
        <v>278779.49</v>
      </c>
      <c r="H1098" s="180"/>
      <c r="I1098" s="802" t="s">
        <v>14586</v>
      </c>
      <c r="J1098" s="952"/>
      <c r="L1098" s="22"/>
    </row>
    <row r="1099" spans="1:12" s="950" customFormat="1" ht="56.25" x14ac:dyDescent="0.2">
      <c r="A1099" s="804" t="s">
        <v>12588</v>
      </c>
      <c r="B1099" s="184" t="s">
        <v>11713</v>
      </c>
      <c r="C1099" s="669" t="s">
        <v>12589</v>
      </c>
      <c r="D1099" s="199" t="s">
        <v>12590</v>
      </c>
      <c r="E1099" s="803" t="s">
        <v>6553</v>
      </c>
      <c r="F1099" s="670">
        <v>1200</v>
      </c>
      <c r="G1099" s="55">
        <v>279012</v>
      </c>
      <c r="H1099" s="180"/>
      <c r="I1099" s="802" t="s">
        <v>14586</v>
      </c>
      <c r="J1099" s="952"/>
      <c r="L1099" s="22"/>
    </row>
    <row r="1100" spans="1:12" s="950" customFormat="1" ht="56.25" x14ac:dyDescent="0.2">
      <c r="A1100" s="804" t="s">
        <v>12591</v>
      </c>
      <c r="B1100" s="184" t="s">
        <v>11713</v>
      </c>
      <c r="C1100" s="669" t="s">
        <v>12592</v>
      </c>
      <c r="D1100" s="199" t="s">
        <v>12593</v>
      </c>
      <c r="E1100" s="803" t="s">
        <v>6553</v>
      </c>
      <c r="F1100" s="670">
        <v>1200</v>
      </c>
      <c r="G1100" s="55">
        <v>279012</v>
      </c>
      <c r="H1100" s="180"/>
      <c r="I1100" s="802" t="s">
        <v>14586</v>
      </c>
      <c r="J1100" s="952"/>
      <c r="L1100" s="22"/>
    </row>
    <row r="1101" spans="1:12" s="950" customFormat="1" ht="56.25" x14ac:dyDescent="0.2">
      <c r="A1101" s="804" t="s">
        <v>12594</v>
      </c>
      <c r="B1101" s="184" t="s">
        <v>11713</v>
      </c>
      <c r="C1101" s="669" t="s">
        <v>12595</v>
      </c>
      <c r="D1101" s="199" t="s">
        <v>12596</v>
      </c>
      <c r="E1101" s="803" t="s">
        <v>6553</v>
      </c>
      <c r="F1101" s="670">
        <v>1199</v>
      </c>
      <c r="G1101" s="123">
        <v>278779.49</v>
      </c>
      <c r="H1101" s="180"/>
      <c r="I1101" s="802" t="s">
        <v>14586</v>
      </c>
      <c r="J1101" s="952"/>
      <c r="L1101" s="22"/>
    </row>
    <row r="1102" spans="1:12" s="950" customFormat="1" ht="56.25" x14ac:dyDescent="0.2">
      <c r="A1102" s="804" t="s">
        <v>12597</v>
      </c>
      <c r="B1102" s="184" t="s">
        <v>11713</v>
      </c>
      <c r="C1102" s="669" t="s">
        <v>12598</v>
      </c>
      <c r="D1102" s="199" t="s">
        <v>12599</v>
      </c>
      <c r="E1102" s="803" t="s">
        <v>6553</v>
      </c>
      <c r="F1102" s="670">
        <v>1200</v>
      </c>
      <c r="G1102" s="55">
        <v>279012</v>
      </c>
      <c r="H1102" s="180"/>
      <c r="I1102" s="802" t="s">
        <v>14586</v>
      </c>
      <c r="J1102" s="952"/>
      <c r="L1102" s="22"/>
    </row>
    <row r="1103" spans="1:12" s="950" customFormat="1" ht="56.25" x14ac:dyDescent="0.2">
      <c r="A1103" s="804" t="s">
        <v>12600</v>
      </c>
      <c r="B1103" s="184" t="s">
        <v>12477</v>
      </c>
      <c r="C1103" s="669" t="s">
        <v>12601</v>
      </c>
      <c r="D1103" s="199" t="s">
        <v>12602</v>
      </c>
      <c r="E1103" s="803" t="s">
        <v>6553</v>
      </c>
      <c r="F1103" s="670">
        <v>1200</v>
      </c>
      <c r="G1103" s="55">
        <v>279012</v>
      </c>
      <c r="H1103" s="180"/>
      <c r="I1103" s="802" t="s">
        <v>14586</v>
      </c>
      <c r="J1103" s="952"/>
      <c r="L1103" s="22"/>
    </row>
    <row r="1104" spans="1:12" s="950" customFormat="1" ht="56.25" x14ac:dyDescent="0.2">
      <c r="A1104" s="804" t="s">
        <v>12603</v>
      </c>
      <c r="B1104" s="184" t="s">
        <v>11713</v>
      </c>
      <c r="C1104" s="669" t="s">
        <v>12604</v>
      </c>
      <c r="D1104" s="199" t="s">
        <v>12605</v>
      </c>
      <c r="E1104" s="803" t="s">
        <v>6553</v>
      </c>
      <c r="F1104" s="670">
        <v>1201</v>
      </c>
      <c r="G1104" s="123">
        <v>279244.51</v>
      </c>
      <c r="H1104" s="180"/>
      <c r="I1104" s="802" t="s">
        <v>14586</v>
      </c>
      <c r="J1104" s="952"/>
      <c r="L1104" s="22"/>
    </row>
    <row r="1105" spans="1:12" s="950" customFormat="1" ht="56.25" x14ac:dyDescent="0.2">
      <c r="A1105" s="804" t="s">
        <v>12606</v>
      </c>
      <c r="B1105" s="184" t="s">
        <v>11713</v>
      </c>
      <c r="C1105" s="669" t="s">
        <v>12607</v>
      </c>
      <c r="D1105" s="199" t="s">
        <v>12608</v>
      </c>
      <c r="E1105" s="803" t="s">
        <v>6553</v>
      </c>
      <c r="F1105" s="670">
        <v>1200</v>
      </c>
      <c r="G1105" s="55">
        <v>279012</v>
      </c>
      <c r="H1105" s="180"/>
      <c r="I1105" s="802" t="s">
        <v>14586</v>
      </c>
      <c r="J1105" s="952"/>
      <c r="L1105" s="22"/>
    </row>
    <row r="1106" spans="1:12" s="950" customFormat="1" ht="56.25" x14ac:dyDescent="0.2">
      <c r="A1106" s="804" t="s">
        <v>12609</v>
      </c>
      <c r="B1106" s="184" t="s">
        <v>11713</v>
      </c>
      <c r="C1106" s="916" t="s">
        <v>12610</v>
      </c>
      <c r="D1106" s="804" t="s">
        <v>12611</v>
      </c>
      <c r="E1106" s="803" t="s">
        <v>6553</v>
      </c>
      <c r="F1106" s="664">
        <v>1197</v>
      </c>
      <c r="G1106" s="55">
        <v>278314.46999999997</v>
      </c>
      <c r="H1106" s="180"/>
      <c r="I1106" s="802" t="s">
        <v>14586</v>
      </c>
      <c r="J1106" s="952"/>
      <c r="L1106" s="22"/>
    </row>
    <row r="1107" spans="1:12" s="950" customFormat="1" ht="56.25" x14ac:dyDescent="0.2">
      <c r="A1107" s="804" t="s">
        <v>12612</v>
      </c>
      <c r="B1107" s="184" t="s">
        <v>12477</v>
      </c>
      <c r="C1107" s="916" t="s">
        <v>12613</v>
      </c>
      <c r="D1107" s="804" t="s">
        <v>12614</v>
      </c>
      <c r="E1107" s="803" t="s">
        <v>6553</v>
      </c>
      <c r="F1107" s="664">
        <v>1200</v>
      </c>
      <c r="G1107" s="55">
        <v>279012</v>
      </c>
      <c r="H1107" s="180"/>
      <c r="I1107" s="802" t="s">
        <v>14586</v>
      </c>
      <c r="J1107" s="952"/>
      <c r="L1107" s="22"/>
    </row>
    <row r="1108" spans="1:12" s="950" customFormat="1" ht="56.25" x14ac:dyDescent="0.2">
      <c r="A1108" s="804" t="s">
        <v>12615</v>
      </c>
      <c r="B1108" s="184" t="s">
        <v>11713</v>
      </c>
      <c r="C1108" s="916" t="s">
        <v>12616</v>
      </c>
      <c r="D1108" s="804" t="s">
        <v>12617</v>
      </c>
      <c r="E1108" s="803" t="s">
        <v>6553</v>
      </c>
      <c r="F1108" s="664">
        <v>1201</v>
      </c>
      <c r="G1108" s="123">
        <v>279244.51</v>
      </c>
      <c r="H1108" s="180"/>
      <c r="I1108" s="802" t="s">
        <v>14586</v>
      </c>
      <c r="J1108" s="952"/>
      <c r="L1108" s="22"/>
    </row>
    <row r="1109" spans="1:12" s="950" customFormat="1" ht="56.25" x14ac:dyDescent="0.2">
      <c r="A1109" s="804" t="s">
        <v>12618</v>
      </c>
      <c r="B1109" s="184" t="s">
        <v>11713</v>
      </c>
      <c r="C1109" s="916" t="s">
        <v>12619</v>
      </c>
      <c r="D1109" s="804" t="s">
        <v>12620</v>
      </c>
      <c r="E1109" s="803" t="s">
        <v>6553</v>
      </c>
      <c r="F1109" s="664">
        <v>1200</v>
      </c>
      <c r="G1109" s="55">
        <v>279012</v>
      </c>
      <c r="H1109" s="180"/>
      <c r="I1109" s="802" t="s">
        <v>14586</v>
      </c>
      <c r="J1109" s="952"/>
      <c r="L1109" s="22"/>
    </row>
    <row r="1110" spans="1:12" s="950" customFormat="1" ht="56.25" x14ac:dyDescent="0.2">
      <c r="A1110" s="804" t="s">
        <v>12621</v>
      </c>
      <c r="B1110" s="184" t="s">
        <v>11713</v>
      </c>
      <c r="C1110" s="916" t="s">
        <v>12622</v>
      </c>
      <c r="D1110" s="804" t="s">
        <v>12623</v>
      </c>
      <c r="E1110" s="803" t="s">
        <v>6553</v>
      </c>
      <c r="F1110" s="664">
        <v>1200</v>
      </c>
      <c r="G1110" s="55">
        <v>279012</v>
      </c>
      <c r="H1110" s="180"/>
      <c r="I1110" s="802" t="s">
        <v>14586</v>
      </c>
      <c r="J1110" s="952"/>
      <c r="L1110" s="22"/>
    </row>
    <row r="1111" spans="1:12" s="950" customFormat="1" ht="56.25" x14ac:dyDescent="0.2">
      <c r="A1111" s="804" t="s">
        <v>12624</v>
      </c>
      <c r="B1111" s="184" t="s">
        <v>11713</v>
      </c>
      <c r="C1111" s="916" t="s">
        <v>12625</v>
      </c>
      <c r="D1111" s="804" t="s">
        <v>12626</v>
      </c>
      <c r="E1111" s="803" t="s">
        <v>6553</v>
      </c>
      <c r="F1111" s="664">
        <v>1199</v>
      </c>
      <c r="G1111" s="123">
        <v>278779.49</v>
      </c>
      <c r="H1111" s="180"/>
      <c r="I1111" s="802" t="s">
        <v>14586</v>
      </c>
      <c r="J1111" s="952"/>
      <c r="L1111" s="22"/>
    </row>
    <row r="1112" spans="1:12" s="950" customFormat="1" ht="56.25" x14ac:dyDescent="0.2">
      <c r="A1112" s="804" t="s">
        <v>12627</v>
      </c>
      <c r="B1112" s="184" t="s">
        <v>11713</v>
      </c>
      <c r="C1112" s="916" t="s">
        <v>12628</v>
      </c>
      <c r="D1112" s="804" t="s">
        <v>12629</v>
      </c>
      <c r="E1112" s="803" t="s">
        <v>6553</v>
      </c>
      <c r="F1112" s="664">
        <v>1200</v>
      </c>
      <c r="G1112" s="55">
        <v>279012</v>
      </c>
      <c r="H1112" s="180"/>
      <c r="I1112" s="802" t="s">
        <v>14586</v>
      </c>
      <c r="J1112" s="952"/>
      <c r="L1112" s="22"/>
    </row>
    <row r="1113" spans="1:12" s="950" customFormat="1" ht="56.25" x14ac:dyDescent="0.2">
      <c r="A1113" s="804" t="s">
        <v>12630</v>
      </c>
      <c r="B1113" s="184" t="s">
        <v>11713</v>
      </c>
      <c r="C1113" s="916" t="s">
        <v>12631</v>
      </c>
      <c r="D1113" s="804" t="s">
        <v>12632</v>
      </c>
      <c r="E1113" s="803" t="s">
        <v>6553</v>
      </c>
      <c r="F1113" s="664">
        <v>1200</v>
      </c>
      <c r="G1113" s="55">
        <v>279012</v>
      </c>
      <c r="H1113" s="180"/>
      <c r="I1113" s="802" t="s">
        <v>14586</v>
      </c>
      <c r="J1113" s="952"/>
      <c r="L1113" s="22"/>
    </row>
    <row r="1114" spans="1:12" s="950" customFormat="1" ht="56.25" x14ac:dyDescent="0.2">
      <c r="A1114" s="850" t="s">
        <v>12648</v>
      </c>
      <c r="B1114" s="984" t="s">
        <v>11713</v>
      </c>
      <c r="C1114" s="974" t="s">
        <v>12649</v>
      </c>
      <c r="D1114" s="850" t="s">
        <v>12650</v>
      </c>
      <c r="E1114" s="986" t="s">
        <v>6553</v>
      </c>
      <c r="F1114" s="979">
        <v>1199</v>
      </c>
      <c r="G1114" s="925">
        <v>278779.49</v>
      </c>
      <c r="H1114" s="977"/>
      <c r="I1114" s="802" t="s">
        <v>14586</v>
      </c>
      <c r="J1114" s="952"/>
      <c r="L1114" s="22"/>
    </row>
    <row r="1115" spans="1:12" s="950" customFormat="1" ht="56.25" x14ac:dyDescent="0.2">
      <c r="A1115" s="850" t="s">
        <v>12653</v>
      </c>
      <c r="B1115" s="984" t="s">
        <v>11713</v>
      </c>
      <c r="C1115" s="974" t="s">
        <v>12654</v>
      </c>
      <c r="D1115" s="850" t="s">
        <v>12655</v>
      </c>
      <c r="E1115" s="986" t="s">
        <v>6553</v>
      </c>
      <c r="F1115" s="979">
        <v>1200</v>
      </c>
      <c r="G1115" s="921">
        <v>279012</v>
      </c>
      <c r="H1115" s="977"/>
      <c r="I1115" s="802" t="s">
        <v>14586</v>
      </c>
      <c r="J1115" s="952"/>
      <c r="L1115" s="22"/>
    </row>
    <row r="1116" spans="1:12" s="950" customFormat="1" ht="56.25" x14ac:dyDescent="0.2">
      <c r="A1116" s="850" t="s">
        <v>12677</v>
      </c>
      <c r="B1116" s="984" t="s">
        <v>11713</v>
      </c>
      <c r="C1116" s="974" t="s">
        <v>14486</v>
      </c>
      <c r="D1116" s="850" t="s">
        <v>12678</v>
      </c>
      <c r="E1116" s="986" t="s">
        <v>6553</v>
      </c>
      <c r="F1116" s="979">
        <v>1482</v>
      </c>
      <c r="G1116" s="921">
        <v>167999.52</v>
      </c>
      <c r="H1116" s="977"/>
      <c r="I1116" s="802" t="s">
        <v>14586</v>
      </c>
      <c r="J1116" s="952"/>
      <c r="L1116" s="22"/>
    </row>
    <row r="1117" spans="1:12" s="950" customFormat="1" ht="56.25" x14ac:dyDescent="0.2">
      <c r="A1117" s="850" t="s">
        <v>12682</v>
      </c>
      <c r="B1117" s="984" t="s">
        <v>11713</v>
      </c>
      <c r="C1117" s="974" t="s">
        <v>12683</v>
      </c>
      <c r="D1117" s="850" t="s">
        <v>12684</v>
      </c>
      <c r="E1117" s="986" t="s">
        <v>6553</v>
      </c>
      <c r="F1117" s="979">
        <v>1200</v>
      </c>
      <c r="G1117" s="921">
        <v>136032</v>
      </c>
      <c r="H1117" s="977"/>
      <c r="I1117" s="802" t="s">
        <v>14586</v>
      </c>
      <c r="J1117" s="952"/>
      <c r="L1117" s="22"/>
    </row>
    <row r="1118" spans="1:12" s="950" customFormat="1" ht="56.25" x14ac:dyDescent="0.2">
      <c r="A1118" s="850" t="s">
        <v>12685</v>
      </c>
      <c r="B1118" s="984" t="s">
        <v>11713</v>
      </c>
      <c r="C1118" s="974" t="s">
        <v>14487</v>
      </c>
      <c r="D1118" s="850" t="s">
        <v>12686</v>
      </c>
      <c r="E1118" s="986" t="s">
        <v>6553</v>
      </c>
      <c r="F1118" s="979">
        <v>1200</v>
      </c>
      <c r="G1118" s="921">
        <v>136032</v>
      </c>
      <c r="H1118" s="977"/>
      <c r="I1118" s="802" t="s">
        <v>14586</v>
      </c>
      <c r="J1118" s="952"/>
      <c r="L1118" s="22"/>
    </row>
    <row r="1119" spans="1:12" s="950" customFormat="1" ht="56.25" x14ac:dyDescent="0.2">
      <c r="A1119" s="850" t="s">
        <v>12687</v>
      </c>
      <c r="B1119" s="984" t="s">
        <v>11713</v>
      </c>
      <c r="C1119" s="974" t="s">
        <v>14488</v>
      </c>
      <c r="D1119" s="850" t="s">
        <v>12689</v>
      </c>
      <c r="E1119" s="986" t="s">
        <v>6553</v>
      </c>
      <c r="F1119" s="979">
        <v>1200</v>
      </c>
      <c r="G1119" s="921">
        <v>136032</v>
      </c>
      <c r="H1119" s="977"/>
      <c r="I1119" s="802" t="s">
        <v>14586</v>
      </c>
      <c r="J1119" s="952"/>
      <c r="L1119" s="22"/>
    </row>
    <row r="1120" spans="1:12" s="950" customFormat="1" ht="56.25" x14ac:dyDescent="0.2">
      <c r="A1120" s="850" t="s">
        <v>12690</v>
      </c>
      <c r="B1120" s="984" t="s">
        <v>11713</v>
      </c>
      <c r="C1120" s="974" t="s">
        <v>12691</v>
      </c>
      <c r="D1120" s="850" t="s">
        <v>12692</v>
      </c>
      <c r="E1120" s="986" t="s">
        <v>6553</v>
      </c>
      <c r="F1120" s="979">
        <v>1199</v>
      </c>
      <c r="G1120" s="925">
        <v>135918.64000000001</v>
      </c>
      <c r="H1120" s="977"/>
      <c r="I1120" s="802" t="s">
        <v>14586</v>
      </c>
      <c r="J1120" s="952"/>
      <c r="L1120" s="22"/>
    </row>
    <row r="1121" spans="1:12" s="950" customFormat="1" ht="56.25" x14ac:dyDescent="0.2">
      <c r="A1121" s="850" t="s">
        <v>12693</v>
      </c>
      <c r="B1121" s="984" t="s">
        <v>11713</v>
      </c>
      <c r="C1121" s="974" t="s">
        <v>12694</v>
      </c>
      <c r="D1121" s="850" t="s">
        <v>12695</v>
      </c>
      <c r="E1121" s="986" t="s">
        <v>6553</v>
      </c>
      <c r="F1121" s="979">
        <v>1200</v>
      </c>
      <c r="G1121" s="921">
        <v>136032</v>
      </c>
      <c r="H1121" s="977"/>
      <c r="I1121" s="802" t="s">
        <v>14586</v>
      </c>
      <c r="J1121" s="952"/>
      <c r="L1121" s="22"/>
    </row>
    <row r="1122" spans="1:12" s="950" customFormat="1" ht="56.25" x14ac:dyDescent="0.2">
      <c r="A1122" s="850" t="s">
        <v>12696</v>
      </c>
      <c r="B1122" s="984" t="s">
        <v>11713</v>
      </c>
      <c r="C1122" s="974" t="s">
        <v>12697</v>
      </c>
      <c r="D1122" s="850" t="s">
        <v>12698</v>
      </c>
      <c r="E1122" s="986" t="s">
        <v>6553</v>
      </c>
      <c r="F1122" s="979">
        <v>1200</v>
      </c>
      <c r="G1122" s="921">
        <v>136032</v>
      </c>
      <c r="H1122" s="977"/>
      <c r="I1122" s="802" t="s">
        <v>14586</v>
      </c>
      <c r="J1122" s="952"/>
      <c r="L1122" s="22"/>
    </row>
    <row r="1123" spans="1:12" s="950" customFormat="1" ht="56.25" x14ac:dyDescent="0.2">
      <c r="A1123" s="850" t="s">
        <v>12699</v>
      </c>
      <c r="B1123" s="984" t="s">
        <v>11713</v>
      </c>
      <c r="C1123" s="974" t="s">
        <v>12700</v>
      </c>
      <c r="D1123" s="850" t="s">
        <v>12701</v>
      </c>
      <c r="E1123" s="986" t="s">
        <v>6553</v>
      </c>
      <c r="F1123" s="979">
        <v>1200</v>
      </c>
      <c r="G1123" s="921">
        <v>136032</v>
      </c>
      <c r="H1123" s="977"/>
      <c r="I1123" s="802" t="s">
        <v>14586</v>
      </c>
      <c r="J1123" s="952"/>
      <c r="L1123" s="22"/>
    </row>
    <row r="1124" spans="1:12" s="950" customFormat="1" ht="67.5" x14ac:dyDescent="0.2">
      <c r="A1124" s="850" t="s">
        <v>12702</v>
      </c>
      <c r="B1124" s="984" t="s">
        <v>11713</v>
      </c>
      <c r="C1124" s="974" t="s">
        <v>12703</v>
      </c>
      <c r="D1124" s="850" t="s">
        <v>12704</v>
      </c>
      <c r="E1124" s="986" t="s">
        <v>6553</v>
      </c>
      <c r="F1124" s="979">
        <v>1200</v>
      </c>
      <c r="G1124" s="921">
        <v>136032</v>
      </c>
      <c r="H1124" s="977"/>
      <c r="I1124" s="802" t="s">
        <v>14586</v>
      </c>
      <c r="J1124" s="952"/>
      <c r="L1124" s="22"/>
    </row>
    <row r="1125" spans="1:12" s="950" customFormat="1" ht="56.25" x14ac:dyDescent="0.2">
      <c r="A1125" s="850" t="s">
        <v>12705</v>
      </c>
      <c r="B1125" s="984" t="s">
        <v>11713</v>
      </c>
      <c r="C1125" s="974" t="s">
        <v>12706</v>
      </c>
      <c r="D1125" s="850" t="s">
        <v>12707</v>
      </c>
      <c r="E1125" s="986" t="s">
        <v>6553</v>
      </c>
      <c r="F1125" s="979">
        <v>1200</v>
      </c>
      <c r="G1125" s="921">
        <v>136032</v>
      </c>
      <c r="H1125" s="977"/>
      <c r="I1125" s="802" t="s">
        <v>14586</v>
      </c>
      <c r="J1125" s="952"/>
      <c r="L1125" s="22"/>
    </row>
    <row r="1126" spans="1:12" s="950" customFormat="1" ht="56.25" x14ac:dyDescent="0.2">
      <c r="A1126" s="850" t="s">
        <v>12708</v>
      </c>
      <c r="B1126" s="984" t="s">
        <v>11713</v>
      </c>
      <c r="C1126" s="974" t="s">
        <v>14489</v>
      </c>
      <c r="D1126" s="850" t="s">
        <v>12684</v>
      </c>
      <c r="E1126" s="986" t="s">
        <v>6553</v>
      </c>
      <c r="F1126" s="979">
        <v>1200</v>
      </c>
      <c r="G1126" s="921">
        <v>136032</v>
      </c>
      <c r="H1126" s="977"/>
      <c r="I1126" s="802" t="s">
        <v>14586</v>
      </c>
      <c r="J1126" s="952"/>
      <c r="L1126" s="22"/>
    </row>
    <row r="1127" spans="1:12" s="950" customFormat="1" ht="56.25" x14ac:dyDescent="0.2">
      <c r="A1127" s="850" t="s">
        <v>12709</v>
      </c>
      <c r="B1127" s="984" t="s">
        <v>11713</v>
      </c>
      <c r="C1127" s="974" t="s">
        <v>12856</v>
      </c>
      <c r="D1127" s="850" t="s">
        <v>12857</v>
      </c>
      <c r="E1127" s="986" t="s">
        <v>6553</v>
      </c>
      <c r="F1127" s="979">
        <v>1200</v>
      </c>
      <c r="G1127" s="921">
        <v>279012</v>
      </c>
      <c r="H1127" s="977"/>
      <c r="I1127" s="802" t="s">
        <v>14586</v>
      </c>
      <c r="J1127" s="952"/>
      <c r="L1127" s="22"/>
    </row>
    <row r="1128" spans="1:12" s="950" customFormat="1" ht="56.25" x14ac:dyDescent="0.2">
      <c r="A1128" s="850" t="s">
        <v>12710</v>
      </c>
      <c r="B1128" s="984" t="s">
        <v>11713</v>
      </c>
      <c r="C1128" s="974" t="s">
        <v>12688</v>
      </c>
      <c r="D1128" s="850" t="s">
        <v>12689</v>
      </c>
      <c r="E1128" s="986" t="s">
        <v>6553</v>
      </c>
      <c r="F1128" s="979">
        <v>1200</v>
      </c>
      <c r="G1128" s="921">
        <v>136032</v>
      </c>
      <c r="H1128" s="977"/>
      <c r="I1128" s="802" t="s">
        <v>14586</v>
      </c>
      <c r="J1128" s="952"/>
      <c r="L1128" s="22"/>
    </row>
    <row r="1129" spans="1:12" s="950" customFormat="1" ht="56.25" x14ac:dyDescent="0.2">
      <c r="A1129" s="850" t="s">
        <v>12711</v>
      </c>
      <c r="B1129" s="984" t="s">
        <v>11713</v>
      </c>
      <c r="C1129" s="974" t="s">
        <v>12712</v>
      </c>
      <c r="D1129" s="850" t="s">
        <v>12713</v>
      </c>
      <c r="E1129" s="986" t="s">
        <v>6553</v>
      </c>
      <c r="F1129" s="979">
        <v>1200</v>
      </c>
      <c r="G1129" s="921">
        <v>136032</v>
      </c>
      <c r="H1129" s="977"/>
      <c r="I1129" s="802" t="s">
        <v>14586</v>
      </c>
      <c r="J1129" s="952"/>
      <c r="L1129" s="22"/>
    </row>
    <row r="1130" spans="1:12" s="950" customFormat="1" ht="56.25" x14ac:dyDescent="0.2">
      <c r="A1130" s="850" t="s">
        <v>12714</v>
      </c>
      <c r="B1130" s="984" t="s">
        <v>11713</v>
      </c>
      <c r="C1130" s="974" t="s">
        <v>12715</v>
      </c>
      <c r="D1130" s="850" t="s">
        <v>12716</v>
      </c>
      <c r="E1130" s="986" t="s">
        <v>6553</v>
      </c>
      <c r="F1130" s="979">
        <v>1200</v>
      </c>
      <c r="G1130" s="921">
        <v>136032</v>
      </c>
      <c r="H1130" s="977"/>
      <c r="I1130" s="802" t="s">
        <v>14586</v>
      </c>
      <c r="J1130" s="952"/>
      <c r="L1130" s="22"/>
    </row>
    <row r="1131" spans="1:12" s="950" customFormat="1" ht="56.25" x14ac:dyDescent="0.2">
      <c r="A1131" s="850" t="s">
        <v>12717</v>
      </c>
      <c r="B1131" s="984" t="s">
        <v>11713</v>
      </c>
      <c r="C1131" s="974" t="s">
        <v>14490</v>
      </c>
      <c r="D1131" s="850" t="s">
        <v>12718</v>
      </c>
      <c r="E1131" s="986" t="s">
        <v>6553</v>
      </c>
      <c r="F1131" s="979">
        <v>1200</v>
      </c>
      <c r="G1131" s="921">
        <v>136032</v>
      </c>
      <c r="H1131" s="977"/>
      <c r="I1131" s="802" t="s">
        <v>14586</v>
      </c>
      <c r="J1131" s="952"/>
      <c r="L1131" s="22"/>
    </row>
    <row r="1132" spans="1:12" s="950" customFormat="1" ht="56.25" x14ac:dyDescent="0.2">
      <c r="A1132" s="850" t="s">
        <v>12719</v>
      </c>
      <c r="B1132" s="984" t="s">
        <v>11713</v>
      </c>
      <c r="C1132" s="974" t="s">
        <v>12720</v>
      </c>
      <c r="D1132" s="850" t="s">
        <v>12721</v>
      </c>
      <c r="E1132" s="986" t="s">
        <v>6553</v>
      </c>
      <c r="F1132" s="979">
        <v>1199</v>
      </c>
      <c r="G1132" s="925">
        <v>135918.64000000001</v>
      </c>
      <c r="H1132" s="977"/>
      <c r="I1132" s="802" t="s">
        <v>14586</v>
      </c>
      <c r="J1132" s="952"/>
      <c r="L1132" s="22"/>
    </row>
    <row r="1133" spans="1:12" s="950" customFormat="1" ht="56.25" x14ac:dyDescent="0.2">
      <c r="A1133" s="850" t="s">
        <v>12722</v>
      </c>
      <c r="B1133" s="984" t="s">
        <v>11713</v>
      </c>
      <c r="C1133" s="974" t="s">
        <v>14491</v>
      </c>
      <c r="D1133" s="850" t="s">
        <v>12723</v>
      </c>
      <c r="E1133" s="986" t="s">
        <v>6553</v>
      </c>
      <c r="F1133" s="979">
        <v>1200</v>
      </c>
      <c r="G1133" s="921">
        <v>136032</v>
      </c>
      <c r="H1133" s="977"/>
      <c r="I1133" s="802" t="s">
        <v>14586</v>
      </c>
      <c r="J1133" s="952"/>
      <c r="L1133" s="22"/>
    </row>
    <row r="1134" spans="1:12" s="950" customFormat="1" ht="56.25" x14ac:dyDescent="0.2">
      <c r="A1134" s="850" t="s">
        <v>12724</v>
      </c>
      <c r="B1134" s="984" t="s">
        <v>11713</v>
      </c>
      <c r="C1134" s="974" t="s">
        <v>14492</v>
      </c>
      <c r="D1134" s="850" t="s">
        <v>12725</v>
      </c>
      <c r="E1134" s="986" t="s">
        <v>6553</v>
      </c>
      <c r="F1134" s="979">
        <v>1200</v>
      </c>
      <c r="G1134" s="921">
        <v>136032</v>
      </c>
      <c r="H1134" s="977"/>
      <c r="I1134" s="802" t="s">
        <v>14586</v>
      </c>
      <c r="J1134" s="952"/>
      <c r="L1134" s="22"/>
    </row>
    <row r="1135" spans="1:12" s="950" customFormat="1" ht="56.25" x14ac:dyDescent="0.2">
      <c r="A1135" s="850" t="s">
        <v>12726</v>
      </c>
      <c r="B1135" s="984" t="s">
        <v>11713</v>
      </c>
      <c r="C1135" s="974" t="s">
        <v>14493</v>
      </c>
      <c r="D1135" s="850" t="s">
        <v>12727</v>
      </c>
      <c r="E1135" s="986" t="s">
        <v>6553</v>
      </c>
      <c r="F1135" s="979">
        <v>1200</v>
      </c>
      <c r="G1135" s="921">
        <v>136032</v>
      </c>
      <c r="H1135" s="977"/>
      <c r="I1135" s="802" t="s">
        <v>14586</v>
      </c>
      <c r="J1135" s="952"/>
      <c r="L1135" s="22"/>
    </row>
    <row r="1136" spans="1:12" s="950" customFormat="1" ht="56.25" x14ac:dyDescent="0.2">
      <c r="A1136" s="850" t="s">
        <v>12728</v>
      </c>
      <c r="B1136" s="984" t="s">
        <v>11713</v>
      </c>
      <c r="C1136" s="974" t="s">
        <v>14494</v>
      </c>
      <c r="D1136" s="850" t="s">
        <v>12729</v>
      </c>
      <c r="E1136" s="986" t="s">
        <v>6553</v>
      </c>
      <c r="F1136" s="979">
        <v>1200</v>
      </c>
      <c r="G1136" s="921">
        <v>136032</v>
      </c>
      <c r="H1136" s="977"/>
      <c r="I1136" s="802" t="s">
        <v>14586</v>
      </c>
      <c r="J1136" s="952"/>
      <c r="L1136" s="22"/>
    </row>
    <row r="1137" spans="1:12" s="950" customFormat="1" ht="56.25" x14ac:dyDescent="0.2">
      <c r="A1137" s="850" t="s">
        <v>12730</v>
      </c>
      <c r="B1137" s="984" t="s">
        <v>11713</v>
      </c>
      <c r="C1137" s="974" t="s">
        <v>14495</v>
      </c>
      <c r="D1137" s="850" t="s">
        <v>12731</v>
      </c>
      <c r="E1137" s="986" t="s">
        <v>6553</v>
      </c>
      <c r="F1137" s="979">
        <v>1200</v>
      </c>
      <c r="G1137" s="921">
        <v>136032</v>
      </c>
      <c r="H1137" s="977"/>
      <c r="I1137" s="802" t="s">
        <v>14586</v>
      </c>
      <c r="J1137" s="952"/>
      <c r="L1137" s="22"/>
    </row>
    <row r="1138" spans="1:12" s="950" customFormat="1" ht="56.25" x14ac:dyDescent="0.2">
      <c r="A1138" s="850" t="s">
        <v>12732</v>
      </c>
      <c r="B1138" s="984" t="s">
        <v>11713</v>
      </c>
      <c r="C1138" s="974" t="s">
        <v>14496</v>
      </c>
      <c r="D1138" s="850" t="s">
        <v>12733</v>
      </c>
      <c r="E1138" s="986" t="s">
        <v>6553</v>
      </c>
      <c r="F1138" s="979">
        <v>1200</v>
      </c>
      <c r="G1138" s="921">
        <v>136032</v>
      </c>
      <c r="H1138" s="977"/>
      <c r="I1138" s="802" t="s">
        <v>14586</v>
      </c>
      <c r="J1138" s="952"/>
      <c r="L1138" s="22"/>
    </row>
    <row r="1139" spans="1:12" s="950" customFormat="1" ht="67.5" x14ac:dyDescent="0.2">
      <c r="A1139" s="850" t="s">
        <v>12734</v>
      </c>
      <c r="B1139" s="984" t="s">
        <v>11713</v>
      </c>
      <c r="C1139" s="974" t="s">
        <v>12735</v>
      </c>
      <c r="D1139" s="850" t="s">
        <v>12736</v>
      </c>
      <c r="E1139" s="986" t="s">
        <v>6553</v>
      </c>
      <c r="F1139" s="979">
        <v>1200</v>
      </c>
      <c r="G1139" s="921">
        <v>136032</v>
      </c>
      <c r="H1139" s="977"/>
      <c r="I1139" s="802" t="s">
        <v>14586</v>
      </c>
      <c r="J1139" s="952"/>
      <c r="L1139" s="22"/>
    </row>
    <row r="1140" spans="1:12" s="950" customFormat="1" ht="56.25" x14ac:dyDescent="0.2">
      <c r="A1140" s="850" t="s">
        <v>12737</v>
      </c>
      <c r="B1140" s="984" t="s">
        <v>11713</v>
      </c>
      <c r="C1140" s="974" t="s">
        <v>12738</v>
      </c>
      <c r="D1140" s="850" t="s">
        <v>12739</v>
      </c>
      <c r="E1140" s="986" t="s">
        <v>6553</v>
      </c>
      <c r="F1140" s="979">
        <v>1200</v>
      </c>
      <c r="G1140" s="921">
        <v>136032</v>
      </c>
      <c r="H1140" s="977"/>
      <c r="I1140" s="802" t="s">
        <v>14586</v>
      </c>
      <c r="J1140" s="952"/>
      <c r="L1140" s="22"/>
    </row>
    <row r="1141" spans="1:12" s="950" customFormat="1" ht="56.25" x14ac:dyDescent="0.2">
      <c r="A1141" s="850" t="s">
        <v>12740</v>
      </c>
      <c r="B1141" s="984" t="s">
        <v>11713</v>
      </c>
      <c r="C1141" s="974" t="s">
        <v>12741</v>
      </c>
      <c r="D1141" s="850" t="s">
        <v>12742</v>
      </c>
      <c r="E1141" s="986" t="s">
        <v>6553</v>
      </c>
      <c r="F1141" s="979">
        <v>1201</v>
      </c>
      <c r="G1141" s="921">
        <v>136145.35999999999</v>
      </c>
      <c r="H1141" s="977"/>
      <c r="I1141" s="802" t="s">
        <v>14586</v>
      </c>
      <c r="J1141" s="952"/>
      <c r="L1141" s="22"/>
    </row>
    <row r="1142" spans="1:12" s="950" customFormat="1" ht="56.25" x14ac:dyDescent="0.2">
      <c r="A1142" s="850" t="s">
        <v>12743</v>
      </c>
      <c r="B1142" s="984" t="s">
        <v>11713</v>
      </c>
      <c r="C1142" s="974" t="s">
        <v>14497</v>
      </c>
      <c r="D1142" s="850" t="s">
        <v>12744</v>
      </c>
      <c r="E1142" s="986" t="s">
        <v>6553</v>
      </c>
      <c r="F1142" s="979">
        <v>1200</v>
      </c>
      <c r="G1142" s="921">
        <v>136032</v>
      </c>
      <c r="H1142" s="977"/>
      <c r="I1142" s="802" t="s">
        <v>14586</v>
      </c>
      <c r="J1142" s="952"/>
      <c r="L1142" s="22"/>
    </row>
    <row r="1143" spans="1:12" s="950" customFormat="1" ht="56.25" x14ac:dyDescent="0.2">
      <c r="A1143" s="850" t="s">
        <v>12745</v>
      </c>
      <c r="B1143" s="984" t="s">
        <v>11713</v>
      </c>
      <c r="C1143" s="974" t="s">
        <v>14498</v>
      </c>
      <c r="D1143" s="850" t="s">
        <v>12746</v>
      </c>
      <c r="E1143" s="986" t="s">
        <v>6553</v>
      </c>
      <c r="F1143" s="979">
        <v>1200</v>
      </c>
      <c r="G1143" s="921">
        <v>136032</v>
      </c>
      <c r="H1143" s="977"/>
      <c r="I1143" s="802" t="s">
        <v>14586</v>
      </c>
      <c r="J1143" s="952"/>
      <c r="L1143" s="22"/>
    </row>
    <row r="1144" spans="1:12" s="950" customFormat="1" ht="56.25" x14ac:dyDescent="0.2">
      <c r="A1144" s="850" t="s">
        <v>12747</v>
      </c>
      <c r="B1144" s="984" t="s">
        <v>11713</v>
      </c>
      <c r="C1144" s="974" t="s">
        <v>14499</v>
      </c>
      <c r="D1144" s="850" t="s">
        <v>12748</v>
      </c>
      <c r="E1144" s="986" t="s">
        <v>6553</v>
      </c>
      <c r="F1144" s="979">
        <v>1200</v>
      </c>
      <c r="G1144" s="921">
        <v>136032</v>
      </c>
      <c r="H1144" s="977"/>
      <c r="I1144" s="802" t="s">
        <v>14586</v>
      </c>
      <c r="J1144" s="952"/>
      <c r="L1144" s="22"/>
    </row>
    <row r="1145" spans="1:12" s="950" customFormat="1" ht="56.25" x14ac:dyDescent="0.2">
      <c r="A1145" s="850" t="s">
        <v>12749</v>
      </c>
      <c r="B1145" s="984" t="s">
        <v>11713</v>
      </c>
      <c r="C1145" s="974" t="s">
        <v>12750</v>
      </c>
      <c r="D1145" s="850" t="s">
        <v>12751</v>
      </c>
      <c r="E1145" s="986" t="s">
        <v>6553</v>
      </c>
      <c r="F1145" s="979">
        <v>1200</v>
      </c>
      <c r="G1145" s="921">
        <v>136032</v>
      </c>
      <c r="H1145" s="977"/>
      <c r="I1145" s="802" t="s">
        <v>14586</v>
      </c>
      <c r="J1145" s="952"/>
      <c r="L1145" s="22"/>
    </row>
    <row r="1146" spans="1:12" s="950" customFormat="1" ht="56.25" x14ac:dyDescent="0.2">
      <c r="A1146" s="979" t="s">
        <v>12752</v>
      </c>
      <c r="B1146" s="984" t="s">
        <v>11713</v>
      </c>
      <c r="C1146" s="974" t="s">
        <v>12753</v>
      </c>
      <c r="D1146" s="850" t="s">
        <v>12754</v>
      </c>
      <c r="E1146" s="986" t="s">
        <v>6553</v>
      </c>
      <c r="F1146" s="979">
        <v>1012</v>
      </c>
      <c r="G1146" s="921">
        <v>23062468</v>
      </c>
      <c r="H1146" s="977"/>
      <c r="I1146" s="802" t="s">
        <v>14586</v>
      </c>
      <c r="J1146" s="952"/>
      <c r="L1146" s="22"/>
    </row>
    <row r="1147" spans="1:12" s="950" customFormat="1" ht="56.25" x14ac:dyDescent="0.2">
      <c r="A1147" s="850" t="s">
        <v>12755</v>
      </c>
      <c r="B1147" s="984" t="s">
        <v>11713</v>
      </c>
      <c r="C1147" s="974" t="s">
        <v>12756</v>
      </c>
      <c r="D1147" s="850" t="s">
        <v>12757</v>
      </c>
      <c r="E1147" s="986" t="s">
        <v>6553</v>
      </c>
      <c r="F1147" s="979">
        <v>1200</v>
      </c>
      <c r="G1147" s="921">
        <v>136032</v>
      </c>
      <c r="H1147" s="977"/>
      <c r="I1147" s="802" t="s">
        <v>14586</v>
      </c>
      <c r="J1147" s="952"/>
      <c r="L1147" s="22"/>
    </row>
    <row r="1148" spans="1:12" s="950" customFormat="1" ht="56.25" x14ac:dyDescent="0.2">
      <c r="A1148" s="850" t="s">
        <v>12758</v>
      </c>
      <c r="B1148" s="984" t="s">
        <v>11713</v>
      </c>
      <c r="C1148" s="974" t="s">
        <v>12759</v>
      </c>
      <c r="D1148" s="850" t="s">
        <v>12760</v>
      </c>
      <c r="E1148" s="986" t="s">
        <v>6553</v>
      </c>
      <c r="F1148" s="979">
        <v>1200</v>
      </c>
      <c r="G1148" s="921">
        <v>136032</v>
      </c>
      <c r="H1148" s="977"/>
      <c r="I1148" s="802" t="s">
        <v>14586</v>
      </c>
      <c r="J1148" s="952"/>
      <c r="L1148" s="22"/>
    </row>
    <row r="1149" spans="1:12" s="950" customFormat="1" ht="56.25" x14ac:dyDescent="0.2">
      <c r="A1149" s="850" t="s">
        <v>12761</v>
      </c>
      <c r="B1149" s="984" t="s">
        <v>11713</v>
      </c>
      <c r="C1149" s="974" t="s">
        <v>12762</v>
      </c>
      <c r="D1149" s="850" t="s">
        <v>12763</v>
      </c>
      <c r="E1149" s="986" t="s">
        <v>6553</v>
      </c>
      <c r="F1149" s="979">
        <v>1201</v>
      </c>
      <c r="G1149" s="921">
        <v>136145.35999999999</v>
      </c>
      <c r="H1149" s="977"/>
      <c r="I1149" s="802" t="s">
        <v>14586</v>
      </c>
      <c r="J1149" s="952"/>
      <c r="L1149" s="22"/>
    </row>
    <row r="1150" spans="1:12" s="950" customFormat="1" ht="56.25" x14ac:dyDescent="0.2">
      <c r="A1150" s="850" t="s">
        <v>12764</v>
      </c>
      <c r="B1150" s="984" t="s">
        <v>11713</v>
      </c>
      <c r="C1150" s="974" t="s">
        <v>12765</v>
      </c>
      <c r="D1150" s="850" t="s">
        <v>12766</v>
      </c>
      <c r="E1150" s="986" t="s">
        <v>6553</v>
      </c>
      <c r="F1150" s="979">
        <v>1200</v>
      </c>
      <c r="G1150" s="921">
        <v>136032</v>
      </c>
      <c r="H1150" s="977"/>
      <c r="I1150" s="802" t="s">
        <v>14586</v>
      </c>
      <c r="J1150" s="952"/>
      <c r="L1150" s="22"/>
    </row>
    <row r="1151" spans="1:12" s="950" customFormat="1" ht="56.25" x14ac:dyDescent="0.2">
      <c r="A1151" s="850" t="s">
        <v>12767</v>
      </c>
      <c r="B1151" s="984" t="s">
        <v>11713</v>
      </c>
      <c r="C1151" s="974" t="s">
        <v>12768</v>
      </c>
      <c r="D1151" s="850" t="s">
        <v>12736</v>
      </c>
      <c r="E1151" s="986" t="s">
        <v>6553</v>
      </c>
      <c r="F1151" s="979">
        <v>1200</v>
      </c>
      <c r="G1151" s="921">
        <v>136032</v>
      </c>
      <c r="H1151" s="977"/>
      <c r="I1151" s="802" t="s">
        <v>14586</v>
      </c>
      <c r="J1151" s="952"/>
      <c r="L1151" s="22"/>
    </row>
    <row r="1152" spans="1:12" s="950" customFormat="1" ht="56.25" x14ac:dyDescent="0.2">
      <c r="A1152" s="850" t="s">
        <v>12769</v>
      </c>
      <c r="B1152" s="984" t="s">
        <v>11713</v>
      </c>
      <c r="C1152" s="974" t="s">
        <v>12770</v>
      </c>
      <c r="D1152" s="850" t="s">
        <v>12771</v>
      </c>
      <c r="E1152" s="986" t="s">
        <v>6553</v>
      </c>
      <c r="F1152" s="979">
        <v>1200</v>
      </c>
      <c r="G1152" s="921">
        <v>136032</v>
      </c>
      <c r="H1152" s="977"/>
      <c r="I1152" s="802" t="s">
        <v>14586</v>
      </c>
      <c r="J1152" s="952"/>
      <c r="L1152" s="22"/>
    </row>
    <row r="1153" spans="1:12" s="950" customFormat="1" ht="56.25" x14ac:dyDescent="0.2">
      <c r="A1153" s="850" t="s">
        <v>12772</v>
      </c>
      <c r="B1153" s="984" t="s">
        <v>11713</v>
      </c>
      <c r="C1153" s="974" t="s">
        <v>12773</v>
      </c>
      <c r="D1153" s="850" t="s">
        <v>12774</v>
      </c>
      <c r="E1153" s="986" t="s">
        <v>6553</v>
      </c>
      <c r="F1153" s="979">
        <v>1200</v>
      </c>
      <c r="G1153" s="921">
        <v>136032</v>
      </c>
      <c r="H1153" s="977"/>
      <c r="I1153" s="802" t="s">
        <v>14586</v>
      </c>
      <c r="J1153" s="952"/>
      <c r="L1153" s="22"/>
    </row>
    <row r="1154" spans="1:12" s="950" customFormat="1" ht="67.5" x14ac:dyDescent="0.2">
      <c r="A1154" s="850" t="s">
        <v>12775</v>
      </c>
      <c r="B1154" s="984" t="s">
        <v>11713</v>
      </c>
      <c r="C1154" s="974" t="s">
        <v>12785</v>
      </c>
      <c r="D1154" s="850" t="s">
        <v>12786</v>
      </c>
      <c r="E1154" s="986" t="s">
        <v>6553</v>
      </c>
      <c r="F1154" s="979">
        <v>1197</v>
      </c>
      <c r="G1154" s="921">
        <v>278314.46999999997</v>
      </c>
      <c r="H1154" s="977"/>
      <c r="I1154" s="802" t="s">
        <v>14586</v>
      </c>
      <c r="J1154" s="952"/>
      <c r="L1154" s="22"/>
    </row>
    <row r="1155" spans="1:12" s="950" customFormat="1" ht="56.25" x14ac:dyDescent="0.2">
      <c r="A1155" s="850" t="s">
        <v>12776</v>
      </c>
      <c r="B1155" s="984" t="s">
        <v>11713</v>
      </c>
      <c r="C1155" s="974" t="s">
        <v>12777</v>
      </c>
      <c r="D1155" s="850" t="s">
        <v>12778</v>
      </c>
      <c r="E1155" s="986" t="s">
        <v>6553</v>
      </c>
      <c r="F1155" s="979">
        <v>1200</v>
      </c>
      <c r="G1155" s="921">
        <v>136032</v>
      </c>
      <c r="H1155" s="977"/>
      <c r="I1155" s="802" t="s">
        <v>14586</v>
      </c>
      <c r="J1155" s="952"/>
      <c r="L1155" s="22"/>
    </row>
    <row r="1156" spans="1:12" s="950" customFormat="1" ht="56.25" x14ac:dyDescent="0.2">
      <c r="A1156" s="850" t="s">
        <v>12779</v>
      </c>
      <c r="B1156" s="984" t="s">
        <v>11713</v>
      </c>
      <c r="C1156" s="974" t="s">
        <v>12780</v>
      </c>
      <c r="D1156" s="850" t="s">
        <v>12781</v>
      </c>
      <c r="E1156" s="986" t="s">
        <v>6553</v>
      </c>
      <c r="F1156" s="979">
        <v>1200</v>
      </c>
      <c r="G1156" s="921">
        <v>136032</v>
      </c>
      <c r="H1156" s="977"/>
      <c r="I1156" s="802" t="s">
        <v>14586</v>
      </c>
      <c r="J1156" s="952"/>
      <c r="L1156" s="22"/>
    </row>
    <row r="1157" spans="1:12" s="950" customFormat="1" ht="67.5" x14ac:dyDescent="0.2">
      <c r="A1157" s="850" t="s">
        <v>12782</v>
      </c>
      <c r="B1157" s="984" t="s">
        <v>11713</v>
      </c>
      <c r="C1157" s="974" t="s">
        <v>12783</v>
      </c>
      <c r="D1157" s="850" t="s">
        <v>12784</v>
      </c>
      <c r="E1157" s="986" t="s">
        <v>6553</v>
      </c>
      <c r="F1157" s="979">
        <v>1200</v>
      </c>
      <c r="G1157" s="921">
        <v>136032</v>
      </c>
      <c r="H1157" s="977"/>
      <c r="I1157" s="802" t="s">
        <v>14586</v>
      </c>
      <c r="J1157" s="952"/>
      <c r="L1157" s="22"/>
    </row>
    <row r="1158" spans="1:12" s="950" customFormat="1" ht="56.25" x14ac:dyDescent="0.2">
      <c r="A1158" s="850" t="s">
        <v>12787</v>
      </c>
      <c r="B1158" s="984" t="s">
        <v>11713</v>
      </c>
      <c r="C1158" s="974" t="s">
        <v>12788</v>
      </c>
      <c r="D1158" s="850" t="s">
        <v>12789</v>
      </c>
      <c r="E1158" s="986" t="s">
        <v>6553</v>
      </c>
      <c r="F1158" s="979">
        <v>1145</v>
      </c>
      <c r="G1158" s="921">
        <v>129797.2</v>
      </c>
      <c r="H1158" s="977"/>
      <c r="I1158" s="802" t="s">
        <v>14586</v>
      </c>
      <c r="J1158" s="952"/>
      <c r="L1158" s="22"/>
    </row>
    <row r="1159" spans="1:12" s="950" customFormat="1" ht="56.25" x14ac:dyDescent="0.2">
      <c r="A1159" s="850" t="s">
        <v>12790</v>
      </c>
      <c r="B1159" s="984" t="s">
        <v>11713</v>
      </c>
      <c r="C1159" s="974" t="s">
        <v>12791</v>
      </c>
      <c r="D1159" s="850" t="s">
        <v>12792</v>
      </c>
      <c r="E1159" s="986" t="s">
        <v>6553</v>
      </c>
      <c r="F1159" s="979">
        <v>1130</v>
      </c>
      <c r="G1159" s="921">
        <v>128096.8</v>
      </c>
      <c r="H1159" s="977"/>
      <c r="I1159" s="802" t="s">
        <v>14586</v>
      </c>
      <c r="J1159" s="952"/>
      <c r="L1159" s="22"/>
    </row>
    <row r="1160" spans="1:12" s="950" customFormat="1" ht="56.25" x14ac:dyDescent="0.2">
      <c r="A1160" s="850" t="s">
        <v>12793</v>
      </c>
      <c r="B1160" s="984" t="s">
        <v>11713</v>
      </c>
      <c r="C1160" s="974" t="s">
        <v>12794</v>
      </c>
      <c r="D1160" s="850" t="s">
        <v>12795</v>
      </c>
      <c r="E1160" s="986" t="s">
        <v>6553</v>
      </c>
      <c r="F1160" s="979">
        <v>1199</v>
      </c>
      <c r="G1160" s="925">
        <v>135918.64000000001</v>
      </c>
      <c r="H1160" s="977"/>
      <c r="I1160" s="802" t="s">
        <v>14586</v>
      </c>
      <c r="J1160" s="952"/>
      <c r="L1160" s="22"/>
    </row>
    <row r="1161" spans="1:12" s="950" customFormat="1" ht="56.25" x14ac:dyDescent="0.2">
      <c r="A1161" s="850" t="s">
        <v>12796</v>
      </c>
      <c r="B1161" s="984" t="s">
        <v>12797</v>
      </c>
      <c r="C1161" s="974" t="s">
        <v>12798</v>
      </c>
      <c r="D1161" s="850" t="s">
        <v>12799</v>
      </c>
      <c r="E1161" s="986" t="s">
        <v>6553</v>
      </c>
      <c r="F1161" s="979">
        <v>47</v>
      </c>
      <c r="G1161" s="921">
        <v>63194.79</v>
      </c>
      <c r="H1161" s="977"/>
      <c r="I1161" s="802"/>
      <c r="J1161" s="952"/>
      <c r="L1161" s="22"/>
    </row>
    <row r="1162" spans="1:12" s="950" customFormat="1" ht="56.25" x14ac:dyDescent="0.2">
      <c r="A1162" s="850" t="s">
        <v>12800</v>
      </c>
      <c r="B1162" s="984" t="s">
        <v>12797</v>
      </c>
      <c r="C1162" s="974" t="s">
        <v>12798</v>
      </c>
      <c r="D1162" s="850" t="s">
        <v>12801</v>
      </c>
      <c r="E1162" s="986" t="s">
        <v>6553</v>
      </c>
      <c r="F1162" s="979">
        <v>40</v>
      </c>
      <c r="G1162" s="921">
        <v>53782.8</v>
      </c>
      <c r="H1162" s="977"/>
      <c r="I1162" s="802"/>
      <c r="J1162" s="952"/>
      <c r="L1162" s="22"/>
    </row>
    <row r="1163" spans="1:12" s="950" customFormat="1" ht="56.25" x14ac:dyDescent="0.2">
      <c r="A1163" s="850" t="s">
        <v>12802</v>
      </c>
      <c r="B1163" s="984" t="s">
        <v>12797</v>
      </c>
      <c r="C1163" s="974" t="s">
        <v>12803</v>
      </c>
      <c r="D1163" s="850" t="s">
        <v>12804</v>
      </c>
      <c r="E1163" s="986" t="s">
        <v>6553</v>
      </c>
      <c r="F1163" s="979">
        <v>91</v>
      </c>
      <c r="G1163" s="921">
        <v>122355.87</v>
      </c>
      <c r="H1163" s="977"/>
      <c r="I1163" s="802"/>
      <c r="J1163" s="952"/>
      <c r="L1163" s="22"/>
    </row>
    <row r="1164" spans="1:12" s="950" customFormat="1" ht="67.5" x14ac:dyDescent="0.2">
      <c r="A1164" s="850" t="s">
        <v>12805</v>
      </c>
      <c r="B1164" s="984" t="s">
        <v>11713</v>
      </c>
      <c r="C1164" s="974" t="s">
        <v>12806</v>
      </c>
      <c r="D1164" s="850" t="s">
        <v>12807</v>
      </c>
      <c r="E1164" s="986" t="s">
        <v>6553</v>
      </c>
      <c r="F1164" s="979">
        <v>1200</v>
      </c>
      <c r="G1164" s="921">
        <v>136032</v>
      </c>
      <c r="H1164" s="977"/>
      <c r="I1164" s="802" t="s">
        <v>14586</v>
      </c>
      <c r="J1164" s="952"/>
      <c r="L1164" s="22"/>
    </row>
    <row r="1165" spans="1:12" s="950" customFormat="1" ht="67.5" x14ac:dyDescent="0.2">
      <c r="A1165" s="850" t="s">
        <v>12808</v>
      </c>
      <c r="B1165" s="984" t="s">
        <v>11713</v>
      </c>
      <c r="C1165" s="974" t="s">
        <v>12809</v>
      </c>
      <c r="D1165" s="850" t="s">
        <v>12810</v>
      </c>
      <c r="E1165" s="986" t="s">
        <v>6553</v>
      </c>
      <c r="F1165" s="979">
        <v>1201</v>
      </c>
      <c r="G1165" s="921">
        <v>136145.35999999999</v>
      </c>
      <c r="H1165" s="977"/>
      <c r="I1165" s="802" t="s">
        <v>14586</v>
      </c>
      <c r="J1165" s="952"/>
      <c r="L1165" s="22"/>
    </row>
    <row r="1166" spans="1:12" s="950" customFormat="1" ht="56.25" x14ac:dyDescent="0.2">
      <c r="A1166" s="850" t="s">
        <v>12811</v>
      </c>
      <c r="B1166" s="984" t="s">
        <v>11713</v>
      </c>
      <c r="C1166" s="974" t="s">
        <v>14500</v>
      </c>
      <c r="D1166" s="850" t="s">
        <v>12812</v>
      </c>
      <c r="E1166" s="986" t="s">
        <v>6553</v>
      </c>
      <c r="F1166" s="979">
        <v>1199</v>
      </c>
      <c r="G1166" s="925">
        <v>135918.64000000001</v>
      </c>
      <c r="H1166" s="977"/>
      <c r="I1166" s="802" t="s">
        <v>14586</v>
      </c>
      <c r="J1166" s="952"/>
      <c r="L1166" s="22"/>
    </row>
    <row r="1167" spans="1:12" s="950" customFormat="1" ht="56.25" x14ac:dyDescent="0.2">
      <c r="A1167" s="850" t="s">
        <v>12813</v>
      </c>
      <c r="B1167" s="984" t="s">
        <v>11713</v>
      </c>
      <c r="C1167" s="974" t="s">
        <v>14501</v>
      </c>
      <c r="D1167" s="850" t="s">
        <v>12814</v>
      </c>
      <c r="E1167" s="986" t="s">
        <v>6553</v>
      </c>
      <c r="F1167" s="979">
        <v>1200</v>
      </c>
      <c r="G1167" s="921">
        <v>136032</v>
      </c>
      <c r="H1167" s="977"/>
      <c r="I1167" s="802" t="s">
        <v>14586</v>
      </c>
      <c r="J1167" s="952"/>
      <c r="L1167" s="22"/>
    </row>
    <row r="1168" spans="1:12" s="950" customFormat="1" ht="56.25" x14ac:dyDescent="0.2">
      <c r="A1168" s="850" t="s">
        <v>12815</v>
      </c>
      <c r="B1168" s="984" t="s">
        <v>11713</v>
      </c>
      <c r="C1168" s="974" t="s">
        <v>14502</v>
      </c>
      <c r="D1168" s="850" t="s">
        <v>12816</v>
      </c>
      <c r="E1168" s="986" t="s">
        <v>6553</v>
      </c>
      <c r="F1168" s="979">
        <v>1200</v>
      </c>
      <c r="G1168" s="921">
        <v>136032</v>
      </c>
      <c r="H1168" s="977"/>
      <c r="I1168" s="802" t="s">
        <v>14586</v>
      </c>
      <c r="J1168" s="952"/>
      <c r="L1168" s="22"/>
    </row>
    <row r="1169" spans="1:12" s="950" customFormat="1" ht="56.25" x14ac:dyDescent="0.2">
      <c r="A1169" s="850" t="s">
        <v>12817</v>
      </c>
      <c r="B1169" s="984" t="s">
        <v>11713</v>
      </c>
      <c r="C1169" s="974" t="s">
        <v>14503</v>
      </c>
      <c r="D1169" s="850" t="s">
        <v>12818</v>
      </c>
      <c r="E1169" s="986" t="s">
        <v>6553</v>
      </c>
      <c r="F1169" s="979">
        <v>1200</v>
      </c>
      <c r="G1169" s="921">
        <v>136032</v>
      </c>
      <c r="H1169" s="977"/>
      <c r="I1169" s="802" t="s">
        <v>14586</v>
      </c>
      <c r="J1169" s="952"/>
      <c r="L1169" s="22"/>
    </row>
    <row r="1170" spans="1:12" s="950" customFormat="1" ht="56.25" x14ac:dyDescent="0.2">
      <c r="A1170" s="850" t="s">
        <v>12819</v>
      </c>
      <c r="B1170" s="984" t="s">
        <v>11713</v>
      </c>
      <c r="C1170" s="974" t="s">
        <v>14504</v>
      </c>
      <c r="D1170" s="850" t="s">
        <v>12820</v>
      </c>
      <c r="E1170" s="986" t="s">
        <v>6553</v>
      </c>
      <c r="F1170" s="979">
        <v>1201</v>
      </c>
      <c r="G1170" s="921">
        <v>136145.35999999999</v>
      </c>
      <c r="H1170" s="977"/>
      <c r="I1170" s="802" t="s">
        <v>14586</v>
      </c>
      <c r="J1170" s="952"/>
      <c r="L1170" s="22"/>
    </row>
    <row r="1171" spans="1:12" s="950" customFormat="1" ht="56.25" x14ac:dyDescent="0.2">
      <c r="A1171" s="850" t="s">
        <v>12821</v>
      </c>
      <c r="B1171" s="984" t="s">
        <v>11713</v>
      </c>
      <c r="C1171" s="974" t="s">
        <v>14505</v>
      </c>
      <c r="D1171" s="850" t="s">
        <v>12822</v>
      </c>
      <c r="E1171" s="986" t="s">
        <v>6553</v>
      </c>
      <c r="F1171" s="979">
        <v>1200</v>
      </c>
      <c r="G1171" s="921">
        <v>136032</v>
      </c>
      <c r="H1171" s="977"/>
      <c r="I1171" s="802" t="s">
        <v>14586</v>
      </c>
      <c r="J1171" s="952"/>
      <c r="L1171" s="22"/>
    </row>
    <row r="1172" spans="1:12" s="950" customFormat="1" ht="67.5" x14ac:dyDescent="0.2">
      <c r="A1172" s="850" t="s">
        <v>12823</v>
      </c>
      <c r="B1172" s="984" t="s">
        <v>11713</v>
      </c>
      <c r="C1172" s="974" t="s">
        <v>12824</v>
      </c>
      <c r="D1172" s="850" t="s">
        <v>12825</v>
      </c>
      <c r="E1172" s="986" t="s">
        <v>6553</v>
      </c>
      <c r="F1172" s="979">
        <v>1200</v>
      </c>
      <c r="G1172" s="921">
        <v>136032</v>
      </c>
      <c r="H1172" s="977"/>
      <c r="I1172" s="802" t="s">
        <v>14586</v>
      </c>
      <c r="J1172" s="952"/>
      <c r="L1172" s="22"/>
    </row>
    <row r="1173" spans="1:12" s="950" customFormat="1" ht="56.25" x14ac:dyDescent="0.2">
      <c r="A1173" s="850" t="s">
        <v>12826</v>
      </c>
      <c r="B1173" s="984" t="s">
        <v>11713</v>
      </c>
      <c r="C1173" s="974" t="s">
        <v>14506</v>
      </c>
      <c r="D1173" s="850" t="s">
        <v>12827</v>
      </c>
      <c r="E1173" s="986" t="s">
        <v>6553</v>
      </c>
      <c r="F1173" s="979">
        <v>1200</v>
      </c>
      <c r="G1173" s="921">
        <v>136032</v>
      </c>
      <c r="H1173" s="977"/>
      <c r="I1173" s="802" t="s">
        <v>14586</v>
      </c>
      <c r="J1173" s="952"/>
      <c r="L1173" s="22"/>
    </row>
    <row r="1174" spans="1:12" s="950" customFormat="1" ht="56.25" x14ac:dyDescent="0.2">
      <c r="A1174" s="850" t="s">
        <v>12828</v>
      </c>
      <c r="B1174" s="984" t="s">
        <v>11713</v>
      </c>
      <c r="C1174" s="974" t="s">
        <v>12829</v>
      </c>
      <c r="D1174" s="850" t="s">
        <v>12830</v>
      </c>
      <c r="E1174" s="986" t="s">
        <v>6553</v>
      </c>
      <c r="F1174" s="979">
        <v>1200</v>
      </c>
      <c r="G1174" s="921">
        <v>136032</v>
      </c>
      <c r="H1174" s="977"/>
      <c r="I1174" s="802" t="s">
        <v>14586</v>
      </c>
      <c r="J1174" s="952"/>
      <c r="L1174" s="22"/>
    </row>
    <row r="1175" spans="1:12" s="950" customFormat="1" ht="67.5" x14ac:dyDescent="0.2">
      <c r="A1175" s="850" t="s">
        <v>12831</v>
      </c>
      <c r="B1175" s="984" t="s">
        <v>11713</v>
      </c>
      <c r="C1175" s="974" t="s">
        <v>12832</v>
      </c>
      <c r="D1175" s="850" t="s">
        <v>12833</v>
      </c>
      <c r="E1175" s="986" t="s">
        <v>6553</v>
      </c>
      <c r="F1175" s="979">
        <v>1200</v>
      </c>
      <c r="G1175" s="921">
        <v>136032</v>
      </c>
      <c r="H1175" s="977"/>
      <c r="I1175" s="802" t="s">
        <v>14586</v>
      </c>
      <c r="J1175" s="952"/>
      <c r="L1175" s="22"/>
    </row>
    <row r="1176" spans="1:12" s="950" customFormat="1" ht="56.25" x14ac:dyDescent="0.2">
      <c r="A1176" s="850" t="s">
        <v>12834</v>
      </c>
      <c r="B1176" s="984" t="s">
        <v>11713</v>
      </c>
      <c r="C1176" s="974" t="s">
        <v>12835</v>
      </c>
      <c r="D1176" s="850" t="s">
        <v>12836</v>
      </c>
      <c r="E1176" s="986" t="s">
        <v>6553</v>
      </c>
      <c r="F1176" s="979">
        <v>1200</v>
      </c>
      <c r="G1176" s="921">
        <v>136032</v>
      </c>
      <c r="H1176" s="977"/>
      <c r="I1176" s="802" t="s">
        <v>14586</v>
      </c>
      <c r="J1176" s="952"/>
      <c r="L1176" s="22"/>
    </row>
    <row r="1177" spans="1:12" s="950" customFormat="1" ht="67.5" x14ac:dyDescent="0.2">
      <c r="A1177" s="850" t="s">
        <v>12837</v>
      </c>
      <c r="B1177" s="984" t="s">
        <v>11713</v>
      </c>
      <c r="C1177" s="974" t="s">
        <v>12838</v>
      </c>
      <c r="D1177" s="850" t="s">
        <v>12839</v>
      </c>
      <c r="E1177" s="986" t="s">
        <v>6553</v>
      </c>
      <c r="F1177" s="979">
        <v>1200</v>
      </c>
      <c r="G1177" s="921">
        <v>136032</v>
      </c>
      <c r="H1177" s="977"/>
      <c r="I1177" s="802" t="s">
        <v>14586</v>
      </c>
      <c r="J1177" s="952"/>
      <c r="L1177" s="22"/>
    </row>
    <row r="1178" spans="1:12" s="950" customFormat="1" ht="56.25" x14ac:dyDescent="0.2">
      <c r="A1178" s="850" t="s">
        <v>12840</v>
      </c>
      <c r="B1178" s="984" t="s">
        <v>11713</v>
      </c>
      <c r="C1178" s="974" t="s">
        <v>14507</v>
      </c>
      <c r="D1178" s="850" t="s">
        <v>12841</v>
      </c>
      <c r="E1178" s="986" t="s">
        <v>6553</v>
      </c>
      <c r="F1178" s="979">
        <v>1200</v>
      </c>
      <c r="G1178" s="921">
        <v>136032</v>
      </c>
      <c r="H1178" s="977"/>
      <c r="I1178" s="802" t="s">
        <v>14586</v>
      </c>
      <c r="J1178" s="952"/>
      <c r="L1178" s="22"/>
    </row>
    <row r="1179" spans="1:12" s="950" customFormat="1" ht="67.5" x14ac:dyDescent="0.2">
      <c r="A1179" s="850" t="s">
        <v>12842</v>
      </c>
      <c r="B1179" s="984" t="s">
        <v>11713</v>
      </c>
      <c r="C1179" s="974" t="s">
        <v>12843</v>
      </c>
      <c r="D1179" s="850" t="s">
        <v>12844</v>
      </c>
      <c r="E1179" s="986" t="s">
        <v>6553</v>
      </c>
      <c r="F1179" s="979">
        <v>1200</v>
      </c>
      <c r="G1179" s="921">
        <v>136032</v>
      </c>
      <c r="H1179" s="977"/>
      <c r="I1179" s="802" t="s">
        <v>14586</v>
      </c>
      <c r="J1179" s="952"/>
      <c r="L1179" s="22"/>
    </row>
    <row r="1180" spans="1:12" s="950" customFormat="1" ht="56.25" x14ac:dyDescent="0.2">
      <c r="A1180" s="850" t="s">
        <v>12845</v>
      </c>
      <c r="B1180" s="984" t="s">
        <v>11713</v>
      </c>
      <c r="C1180" s="974" t="s">
        <v>12846</v>
      </c>
      <c r="D1180" s="850" t="s">
        <v>12847</v>
      </c>
      <c r="E1180" s="986" t="s">
        <v>6553</v>
      </c>
      <c r="F1180" s="979">
        <v>1200</v>
      </c>
      <c r="G1180" s="921">
        <v>136032</v>
      </c>
      <c r="H1180" s="977"/>
      <c r="I1180" s="802" t="s">
        <v>14586</v>
      </c>
      <c r="J1180" s="952"/>
      <c r="L1180" s="22"/>
    </row>
    <row r="1181" spans="1:12" s="950" customFormat="1" ht="56.25" x14ac:dyDescent="0.2">
      <c r="A1181" s="850" t="s">
        <v>12848</v>
      </c>
      <c r="B1181" s="984" t="s">
        <v>11713</v>
      </c>
      <c r="C1181" s="974" t="s">
        <v>14508</v>
      </c>
      <c r="D1181" s="850" t="s">
        <v>12849</v>
      </c>
      <c r="E1181" s="986" t="s">
        <v>6553</v>
      </c>
      <c r="F1181" s="979">
        <v>1200</v>
      </c>
      <c r="G1181" s="921">
        <v>136032</v>
      </c>
      <c r="H1181" s="977"/>
      <c r="I1181" s="802" t="s">
        <v>14586</v>
      </c>
      <c r="J1181" s="952"/>
      <c r="L1181" s="22"/>
    </row>
    <row r="1182" spans="1:12" s="950" customFormat="1" ht="56.25" x14ac:dyDescent="0.2">
      <c r="A1182" s="850" t="s">
        <v>12850</v>
      </c>
      <c r="B1182" s="984" t="s">
        <v>11713</v>
      </c>
      <c r="C1182" s="974" t="s">
        <v>14509</v>
      </c>
      <c r="D1182" s="850" t="s">
        <v>12851</v>
      </c>
      <c r="E1182" s="986" t="s">
        <v>6553</v>
      </c>
      <c r="F1182" s="979">
        <v>1200</v>
      </c>
      <c r="G1182" s="921">
        <v>176796</v>
      </c>
      <c r="H1182" s="977"/>
      <c r="I1182" s="802" t="s">
        <v>14586</v>
      </c>
      <c r="J1182" s="952"/>
      <c r="L1182" s="22"/>
    </row>
    <row r="1183" spans="1:12" s="950" customFormat="1" ht="56.25" x14ac:dyDescent="0.2">
      <c r="A1183" s="850" t="s">
        <v>12852</v>
      </c>
      <c r="B1183" s="984" t="s">
        <v>11713</v>
      </c>
      <c r="C1183" s="974" t="s">
        <v>14510</v>
      </c>
      <c r="D1183" s="850" t="s">
        <v>12853</v>
      </c>
      <c r="E1183" s="986" t="s">
        <v>6553</v>
      </c>
      <c r="F1183" s="979">
        <v>1200</v>
      </c>
      <c r="G1183" s="921">
        <v>136032</v>
      </c>
      <c r="H1183" s="977"/>
      <c r="I1183" s="802" t="s">
        <v>14586</v>
      </c>
      <c r="J1183" s="952"/>
      <c r="L1183" s="22"/>
    </row>
    <row r="1184" spans="1:12" s="950" customFormat="1" ht="56.25" x14ac:dyDescent="0.2">
      <c r="A1184" s="850" t="s">
        <v>12854</v>
      </c>
      <c r="B1184" s="984" t="s">
        <v>11713</v>
      </c>
      <c r="C1184" s="974" t="s">
        <v>14511</v>
      </c>
      <c r="D1184" s="977" t="s">
        <v>12855</v>
      </c>
      <c r="E1184" s="986" t="s">
        <v>6553</v>
      </c>
      <c r="F1184" s="979">
        <v>1199</v>
      </c>
      <c r="G1184" s="925">
        <v>135918.64000000001</v>
      </c>
      <c r="H1184" s="977"/>
      <c r="I1184" s="802" t="s">
        <v>14586</v>
      </c>
      <c r="J1184" s="952"/>
      <c r="L1184" s="22"/>
    </row>
    <row r="1185" spans="1:12" s="950" customFormat="1" ht="56.25" x14ac:dyDescent="0.2">
      <c r="A1185" s="850" t="s">
        <v>12858</v>
      </c>
      <c r="B1185" s="984" t="s">
        <v>11713</v>
      </c>
      <c r="C1185" s="974" t="s">
        <v>14512</v>
      </c>
      <c r="D1185" s="850" t="s">
        <v>12859</v>
      </c>
      <c r="E1185" s="986" t="s">
        <v>6553</v>
      </c>
      <c r="F1185" s="979">
        <v>1200</v>
      </c>
      <c r="G1185" s="921">
        <v>136032</v>
      </c>
      <c r="H1185" s="977"/>
      <c r="I1185" s="802" t="s">
        <v>14586</v>
      </c>
      <c r="J1185" s="952"/>
      <c r="L1185" s="22"/>
    </row>
    <row r="1186" spans="1:12" s="950" customFormat="1" ht="56.25" x14ac:dyDescent="0.2">
      <c r="A1186" s="850" t="s">
        <v>12860</v>
      </c>
      <c r="B1186" s="984" t="s">
        <v>11713</v>
      </c>
      <c r="C1186" s="974" t="s">
        <v>14513</v>
      </c>
      <c r="D1186" s="850" t="s">
        <v>12861</v>
      </c>
      <c r="E1186" s="986" t="s">
        <v>6553</v>
      </c>
      <c r="F1186" s="979">
        <v>1200</v>
      </c>
      <c r="G1186" s="921">
        <v>136032</v>
      </c>
      <c r="H1186" s="977"/>
      <c r="I1186" s="802" t="s">
        <v>14586</v>
      </c>
      <c r="J1186" s="952"/>
      <c r="L1186" s="22"/>
    </row>
    <row r="1187" spans="1:12" s="950" customFormat="1" ht="56.25" x14ac:dyDescent="0.2">
      <c r="A1187" s="850" t="s">
        <v>12862</v>
      </c>
      <c r="B1187" s="984" t="s">
        <v>11713</v>
      </c>
      <c r="C1187" s="974" t="s">
        <v>14514</v>
      </c>
      <c r="D1187" s="850" t="s">
        <v>12863</v>
      </c>
      <c r="E1187" s="986" t="s">
        <v>6553</v>
      </c>
      <c r="F1187" s="979">
        <v>1200</v>
      </c>
      <c r="G1187" s="921">
        <v>136032</v>
      </c>
      <c r="H1187" s="977"/>
      <c r="I1187" s="802" t="s">
        <v>14586</v>
      </c>
      <c r="J1187" s="952"/>
      <c r="L1187" s="22"/>
    </row>
    <row r="1188" spans="1:12" s="950" customFormat="1" ht="56.25" x14ac:dyDescent="0.2">
      <c r="A1188" s="850" t="s">
        <v>12864</v>
      </c>
      <c r="B1188" s="984" t="s">
        <v>11713</v>
      </c>
      <c r="C1188" s="974" t="s">
        <v>14515</v>
      </c>
      <c r="D1188" s="850" t="s">
        <v>12865</v>
      </c>
      <c r="E1188" s="986" t="s">
        <v>6553</v>
      </c>
      <c r="F1188" s="979">
        <v>1200</v>
      </c>
      <c r="G1188" s="921">
        <v>136032</v>
      </c>
      <c r="H1188" s="977"/>
      <c r="I1188" s="802" t="s">
        <v>14586</v>
      </c>
      <c r="J1188" s="952"/>
      <c r="L1188" s="22"/>
    </row>
    <row r="1189" spans="1:12" s="950" customFormat="1" ht="67.5" x14ac:dyDescent="0.2">
      <c r="A1189" s="850" t="s">
        <v>12866</v>
      </c>
      <c r="B1189" s="984" t="s">
        <v>11713</v>
      </c>
      <c r="C1189" s="974" t="s">
        <v>12867</v>
      </c>
      <c r="D1189" s="850" t="s">
        <v>12868</v>
      </c>
      <c r="E1189" s="986" t="s">
        <v>6553</v>
      </c>
      <c r="F1189" s="979">
        <v>1200</v>
      </c>
      <c r="G1189" s="921">
        <v>136032</v>
      </c>
      <c r="H1189" s="977"/>
      <c r="I1189" s="802" t="s">
        <v>14586</v>
      </c>
      <c r="J1189" s="952"/>
      <c r="L1189" s="22"/>
    </row>
    <row r="1190" spans="1:12" s="950" customFormat="1" ht="56.25" x14ac:dyDescent="0.2">
      <c r="A1190" s="850" t="s">
        <v>12869</v>
      </c>
      <c r="B1190" s="984" t="s">
        <v>11713</v>
      </c>
      <c r="C1190" s="974" t="s">
        <v>14516</v>
      </c>
      <c r="D1190" s="850" t="s">
        <v>12870</v>
      </c>
      <c r="E1190" s="986" t="s">
        <v>6553</v>
      </c>
      <c r="F1190" s="979">
        <v>1200</v>
      </c>
      <c r="G1190" s="921">
        <v>136032</v>
      </c>
      <c r="H1190" s="977"/>
      <c r="I1190" s="802" t="s">
        <v>14586</v>
      </c>
      <c r="J1190" s="952"/>
      <c r="L1190" s="22"/>
    </row>
    <row r="1191" spans="1:12" s="950" customFormat="1" ht="56.25" x14ac:dyDescent="0.2">
      <c r="A1191" s="850" t="s">
        <v>12871</v>
      </c>
      <c r="B1191" s="984" t="s">
        <v>11713</v>
      </c>
      <c r="C1191" s="974" t="s">
        <v>14517</v>
      </c>
      <c r="D1191" s="977" t="s">
        <v>12872</v>
      </c>
      <c r="E1191" s="986" t="s">
        <v>6553</v>
      </c>
      <c r="F1191" s="979">
        <v>1201</v>
      </c>
      <c r="G1191" s="921" t="s">
        <v>12892</v>
      </c>
      <c r="H1191" s="977"/>
      <c r="I1191" s="802" t="s">
        <v>14586</v>
      </c>
      <c r="J1191" s="952"/>
      <c r="L1191" s="22"/>
    </row>
    <row r="1192" spans="1:12" s="950" customFormat="1" ht="56.25" x14ac:dyDescent="0.2">
      <c r="A1192" s="850" t="s">
        <v>12873</v>
      </c>
      <c r="B1192" s="984" t="s">
        <v>11713</v>
      </c>
      <c r="C1192" s="974" t="s">
        <v>14518</v>
      </c>
      <c r="D1192" s="850" t="s">
        <v>12874</v>
      </c>
      <c r="E1192" s="986" t="s">
        <v>6553</v>
      </c>
      <c r="F1192" s="979">
        <v>1200</v>
      </c>
      <c r="G1192" s="921">
        <v>136032</v>
      </c>
      <c r="H1192" s="977"/>
      <c r="I1192" s="802" t="s">
        <v>14586</v>
      </c>
      <c r="J1192" s="952"/>
      <c r="L1192" s="22"/>
    </row>
    <row r="1193" spans="1:12" s="950" customFormat="1" ht="56.25" x14ac:dyDescent="0.2">
      <c r="A1193" s="804" t="s">
        <v>12875</v>
      </c>
      <c r="B1193" s="184" t="s">
        <v>11713</v>
      </c>
      <c r="C1193" s="916" t="s">
        <v>14519</v>
      </c>
      <c r="D1193" s="804" t="s">
        <v>12876</v>
      </c>
      <c r="E1193" s="803" t="s">
        <v>6553</v>
      </c>
      <c r="F1193" s="664">
        <v>1199</v>
      </c>
      <c r="G1193" s="123">
        <v>135918.64000000001</v>
      </c>
      <c r="H1193" s="180"/>
      <c r="I1193" s="802" t="s">
        <v>14586</v>
      </c>
      <c r="J1193" s="952"/>
      <c r="L1193" s="22"/>
    </row>
    <row r="1194" spans="1:12" s="950" customFormat="1" ht="56.25" x14ac:dyDescent="0.2">
      <c r="A1194" s="804" t="s">
        <v>12877</v>
      </c>
      <c r="B1194" s="184" t="s">
        <v>11713</v>
      </c>
      <c r="C1194" s="916" t="s">
        <v>14520</v>
      </c>
      <c r="D1194" s="804" t="s">
        <v>12878</v>
      </c>
      <c r="E1194" s="803" t="s">
        <v>6553</v>
      </c>
      <c r="F1194" s="664">
        <v>1200</v>
      </c>
      <c r="G1194" s="55">
        <v>136032</v>
      </c>
      <c r="H1194" s="180"/>
      <c r="I1194" s="802" t="s">
        <v>14586</v>
      </c>
      <c r="J1194" s="952"/>
      <c r="L1194" s="22"/>
    </row>
    <row r="1195" spans="1:12" s="950" customFormat="1" ht="56.25" x14ac:dyDescent="0.2">
      <c r="A1195" s="804" t="s">
        <v>12879</v>
      </c>
      <c r="B1195" s="184" t="s">
        <v>11713</v>
      </c>
      <c r="C1195" s="916" t="s">
        <v>14521</v>
      </c>
      <c r="D1195" s="804" t="s">
        <v>12880</v>
      </c>
      <c r="E1195" s="803" t="s">
        <v>6553</v>
      </c>
      <c r="F1195" s="664">
        <v>1200</v>
      </c>
      <c r="G1195" s="55">
        <v>136032</v>
      </c>
      <c r="H1195" s="180"/>
      <c r="I1195" s="802" t="s">
        <v>14586</v>
      </c>
      <c r="J1195" s="952"/>
      <c r="L1195" s="22"/>
    </row>
    <row r="1196" spans="1:12" s="950" customFormat="1" ht="56.25" x14ac:dyDescent="0.2">
      <c r="A1196" s="804" t="s">
        <v>12881</v>
      </c>
      <c r="B1196" s="184" t="s">
        <v>11713</v>
      </c>
      <c r="C1196" s="916" t="s">
        <v>12882</v>
      </c>
      <c r="D1196" s="804" t="s">
        <v>12883</v>
      </c>
      <c r="E1196" s="803" t="s">
        <v>6553</v>
      </c>
      <c r="F1196" s="664">
        <v>1200</v>
      </c>
      <c r="G1196" s="55">
        <v>136032</v>
      </c>
      <c r="H1196" s="180"/>
      <c r="I1196" s="802" t="s">
        <v>14586</v>
      </c>
      <c r="J1196" s="952"/>
      <c r="L1196" s="22"/>
    </row>
    <row r="1197" spans="1:12" s="950" customFormat="1" ht="56.25" x14ac:dyDescent="0.2">
      <c r="A1197" s="804" t="s">
        <v>12884</v>
      </c>
      <c r="B1197" s="184" t="s">
        <v>11713</v>
      </c>
      <c r="C1197" s="916" t="s">
        <v>14522</v>
      </c>
      <c r="D1197" s="180" t="s">
        <v>12885</v>
      </c>
      <c r="E1197" s="803" t="s">
        <v>6553</v>
      </c>
      <c r="F1197" s="664">
        <v>1200</v>
      </c>
      <c r="G1197" s="55">
        <v>136032</v>
      </c>
      <c r="H1197" s="180"/>
      <c r="I1197" s="802" t="s">
        <v>14586</v>
      </c>
      <c r="J1197" s="952"/>
      <c r="L1197" s="22"/>
    </row>
    <row r="1198" spans="1:12" s="950" customFormat="1" ht="56.25" x14ac:dyDescent="0.2">
      <c r="A1198" s="804" t="s">
        <v>12886</v>
      </c>
      <c r="B1198" s="184" t="s">
        <v>11713</v>
      </c>
      <c r="C1198" s="916" t="s">
        <v>14523</v>
      </c>
      <c r="D1198" s="180" t="s">
        <v>12887</v>
      </c>
      <c r="E1198" s="803" t="s">
        <v>6553</v>
      </c>
      <c r="F1198" s="664">
        <v>1200</v>
      </c>
      <c r="G1198" s="55">
        <v>176796</v>
      </c>
      <c r="H1198" s="180"/>
      <c r="I1198" s="802" t="s">
        <v>14586</v>
      </c>
      <c r="J1198" s="952"/>
      <c r="L1198" s="22"/>
    </row>
    <row r="1199" spans="1:12" s="950" customFormat="1" ht="56.25" x14ac:dyDescent="0.2">
      <c r="A1199" s="804" t="s">
        <v>12888</v>
      </c>
      <c r="B1199" s="184" t="s">
        <v>11713</v>
      </c>
      <c r="C1199" s="916" t="s">
        <v>14524</v>
      </c>
      <c r="D1199" s="804" t="s">
        <v>12889</v>
      </c>
      <c r="E1199" s="803" t="s">
        <v>6553</v>
      </c>
      <c r="F1199" s="664">
        <v>1200</v>
      </c>
      <c r="G1199" s="55">
        <v>136032</v>
      </c>
      <c r="H1199" s="180"/>
      <c r="I1199" s="802" t="s">
        <v>14586</v>
      </c>
      <c r="J1199" s="952"/>
      <c r="L1199" s="22"/>
    </row>
    <row r="1200" spans="1:12" s="950" customFormat="1" ht="56.25" x14ac:dyDescent="0.2">
      <c r="A1200" s="804" t="s">
        <v>12890</v>
      </c>
      <c r="B1200" s="184" t="s">
        <v>11713</v>
      </c>
      <c r="C1200" s="916" t="s">
        <v>14525</v>
      </c>
      <c r="D1200" s="804" t="s">
        <v>12891</v>
      </c>
      <c r="E1200" s="803" t="s">
        <v>6553</v>
      </c>
      <c r="F1200" s="664">
        <v>1200</v>
      </c>
      <c r="G1200" s="55">
        <v>136032</v>
      </c>
      <c r="H1200" s="180"/>
      <c r="I1200" s="802" t="s">
        <v>14586</v>
      </c>
      <c r="J1200" s="952"/>
      <c r="L1200" s="22"/>
    </row>
    <row r="1201" spans="1:12" s="950" customFormat="1" ht="56.25" x14ac:dyDescent="0.2">
      <c r="A1201" s="804" t="s">
        <v>12893</v>
      </c>
      <c r="B1201" s="184" t="s">
        <v>11713</v>
      </c>
      <c r="C1201" s="916" t="s">
        <v>14526</v>
      </c>
      <c r="D1201" s="804" t="s">
        <v>12894</v>
      </c>
      <c r="E1201" s="803" t="s">
        <v>6553</v>
      </c>
      <c r="F1201" s="664">
        <v>1200</v>
      </c>
      <c r="G1201" s="55">
        <v>136032</v>
      </c>
      <c r="H1201" s="180"/>
      <c r="I1201" s="802" t="s">
        <v>14586</v>
      </c>
      <c r="J1201" s="952"/>
      <c r="L1201" s="22"/>
    </row>
    <row r="1202" spans="1:12" s="950" customFormat="1" ht="56.25" x14ac:dyDescent="0.2">
      <c r="A1202" s="804" t="s">
        <v>12896</v>
      </c>
      <c r="B1202" s="184" t="s">
        <v>11713</v>
      </c>
      <c r="C1202" s="916" t="s">
        <v>14527</v>
      </c>
      <c r="D1202" s="804" t="s">
        <v>12897</v>
      </c>
      <c r="E1202" s="803" t="s">
        <v>6553</v>
      </c>
      <c r="F1202" s="664">
        <v>1200</v>
      </c>
      <c r="G1202" s="55">
        <v>136032</v>
      </c>
      <c r="H1202" s="180"/>
      <c r="I1202" s="802" t="s">
        <v>14586</v>
      </c>
      <c r="J1202" s="952"/>
      <c r="L1202" s="22"/>
    </row>
    <row r="1203" spans="1:12" s="950" customFormat="1" ht="56.25" x14ac:dyDescent="0.2">
      <c r="A1203" s="804" t="s">
        <v>12898</v>
      </c>
      <c r="B1203" s="184" t="s">
        <v>12900</v>
      </c>
      <c r="C1203" s="916" t="s">
        <v>14528</v>
      </c>
      <c r="D1203" s="804" t="s">
        <v>12899</v>
      </c>
      <c r="E1203" s="803" t="s">
        <v>6553</v>
      </c>
      <c r="F1203" s="664">
        <v>3551</v>
      </c>
      <c r="G1203" s="55">
        <v>2472809.87</v>
      </c>
      <c r="H1203" s="180"/>
      <c r="I1203" s="802"/>
      <c r="J1203" s="952"/>
      <c r="L1203" s="22"/>
    </row>
    <row r="1204" spans="1:12" s="950" customFormat="1" ht="56.25" x14ac:dyDescent="0.2">
      <c r="A1204" s="804" t="s">
        <v>12901</v>
      </c>
      <c r="B1204" s="184" t="s">
        <v>11713</v>
      </c>
      <c r="C1204" s="916" t="s">
        <v>14529</v>
      </c>
      <c r="D1204" s="804" t="s">
        <v>12902</v>
      </c>
      <c r="E1204" s="803" t="s">
        <v>6553</v>
      </c>
      <c r="F1204" s="664">
        <v>1200</v>
      </c>
      <c r="G1204" s="55">
        <v>136032</v>
      </c>
      <c r="H1204" s="180"/>
      <c r="I1204" s="802" t="s">
        <v>14586</v>
      </c>
      <c r="J1204" s="952"/>
      <c r="L1204" s="22"/>
    </row>
    <row r="1205" spans="1:12" s="950" customFormat="1" ht="56.25" x14ac:dyDescent="0.2">
      <c r="A1205" s="804" t="s">
        <v>12903</v>
      </c>
      <c r="B1205" s="184" t="s">
        <v>11713</v>
      </c>
      <c r="C1205" s="916" t="s">
        <v>12910</v>
      </c>
      <c r="D1205" s="804" t="s">
        <v>12904</v>
      </c>
      <c r="E1205" s="803" t="s">
        <v>6553</v>
      </c>
      <c r="F1205" s="664">
        <v>886</v>
      </c>
      <c r="G1205" s="55" t="s">
        <v>12905</v>
      </c>
      <c r="H1205" s="180"/>
      <c r="I1205" s="802" t="s">
        <v>14586</v>
      </c>
      <c r="J1205" s="952"/>
      <c r="L1205" s="22"/>
    </row>
    <row r="1206" spans="1:12" s="950" customFormat="1" ht="56.25" x14ac:dyDescent="0.2">
      <c r="A1206" s="804" t="s">
        <v>12906</v>
      </c>
      <c r="B1206" s="184" t="s">
        <v>11713</v>
      </c>
      <c r="C1206" s="916" t="s">
        <v>14530</v>
      </c>
      <c r="D1206" s="804" t="s">
        <v>12907</v>
      </c>
      <c r="E1206" s="803" t="s">
        <v>6553</v>
      </c>
      <c r="F1206" s="664">
        <v>1199</v>
      </c>
      <c r="G1206" s="123">
        <v>135918.64000000001</v>
      </c>
      <c r="H1206" s="180"/>
      <c r="I1206" s="802" t="s">
        <v>14586</v>
      </c>
      <c r="J1206" s="952"/>
      <c r="L1206" s="22"/>
    </row>
    <row r="1207" spans="1:12" s="950" customFormat="1" ht="56.25" x14ac:dyDescent="0.2">
      <c r="A1207" s="804" t="s">
        <v>12908</v>
      </c>
      <c r="B1207" s="184" t="s">
        <v>11713</v>
      </c>
      <c r="C1207" s="916" t="s">
        <v>14531</v>
      </c>
      <c r="D1207" s="804" t="s">
        <v>12909</v>
      </c>
      <c r="E1207" s="803" t="s">
        <v>6553</v>
      </c>
      <c r="F1207" s="664">
        <v>1200</v>
      </c>
      <c r="G1207" s="55">
        <v>136032</v>
      </c>
      <c r="H1207" s="180"/>
      <c r="I1207" s="802" t="s">
        <v>14586</v>
      </c>
      <c r="J1207" s="952"/>
      <c r="L1207" s="22"/>
    </row>
    <row r="1208" spans="1:12" s="950" customFormat="1" ht="56.25" x14ac:dyDescent="0.2">
      <c r="A1208" s="804" t="s">
        <v>12911</v>
      </c>
      <c r="B1208" s="184" t="s">
        <v>11713</v>
      </c>
      <c r="C1208" s="916" t="s">
        <v>14532</v>
      </c>
      <c r="D1208" s="804" t="s">
        <v>12912</v>
      </c>
      <c r="E1208" s="803" t="s">
        <v>6553</v>
      </c>
      <c r="F1208" s="664">
        <v>1200</v>
      </c>
      <c r="G1208" s="55">
        <v>136032</v>
      </c>
      <c r="H1208" s="180"/>
      <c r="I1208" s="802" t="s">
        <v>14586</v>
      </c>
      <c r="J1208" s="952"/>
      <c r="L1208" s="22"/>
    </row>
    <row r="1209" spans="1:12" s="950" customFormat="1" ht="56.25" x14ac:dyDescent="0.2">
      <c r="A1209" s="804" t="s">
        <v>12913</v>
      </c>
      <c r="B1209" s="184" t="s">
        <v>11713</v>
      </c>
      <c r="C1209" s="916" t="s">
        <v>14533</v>
      </c>
      <c r="D1209" s="180" t="s">
        <v>12914</v>
      </c>
      <c r="E1209" s="803" t="s">
        <v>6553</v>
      </c>
      <c r="F1209" s="664">
        <v>1200</v>
      </c>
      <c r="G1209" s="55">
        <v>136032</v>
      </c>
      <c r="H1209" s="180"/>
      <c r="I1209" s="802" t="s">
        <v>14586</v>
      </c>
      <c r="J1209" s="952"/>
      <c r="L1209" s="22"/>
    </row>
    <row r="1210" spans="1:12" s="950" customFormat="1" ht="56.25" x14ac:dyDescent="0.2">
      <c r="A1210" s="804" t="s">
        <v>12915</v>
      </c>
      <c r="B1210" s="184" t="s">
        <v>11713</v>
      </c>
      <c r="C1210" s="916" t="s">
        <v>14534</v>
      </c>
      <c r="D1210" s="180" t="s">
        <v>12916</v>
      </c>
      <c r="E1210" s="803" t="s">
        <v>6553</v>
      </c>
      <c r="F1210" s="664">
        <v>1200</v>
      </c>
      <c r="G1210" s="55">
        <v>136032</v>
      </c>
      <c r="H1210" s="180"/>
      <c r="I1210" s="802" t="s">
        <v>14586</v>
      </c>
      <c r="J1210" s="952"/>
      <c r="L1210" s="22"/>
    </row>
    <row r="1211" spans="1:12" s="950" customFormat="1" ht="56.25" x14ac:dyDescent="0.2">
      <c r="A1211" s="804" t="s">
        <v>12917</v>
      </c>
      <c r="B1211" s="184" t="s">
        <v>11713</v>
      </c>
      <c r="C1211" s="916" t="s">
        <v>12918</v>
      </c>
      <c r="D1211" s="804" t="s">
        <v>12919</v>
      </c>
      <c r="E1211" s="803" t="s">
        <v>6553</v>
      </c>
      <c r="F1211" s="664">
        <v>1200</v>
      </c>
      <c r="G1211" s="55">
        <v>136032</v>
      </c>
      <c r="H1211" s="180"/>
      <c r="I1211" s="802" t="s">
        <v>14586</v>
      </c>
      <c r="J1211" s="952"/>
      <c r="L1211" s="22"/>
    </row>
    <row r="1212" spans="1:12" s="950" customFormat="1" ht="56.25" x14ac:dyDescent="0.2">
      <c r="A1212" s="804" t="s">
        <v>12920</v>
      </c>
      <c r="B1212" s="184" t="s">
        <v>11713</v>
      </c>
      <c r="C1212" s="916" t="s">
        <v>12921</v>
      </c>
      <c r="D1212" s="804" t="s">
        <v>12922</v>
      </c>
      <c r="E1212" s="803" t="s">
        <v>6553</v>
      </c>
      <c r="F1212" s="664">
        <v>1200</v>
      </c>
      <c r="G1212" s="55">
        <v>136032</v>
      </c>
      <c r="H1212" s="180"/>
      <c r="I1212" s="802" t="s">
        <v>14586</v>
      </c>
      <c r="J1212" s="952"/>
      <c r="L1212" s="22"/>
    </row>
    <row r="1213" spans="1:12" s="950" customFormat="1" ht="56.25" x14ac:dyDescent="0.2">
      <c r="A1213" s="804" t="s">
        <v>12923</v>
      </c>
      <c r="B1213" s="184" t="s">
        <v>11713</v>
      </c>
      <c r="C1213" s="916" t="s">
        <v>14535</v>
      </c>
      <c r="D1213" s="804" t="s">
        <v>12924</v>
      </c>
      <c r="E1213" s="803" t="s">
        <v>6553</v>
      </c>
      <c r="F1213" s="664">
        <v>1427</v>
      </c>
      <c r="G1213" s="55">
        <v>161764.72</v>
      </c>
      <c r="H1213" s="180"/>
      <c r="I1213" s="802" t="s">
        <v>14586</v>
      </c>
      <c r="J1213" s="952"/>
      <c r="L1213" s="22"/>
    </row>
    <row r="1214" spans="1:12" s="950" customFormat="1" ht="67.5" x14ac:dyDescent="0.2">
      <c r="A1214" s="804" t="s">
        <v>12925</v>
      </c>
      <c r="B1214" s="184" t="s">
        <v>11498</v>
      </c>
      <c r="C1214" s="916" t="s">
        <v>12926</v>
      </c>
      <c r="D1214" s="804" t="s">
        <v>12927</v>
      </c>
      <c r="E1214" s="803" t="s">
        <v>6553</v>
      </c>
      <c r="F1214" s="664">
        <v>1200</v>
      </c>
      <c r="G1214" s="55">
        <v>136032</v>
      </c>
      <c r="H1214" s="180"/>
      <c r="I1214" s="802" t="s">
        <v>14586</v>
      </c>
      <c r="J1214" s="952"/>
      <c r="L1214" s="22"/>
    </row>
    <row r="1215" spans="1:12" s="950" customFormat="1" ht="56.25" x14ac:dyDescent="0.2">
      <c r="A1215" s="804" t="s">
        <v>12928</v>
      </c>
      <c r="B1215" s="184" t="s">
        <v>11713</v>
      </c>
      <c r="C1215" s="916" t="s">
        <v>12970</v>
      </c>
      <c r="D1215" s="804" t="s">
        <v>12929</v>
      </c>
      <c r="E1215" s="803" t="s">
        <v>6553</v>
      </c>
      <c r="F1215" s="664">
        <v>1185</v>
      </c>
      <c r="G1215" s="55">
        <v>134331.6</v>
      </c>
      <c r="H1215" s="180"/>
      <c r="I1215" s="802" t="s">
        <v>14586</v>
      </c>
      <c r="J1215" s="952"/>
      <c r="L1215" s="22"/>
    </row>
    <row r="1216" spans="1:12" s="950" customFormat="1" ht="56.25" x14ac:dyDescent="0.2">
      <c r="A1216" s="804" t="s">
        <v>12930</v>
      </c>
      <c r="B1216" s="184" t="s">
        <v>11713</v>
      </c>
      <c r="C1216" s="916" t="s">
        <v>12969</v>
      </c>
      <c r="D1216" s="804" t="s">
        <v>12931</v>
      </c>
      <c r="E1216" s="803" t="s">
        <v>6553</v>
      </c>
      <c r="F1216" s="664">
        <v>1218</v>
      </c>
      <c r="G1216" s="55">
        <v>138072.48000000001</v>
      </c>
      <c r="H1216" s="180"/>
      <c r="I1216" s="802" t="s">
        <v>14586</v>
      </c>
      <c r="J1216" s="952"/>
      <c r="L1216" s="22"/>
    </row>
    <row r="1217" spans="1:12" s="950" customFormat="1" ht="56.25" x14ac:dyDescent="0.2">
      <c r="A1217" s="804" t="s">
        <v>12958</v>
      </c>
      <c r="B1217" s="184" t="s">
        <v>11713</v>
      </c>
      <c r="C1217" s="916" t="s">
        <v>12959</v>
      </c>
      <c r="D1217" s="180" t="s">
        <v>12960</v>
      </c>
      <c r="E1217" s="803" t="s">
        <v>6553</v>
      </c>
      <c r="F1217" s="664">
        <v>1200</v>
      </c>
      <c r="G1217" s="55">
        <v>136032</v>
      </c>
      <c r="H1217" s="180"/>
      <c r="I1217" s="802" t="s">
        <v>14586</v>
      </c>
      <c r="J1217" s="952"/>
      <c r="L1217" s="22"/>
    </row>
    <row r="1218" spans="1:12" s="950" customFormat="1" ht="56.25" x14ac:dyDescent="0.2">
      <c r="A1218" s="804" t="s">
        <v>12961</v>
      </c>
      <c r="B1218" s="184" t="s">
        <v>11713</v>
      </c>
      <c r="C1218" s="916" t="s">
        <v>12962</v>
      </c>
      <c r="D1218" s="180" t="s">
        <v>12963</v>
      </c>
      <c r="E1218" s="803" t="s">
        <v>6553</v>
      </c>
      <c r="F1218" s="664">
        <v>1200</v>
      </c>
      <c r="G1218" s="55">
        <v>136032</v>
      </c>
      <c r="H1218" s="180"/>
      <c r="I1218" s="802" t="s">
        <v>14586</v>
      </c>
      <c r="J1218" s="952"/>
      <c r="L1218" s="22"/>
    </row>
    <row r="1219" spans="1:12" s="950" customFormat="1" ht="56.25" x14ac:dyDescent="0.2">
      <c r="A1219" s="804" t="s">
        <v>13001</v>
      </c>
      <c r="B1219" s="184" t="s">
        <v>11713</v>
      </c>
      <c r="C1219" s="916" t="s">
        <v>13003</v>
      </c>
      <c r="D1219" s="180" t="s">
        <v>13004</v>
      </c>
      <c r="E1219" s="803" t="s">
        <v>6553</v>
      </c>
      <c r="F1219" s="664">
        <v>1200</v>
      </c>
      <c r="G1219" s="55">
        <v>176796</v>
      </c>
      <c r="H1219" s="180"/>
      <c r="I1219" s="802" t="s">
        <v>14586</v>
      </c>
      <c r="J1219" s="952"/>
      <c r="L1219" s="22"/>
    </row>
    <row r="1220" spans="1:12" s="950" customFormat="1" ht="56.25" x14ac:dyDescent="0.2">
      <c r="A1220" s="804" t="s">
        <v>13002</v>
      </c>
      <c r="B1220" s="184" t="s">
        <v>11713</v>
      </c>
      <c r="C1220" s="916" t="s">
        <v>14536</v>
      </c>
      <c r="D1220" s="804" t="s">
        <v>13005</v>
      </c>
      <c r="E1220" s="803" t="s">
        <v>6553</v>
      </c>
      <c r="F1220" s="664">
        <v>1443</v>
      </c>
      <c r="G1220" s="55">
        <v>163578.48000000001</v>
      </c>
      <c r="H1220" s="180"/>
      <c r="I1220" s="802" t="s">
        <v>14586</v>
      </c>
      <c r="J1220" s="952"/>
      <c r="L1220" s="22"/>
    </row>
    <row r="1221" spans="1:12" s="950" customFormat="1" ht="56.25" x14ac:dyDescent="0.2">
      <c r="A1221" s="804" t="s">
        <v>13006</v>
      </c>
      <c r="B1221" s="184" t="s">
        <v>11713</v>
      </c>
      <c r="C1221" s="916" t="s">
        <v>13007</v>
      </c>
      <c r="D1221" s="804" t="s">
        <v>13008</v>
      </c>
      <c r="E1221" s="803" t="s">
        <v>6553</v>
      </c>
      <c r="F1221" s="664">
        <v>1200</v>
      </c>
      <c r="G1221" s="55">
        <v>136032</v>
      </c>
      <c r="H1221" s="180"/>
      <c r="I1221" s="802" t="s">
        <v>14586</v>
      </c>
      <c r="J1221" s="952"/>
      <c r="L1221" s="22"/>
    </row>
    <row r="1222" spans="1:12" s="950" customFormat="1" ht="56.25" x14ac:dyDescent="0.2">
      <c r="A1222" s="804" t="s">
        <v>13009</v>
      </c>
      <c r="B1222" s="184" t="s">
        <v>11713</v>
      </c>
      <c r="C1222" s="916" t="s">
        <v>13010</v>
      </c>
      <c r="D1222" s="804" t="s">
        <v>13011</v>
      </c>
      <c r="E1222" s="803" t="s">
        <v>6553</v>
      </c>
      <c r="F1222" s="664">
        <v>1200</v>
      </c>
      <c r="G1222" s="55">
        <v>136032</v>
      </c>
      <c r="H1222" s="180"/>
      <c r="I1222" s="802" t="s">
        <v>14586</v>
      </c>
      <c r="J1222" s="952"/>
      <c r="L1222" s="22"/>
    </row>
    <row r="1223" spans="1:12" s="950" customFormat="1" ht="56.25" x14ac:dyDescent="0.2">
      <c r="A1223" s="804" t="s">
        <v>13016</v>
      </c>
      <c r="B1223" s="184" t="s">
        <v>11713</v>
      </c>
      <c r="C1223" s="916" t="s">
        <v>14537</v>
      </c>
      <c r="D1223" s="804" t="s">
        <v>13017</v>
      </c>
      <c r="E1223" s="803" t="s">
        <v>6553</v>
      </c>
      <c r="F1223" s="664">
        <v>1200</v>
      </c>
      <c r="G1223" s="55">
        <v>176796</v>
      </c>
      <c r="H1223" s="180"/>
      <c r="I1223" s="802" t="s">
        <v>14586</v>
      </c>
      <c r="J1223" s="952"/>
      <c r="L1223" s="22"/>
    </row>
    <row r="1224" spans="1:12" s="950" customFormat="1" ht="56.25" x14ac:dyDescent="0.2">
      <c r="A1224" s="804" t="s">
        <v>13209</v>
      </c>
      <c r="B1224" s="184" t="s">
        <v>11713</v>
      </c>
      <c r="C1224" s="916" t="s">
        <v>13210</v>
      </c>
      <c r="D1224" s="804" t="s">
        <v>13211</v>
      </c>
      <c r="E1224" s="803" t="s">
        <v>6553</v>
      </c>
      <c r="F1224" s="664">
        <v>1200</v>
      </c>
      <c r="G1224" s="55">
        <v>136032</v>
      </c>
      <c r="H1224" s="180"/>
      <c r="I1224" s="802" t="s">
        <v>14586</v>
      </c>
      <c r="J1224" s="952"/>
      <c r="L1224" s="22"/>
    </row>
    <row r="1225" spans="1:12" s="950" customFormat="1" ht="56.25" x14ac:dyDescent="0.2">
      <c r="A1225" s="804" t="s">
        <v>13212</v>
      </c>
      <c r="B1225" s="184" t="s">
        <v>11713</v>
      </c>
      <c r="C1225" s="916" t="s">
        <v>13367</v>
      </c>
      <c r="D1225" s="804" t="s">
        <v>13213</v>
      </c>
      <c r="E1225" s="803" t="s">
        <v>6553</v>
      </c>
      <c r="F1225" s="664">
        <v>1038</v>
      </c>
      <c r="G1225" s="55">
        <v>117667.68</v>
      </c>
      <c r="H1225" s="180"/>
      <c r="I1225" s="802" t="s">
        <v>14586</v>
      </c>
      <c r="J1225" s="952"/>
      <c r="L1225" s="22"/>
    </row>
    <row r="1226" spans="1:12" s="950" customFormat="1" ht="56.25" x14ac:dyDescent="0.2">
      <c r="A1226" s="804" t="s">
        <v>13215</v>
      </c>
      <c r="B1226" s="184" t="s">
        <v>11713</v>
      </c>
      <c r="C1226" s="916" t="s">
        <v>13216</v>
      </c>
      <c r="D1226" s="804" t="s">
        <v>13217</v>
      </c>
      <c r="E1226" s="803" t="s">
        <v>6553</v>
      </c>
      <c r="F1226" s="664">
        <v>1200</v>
      </c>
      <c r="G1226" s="55">
        <v>136032</v>
      </c>
      <c r="H1226" s="180"/>
      <c r="I1226" s="802" t="s">
        <v>14586</v>
      </c>
      <c r="J1226" s="952"/>
      <c r="L1226" s="22"/>
    </row>
    <row r="1227" spans="1:12" s="950" customFormat="1" ht="45" x14ac:dyDescent="0.2">
      <c r="A1227" s="804" t="s">
        <v>13385</v>
      </c>
      <c r="B1227" s="184" t="s">
        <v>11713</v>
      </c>
      <c r="C1227" s="916" t="s">
        <v>13386</v>
      </c>
      <c r="D1227" s="804" t="s">
        <v>13387</v>
      </c>
      <c r="E1227" s="803" t="s">
        <v>6553</v>
      </c>
      <c r="F1227" s="664">
        <v>1199</v>
      </c>
      <c r="G1227" s="55">
        <v>135918.64000000001</v>
      </c>
      <c r="H1227" s="180"/>
      <c r="I1227" s="802" t="s">
        <v>14586</v>
      </c>
      <c r="J1227" s="952"/>
      <c r="L1227" s="22"/>
    </row>
    <row r="1228" spans="1:12" s="950" customFormat="1" ht="45" x14ac:dyDescent="0.2">
      <c r="A1228" s="804" t="s">
        <v>13388</v>
      </c>
      <c r="B1228" s="184" t="s">
        <v>11713</v>
      </c>
      <c r="C1228" s="916" t="s">
        <v>13389</v>
      </c>
      <c r="D1228" s="804" t="s">
        <v>13390</v>
      </c>
      <c r="E1228" s="803" t="s">
        <v>6553</v>
      </c>
      <c r="F1228" s="664">
        <v>1200</v>
      </c>
      <c r="G1228" s="55">
        <v>136032</v>
      </c>
      <c r="H1228" s="180"/>
      <c r="I1228" s="802" t="s">
        <v>14586</v>
      </c>
      <c r="J1228" s="952"/>
      <c r="L1228" s="22"/>
    </row>
    <row r="1229" spans="1:12" s="950" customFormat="1" ht="56.25" x14ac:dyDescent="0.2">
      <c r="A1229" s="804" t="s">
        <v>13391</v>
      </c>
      <c r="B1229" s="184" t="s">
        <v>11713</v>
      </c>
      <c r="C1229" s="916" t="s">
        <v>13460</v>
      </c>
      <c r="D1229" s="804" t="s">
        <v>13392</v>
      </c>
      <c r="E1229" s="803" t="s">
        <v>6553</v>
      </c>
      <c r="F1229" s="664">
        <v>1200</v>
      </c>
      <c r="G1229" s="55">
        <v>136032</v>
      </c>
      <c r="H1229" s="180"/>
      <c r="I1229" s="802" t="s">
        <v>14586</v>
      </c>
      <c r="J1229" s="952"/>
      <c r="L1229" s="22"/>
    </row>
    <row r="1230" spans="1:12" s="950" customFormat="1" ht="56.25" x14ac:dyDescent="0.2">
      <c r="A1230" s="804" t="s">
        <v>13393</v>
      </c>
      <c r="B1230" s="184" t="s">
        <v>11713</v>
      </c>
      <c r="C1230" s="916" t="s">
        <v>13394</v>
      </c>
      <c r="D1230" s="804" t="s">
        <v>13395</v>
      </c>
      <c r="E1230" s="803" t="s">
        <v>6553</v>
      </c>
      <c r="F1230" s="664">
        <v>1200</v>
      </c>
      <c r="G1230" s="55">
        <v>136032</v>
      </c>
      <c r="H1230" s="180"/>
      <c r="I1230" s="802" t="s">
        <v>14586</v>
      </c>
      <c r="J1230" s="952"/>
      <c r="L1230" s="22"/>
    </row>
    <row r="1231" spans="1:12" s="950" customFormat="1" ht="56.25" x14ac:dyDescent="0.2">
      <c r="A1231" s="804" t="s">
        <v>13396</v>
      </c>
      <c r="B1231" s="184" t="s">
        <v>11713</v>
      </c>
      <c r="C1231" s="916" t="s">
        <v>13397</v>
      </c>
      <c r="D1231" s="804" t="s">
        <v>13398</v>
      </c>
      <c r="E1231" s="803" t="s">
        <v>6553</v>
      </c>
      <c r="F1231" s="664">
        <v>1200</v>
      </c>
      <c r="G1231" s="55">
        <v>136032</v>
      </c>
      <c r="H1231" s="180"/>
      <c r="I1231" s="802" t="s">
        <v>14586</v>
      </c>
      <c r="J1231" s="952"/>
      <c r="L1231" s="22"/>
    </row>
    <row r="1232" spans="1:12" s="950" customFormat="1" ht="67.5" x14ac:dyDescent="0.2">
      <c r="A1232" s="804" t="s">
        <v>13455</v>
      </c>
      <c r="B1232" s="184" t="s">
        <v>11713</v>
      </c>
      <c r="C1232" s="916" t="s">
        <v>13456</v>
      </c>
      <c r="D1232" s="804" t="s">
        <v>13457</v>
      </c>
      <c r="E1232" s="803" t="s">
        <v>6553</v>
      </c>
      <c r="F1232" s="664">
        <v>1198</v>
      </c>
      <c r="G1232" s="55" t="s">
        <v>13458</v>
      </c>
      <c r="H1232" s="180"/>
      <c r="I1232" s="802" t="s">
        <v>14586</v>
      </c>
      <c r="J1232" s="952"/>
      <c r="L1232" s="22"/>
    </row>
    <row r="1233" spans="1:12" s="950" customFormat="1" ht="60" x14ac:dyDescent="0.2">
      <c r="A1233" s="1022" t="s">
        <v>14656</v>
      </c>
      <c r="B1233" s="1024" t="s">
        <v>11713</v>
      </c>
      <c r="C1233" s="1026" t="s">
        <v>14686</v>
      </c>
      <c r="D1233" s="1022" t="s">
        <v>14687</v>
      </c>
      <c r="E1233" s="1025" t="s">
        <v>6553</v>
      </c>
      <c r="F1233" s="1023">
        <v>1200</v>
      </c>
      <c r="G1233" s="1027" t="s">
        <v>14746</v>
      </c>
      <c r="H1233" s="180"/>
      <c r="I1233" s="1058" t="s">
        <v>14586</v>
      </c>
      <c r="J1233" s="952"/>
      <c r="L1233" s="22"/>
    </row>
    <row r="1234" spans="1:12" s="950" customFormat="1" ht="60" x14ac:dyDescent="0.2">
      <c r="A1234" s="1022" t="s">
        <v>14657</v>
      </c>
      <c r="B1234" s="1024" t="s">
        <v>11713</v>
      </c>
      <c r="C1234" s="1026" t="s">
        <v>14688</v>
      </c>
      <c r="D1234" s="1022" t="s">
        <v>14689</v>
      </c>
      <c r="E1234" s="1025" t="s">
        <v>6553</v>
      </c>
      <c r="F1234" s="1023">
        <v>1200</v>
      </c>
      <c r="G1234" s="1027" t="s">
        <v>14746</v>
      </c>
      <c r="H1234" s="180"/>
      <c r="I1234" s="1058" t="s">
        <v>14586</v>
      </c>
      <c r="J1234" s="952"/>
      <c r="L1234" s="22"/>
    </row>
    <row r="1235" spans="1:12" s="950" customFormat="1" ht="60" x14ac:dyDescent="0.2">
      <c r="A1235" s="1022" t="s">
        <v>14658</v>
      </c>
      <c r="B1235" s="1024" t="s">
        <v>11713</v>
      </c>
      <c r="C1235" s="1026" t="s">
        <v>14690</v>
      </c>
      <c r="D1235" s="1022" t="s">
        <v>14691</v>
      </c>
      <c r="E1235" s="1025" t="s">
        <v>6553</v>
      </c>
      <c r="F1235" s="1023">
        <v>1200</v>
      </c>
      <c r="G1235" s="1027" t="s">
        <v>14746</v>
      </c>
      <c r="H1235" s="180"/>
      <c r="I1235" s="1058" t="s">
        <v>14586</v>
      </c>
      <c r="J1235" s="952"/>
      <c r="L1235" s="22"/>
    </row>
    <row r="1236" spans="1:12" s="950" customFormat="1" ht="60" x14ac:dyDescent="0.2">
      <c r="A1236" s="1022" t="s">
        <v>14659</v>
      </c>
      <c r="B1236" s="1024" t="s">
        <v>11713</v>
      </c>
      <c r="C1236" s="1026" t="s">
        <v>14692</v>
      </c>
      <c r="D1236" s="1022" t="s">
        <v>14693</v>
      </c>
      <c r="E1236" s="1025" t="s">
        <v>6553</v>
      </c>
      <c r="F1236" s="1023">
        <v>1200</v>
      </c>
      <c r="G1236" s="1027" t="s">
        <v>14746</v>
      </c>
      <c r="H1236" s="180"/>
      <c r="I1236" s="1058" t="s">
        <v>14586</v>
      </c>
      <c r="J1236" s="952"/>
      <c r="L1236" s="22"/>
    </row>
    <row r="1237" spans="1:12" s="950" customFormat="1" ht="60" x14ac:dyDescent="0.2">
      <c r="A1237" s="1022" t="s">
        <v>14660</v>
      </c>
      <c r="B1237" s="1024" t="s">
        <v>11713</v>
      </c>
      <c r="C1237" s="1026" t="s">
        <v>14694</v>
      </c>
      <c r="D1237" s="1022" t="s">
        <v>14695</v>
      </c>
      <c r="E1237" s="1025" t="s">
        <v>6553</v>
      </c>
      <c r="F1237" s="1023">
        <v>1199</v>
      </c>
      <c r="G1237" s="1027" t="s">
        <v>14746</v>
      </c>
      <c r="H1237" s="180"/>
      <c r="I1237" s="1058" t="s">
        <v>14586</v>
      </c>
      <c r="J1237" s="952"/>
      <c r="L1237" s="22"/>
    </row>
    <row r="1238" spans="1:12" s="950" customFormat="1" ht="60" x14ac:dyDescent="0.2">
      <c r="A1238" s="1022" t="s">
        <v>14661</v>
      </c>
      <c r="B1238" s="1024" t="s">
        <v>11713</v>
      </c>
      <c r="C1238" s="1026" t="s">
        <v>14696</v>
      </c>
      <c r="D1238" s="1022" t="s">
        <v>14697</v>
      </c>
      <c r="E1238" s="1025" t="s">
        <v>6553</v>
      </c>
      <c r="F1238" s="1023">
        <v>1101</v>
      </c>
      <c r="G1238" s="1027" t="s">
        <v>14746</v>
      </c>
      <c r="H1238" s="180"/>
      <c r="I1238" s="1058" t="s">
        <v>14586</v>
      </c>
      <c r="J1238" s="952"/>
      <c r="L1238" s="22"/>
    </row>
    <row r="1239" spans="1:12" s="950" customFormat="1" ht="60" x14ac:dyDescent="0.2">
      <c r="A1239" s="1022" t="s">
        <v>14662</v>
      </c>
      <c r="B1239" s="1024" t="s">
        <v>11713</v>
      </c>
      <c r="C1239" s="1026" t="s">
        <v>14698</v>
      </c>
      <c r="D1239" s="1022" t="s">
        <v>14699</v>
      </c>
      <c r="E1239" s="1025" t="s">
        <v>6553</v>
      </c>
      <c r="F1239" s="1023">
        <v>1200</v>
      </c>
      <c r="G1239" s="1027" t="s">
        <v>14746</v>
      </c>
      <c r="H1239" s="180"/>
      <c r="I1239" s="1058" t="s">
        <v>14586</v>
      </c>
      <c r="J1239" s="952"/>
      <c r="L1239" s="22"/>
    </row>
    <row r="1240" spans="1:12" s="950" customFormat="1" ht="60" x14ac:dyDescent="0.2">
      <c r="A1240" s="1022" t="s">
        <v>14663</v>
      </c>
      <c r="B1240" s="1024" t="s">
        <v>11713</v>
      </c>
      <c r="C1240" s="1026" t="s">
        <v>14700</v>
      </c>
      <c r="D1240" s="1022" t="s">
        <v>14701</v>
      </c>
      <c r="E1240" s="1025" t="s">
        <v>6553</v>
      </c>
      <c r="F1240" s="1023">
        <v>1200</v>
      </c>
      <c r="G1240" s="1027" t="s">
        <v>14746</v>
      </c>
      <c r="H1240" s="180"/>
      <c r="I1240" s="1058" t="s">
        <v>14586</v>
      </c>
      <c r="J1240" s="952"/>
      <c r="L1240" s="22"/>
    </row>
    <row r="1241" spans="1:12" s="950" customFormat="1" ht="60" x14ac:dyDescent="0.2">
      <c r="A1241" s="1022" t="s">
        <v>14664</v>
      </c>
      <c r="B1241" s="1024" t="s">
        <v>11713</v>
      </c>
      <c r="C1241" s="1026" t="s">
        <v>14702</v>
      </c>
      <c r="D1241" s="1022" t="s">
        <v>14703</v>
      </c>
      <c r="E1241" s="1025" t="s">
        <v>6553</v>
      </c>
      <c r="F1241" s="1023">
        <v>1200</v>
      </c>
      <c r="G1241" s="1027" t="s">
        <v>14746</v>
      </c>
      <c r="H1241" s="180"/>
      <c r="I1241" s="1058" t="s">
        <v>14586</v>
      </c>
      <c r="J1241" s="952"/>
      <c r="L1241" s="22"/>
    </row>
    <row r="1242" spans="1:12" s="950" customFormat="1" ht="60" x14ac:dyDescent="0.2">
      <c r="A1242" s="1022" t="s">
        <v>14665</v>
      </c>
      <c r="B1242" s="1024" t="s">
        <v>11713</v>
      </c>
      <c r="C1242" s="1026" t="s">
        <v>14704</v>
      </c>
      <c r="D1242" s="1022" t="s">
        <v>14705</v>
      </c>
      <c r="E1242" s="1025" t="s">
        <v>6553</v>
      </c>
      <c r="F1242" s="1023">
        <v>1200</v>
      </c>
      <c r="G1242" s="1027" t="s">
        <v>14746</v>
      </c>
      <c r="H1242" s="180"/>
      <c r="I1242" s="1058" t="s">
        <v>14586</v>
      </c>
      <c r="J1242" s="952"/>
      <c r="L1242" s="22"/>
    </row>
    <row r="1243" spans="1:12" s="950" customFormat="1" ht="60" x14ac:dyDescent="0.2">
      <c r="A1243" s="1022" t="s">
        <v>14666</v>
      </c>
      <c r="B1243" s="1024" t="s">
        <v>11713</v>
      </c>
      <c r="C1243" s="1026" t="s">
        <v>14706</v>
      </c>
      <c r="D1243" s="1022" t="s">
        <v>14707</v>
      </c>
      <c r="E1243" s="1025" t="s">
        <v>6553</v>
      </c>
      <c r="F1243" s="1023">
        <v>1200</v>
      </c>
      <c r="G1243" s="1027" t="s">
        <v>14746</v>
      </c>
      <c r="H1243" s="180"/>
      <c r="I1243" s="1058" t="s">
        <v>14586</v>
      </c>
      <c r="J1243" s="952"/>
      <c r="L1243" s="22"/>
    </row>
    <row r="1244" spans="1:12" s="950" customFormat="1" ht="60" x14ac:dyDescent="0.2">
      <c r="A1244" s="1022" t="s">
        <v>14667</v>
      </c>
      <c r="B1244" s="1024" t="s">
        <v>11713</v>
      </c>
      <c r="C1244" s="1026" t="s">
        <v>14708</v>
      </c>
      <c r="D1244" s="1022" t="s">
        <v>14709</v>
      </c>
      <c r="E1244" s="1025" t="s">
        <v>6553</v>
      </c>
      <c r="F1244" s="1023">
        <v>1109</v>
      </c>
      <c r="G1244" s="1027" t="s">
        <v>14746</v>
      </c>
      <c r="H1244" s="180"/>
      <c r="I1244" s="1058" t="s">
        <v>14586</v>
      </c>
      <c r="J1244" s="952"/>
      <c r="L1244" s="22"/>
    </row>
    <row r="1245" spans="1:12" s="950" customFormat="1" ht="60" x14ac:dyDescent="0.2">
      <c r="A1245" s="1022" t="s">
        <v>14668</v>
      </c>
      <c r="B1245" s="1024" t="s">
        <v>11713</v>
      </c>
      <c r="C1245" s="1026" t="s">
        <v>14710</v>
      </c>
      <c r="D1245" s="1022" t="s">
        <v>14711</v>
      </c>
      <c r="E1245" s="1025" t="s">
        <v>6553</v>
      </c>
      <c r="F1245" s="1023">
        <v>1250</v>
      </c>
      <c r="G1245" s="1027" t="s">
        <v>14746</v>
      </c>
      <c r="H1245" s="180"/>
      <c r="I1245" s="1058" t="s">
        <v>14586</v>
      </c>
      <c r="J1245" s="952"/>
      <c r="L1245" s="22"/>
    </row>
    <row r="1246" spans="1:12" s="950" customFormat="1" ht="60" x14ac:dyDescent="0.2">
      <c r="A1246" s="1022" t="s">
        <v>14669</v>
      </c>
      <c r="B1246" s="1024" t="s">
        <v>11713</v>
      </c>
      <c r="C1246" s="1026" t="s">
        <v>14712</v>
      </c>
      <c r="D1246" s="1022" t="s">
        <v>14713</v>
      </c>
      <c r="E1246" s="1025" t="s">
        <v>6553</v>
      </c>
      <c r="F1246" s="1023">
        <v>1094</v>
      </c>
      <c r="G1246" s="1027" t="s">
        <v>14746</v>
      </c>
      <c r="H1246" s="180"/>
      <c r="I1246" s="1058" t="s">
        <v>14586</v>
      </c>
      <c r="J1246" s="952"/>
      <c r="L1246" s="22"/>
    </row>
    <row r="1247" spans="1:12" s="950" customFormat="1" ht="60" x14ac:dyDescent="0.2">
      <c r="A1247" s="1022" t="s">
        <v>14670</v>
      </c>
      <c r="B1247" s="1024" t="s">
        <v>11713</v>
      </c>
      <c r="C1247" s="1026" t="s">
        <v>14714</v>
      </c>
      <c r="D1247" s="1022" t="s">
        <v>14715</v>
      </c>
      <c r="E1247" s="1025" t="s">
        <v>6553</v>
      </c>
      <c r="F1247" s="1023">
        <v>1162</v>
      </c>
      <c r="G1247" s="1027" t="s">
        <v>14746</v>
      </c>
      <c r="H1247" s="180"/>
      <c r="I1247" s="1058" t="s">
        <v>14586</v>
      </c>
      <c r="J1247" s="952"/>
      <c r="L1247" s="22"/>
    </row>
    <row r="1248" spans="1:12" s="950" customFormat="1" ht="60" x14ac:dyDescent="0.2">
      <c r="A1248" s="1022" t="s">
        <v>14671</v>
      </c>
      <c r="B1248" s="1024" t="s">
        <v>11713</v>
      </c>
      <c r="C1248" s="1026" t="s">
        <v>14716</v>
      </c>
      <c r="D1248" s="1022" t="s">
        <v>14717</v>
      </c>
      <c r="E1248" s="1025" t="s">
        <v>6553</v>
      </c>
      <c r="F1248" s="1023">
        <v>1187</v>
      </c>
      <c r="G1248" s="1027" t="s">
        <v>14746</v>
      </c>
      <c r="H1248" s="180"/>
      <c r="I1248" s="1058" t="s">
        <v>14586</v>
      </c>
      <c r="J1248" s="952"/>
      <c r="L1248" s="22"/>
    </row>
    <row r="1249" spans="1:12" s="950" customFormat="1" ht="60" x14ac:dyDescent="0.2">
      <c r="A1249" s="1022" t="s">
        <v>14672</v>
      </c>
      <c r="B1249" s="1024" t="s">
        <v>11713</v>
      </c>
      <c r="C1249" s="1026" t="s">
        <v>14718</v>
      </c>
      <c r="D1249" s="1022" t="s">
        <v>14719</v>
      </c>
      <c r="E1249" s="1025" t="s">
        <v>6553</v>
      </c>
      <c r="F1249" s="1023">
        <v>1291</v>
      </c>
      <c r="G1249" s="1027" t="s">
        <v>14746</v>
      </c>
      <c r="H1249" s="180"/>
      <c r="I1249" s="1058" t="s">
        <v>14586</v>
      </c>
      <c r="J1249" s="952"/>
      <c r="L1249" s="22"/>
    </row>
    <row r="1250" spans="1:12" s="950" customFormat="1" ht="60" x14ac:dyDescent="0.2">
      <c r="A1250" s="1022" t="s">
        <v>14673</v>
      </c>
      <c r="B1250" s="1024" t="s">
        <v>11713</v>
      </c>
      <c r="C1250" s="1026" t="s">
        <v>14720</v>
      </c>
      <c r="D1250" s="1022" t="s">
        <v>14721</v>
      </c>
      <c r="E1250" s="1025" t="s">
        <v>6553</v>
      </c>
      <c r="F1250" s="1023">
        <v>1203</v>
      </c>
      <c r="G1250" s="1027" t="s">
        <v>14746</v>
      </c>
      <c r="H1250" s="180"/>
      <c r="I1250" s="1058" t="s">
        <v>14586</v>
      </c>
      <c r="J1250" s="952"/>
      <c r="L1250" s="22"/>
    </row>
    <row r="1251" spans="1:12" s="950" customFormat="1" ht="60" x14ac:dyDescent="0.2">
      <c r="A1251" s="1022" t="s">
        <v>14674</v>
      </c>
      <c r="B1251" s="1024" t="s">
        <v>11713</v>
      </c>
      <c r="C1251" s="1026" t="s">
        <v>14722</v>
      </c>
      <c r="D1251" s="1022" t="s">
        <v>14723</v>
      </c>
      <c r="E1251" s="1025" t="s">
        <v>6553</v>
      </c>
      <c r="F1251" s="1023">
        <v>1200</v>
      </c>
      <c r="G1251" s="1027" t="s">
        <v>14746</v>
      </c>
      <c r="H1251" s="180"/>
      <c r="I1251" s="1058" t="s">
        <v>14586</v>
      </c>
      <c r="J1251" s="952"/>
      <c r="L1251" s="22"/>
    </row>
    <row r="1252" spans="1:12" s="950" customFormat="1" ht="60" x14ac:dyDescent="0.2">
      <c r="A1252" s="1022" t="s">
        <v>14675</v>
      </c>
      <c r="B1252" s="1024" t="s">
        <v>11713</v>
      </c>
      <c r="C1252" s="1026" t="s">
        <v>14724</v>
      </c>
      <c r="D1252" s="1022" t="s">
        <v>14725</v>
      </c>
      <c r="E1252" s="1025" t="s">
        <v>6553</v>
      </c>
      <c r="F1252" s="1023">
        <v>978</v>
      </c>
      <c r="G1252" s="1027" t="s">
        <v>14746</v>
      </c>
      <c r="H1252" s="180"/>
      <c r="I1252" s="1058" t="s">
        <v>14586</v>
      </c>
      <c r="J1252" s="952"/>
      <c r="L1252" s="22"/>
    </row>
    <row r="1253" spans="1:12" s="950" customFormat="1" ht="60" x14ac:dyDescent="0.2">
      <c r="A1253" s="1022" t="s">
        <v>14676</v>
      </c>
      <c r="B1253" s="1024" t="s">
        <v>11713</v>
      </c>
      <c r="C1253" s="1028" t="s">
        <v>14726</v>
      </c>
      <c r="D1253" s="1022" t="s">
        <v>14727</v>
      </c>
      <c r="E1253" s="1025" t="s">
        <v>6553</v>
      </c>
      <c r="F1253" s="1023">
        <v>1325</v>
      </c>
      <c r="G1253" s="1027" t="s">
        <v>14746</v>
      </c>
      <c r="H1253" s="180"/>
      <c r="I1253" s="1058" t="s">
        <v>14586</v>
      </c>
      <c r="J1253" s="952"/>
      <c r="L1253" s="22"/>
    </row>
    <row r="1254" spans="1:12" s="950" customFormat="1" ht="60" x14ac:dyDescent="0.2">
      <c r="A1254" s="1022" t="s">
        <v>14677</v>
      </c>
      <c r="B1254" s="1024" t="s">
        <v>11713</v>
      </c>
      <c r="C1254" s="1026" t="s">
        <v>14728</v>
      </c>
      <c r="D1254" s="1022" t="s">
        <v>14729</v>
      </c>
      <c r="E1254" s="1025" t="s">
        <v>6553</v>
      </c>
      <c r="F1254" s="1023">
        <v>1200</v>
      </c>
      <c r="G1254" s="1027" t="s">
        <v>14746</v>
      </c>
      <c r="H1254" s="180"/>
      <c r="I1254" s="1058" t="s">
        <v>14586</v>
      </c>
      <c r="J1254" s="952"/>
      <c r="L1254" s="22"/>
    </row>
    <row r="1255" spans="1:12" s="950" customFormat="1" ht="60" x14ac:dyDescent="0.2">
      <c r="A1255" s="1022" t="s">
        <v>14678</v>
      </c>
      <c r="B1255" s="1024" t="s">
        <v>11713</v>
      </c>
      <c r="C1255" s="1026" t="s">
        <v>14730</v>
      </c>
      <c r="D1255" s="1022" t="s">
        <v>14731</v>
      </c>
      <c r="E1255" s="1025" t="s">
        <v>6553</v>
      </c>
      <c r="F1255" s="1023">
        <v>1275</v>
      </c>
      <c r="G1255" s="1027" t="s">
        <v>14746</v>
      </c>
      <c r="H1255" s="180"/>
      <c r="I1255" s="1058" t="s">
        <v>14586</v>
      </c>
      <c r="J1255" s="952"/>
      <c r="L1255" s="22"/>
    </row>
    <row r="1256" spans="1:12" s="950" customFormat="1" ht="60" x14ac:dyDescent="0.2">
      <c r="A1256" s="1022" t="s">
        <v>14679</v>
      </c>
      <c r="B1256" s="1024" t="s">
        <v>11713</v>
      </c>
      <c r="C1256" s="1026" t="s">
        <v>14732</v>
      </c>
      <c r="D1256" s="1022" t="s">
        <v>14733</v>
      </c>
      <c r="E1256" s="1025" t="s">
        <v>6553</v>
      </c>
      <c r="F1256" s="1023">
        <v>1509</v>
      </c>
      <c r="G1256" s="1027" t="s">
        <v>14746</v>
      </c>
      <c r="H1256" s="180"/>
      <c r="I1256" s="1058" t="s">
        <v>14586</v>
      </c>
      <c r="J1256" s="952"/>
      <c r="L1256" s="22"/>
    </row>
    <row r="1257" spans="1:12" s="950" customFormat="1" ht="60" x14ac:dyDescent="0.2">
      <c r="A1257" s="1022" t="s">
        <v>14680</v>
      </c>
      <c r="B1257" s="1024" t="s">
        <v>11713</v>
      </c>
      <c r="C1257" s="1026" t="s">
        <v>14734</v>
      </c>
      <c r="D1257" s="1022" t="s">
        <v>14735</v>
      </c>
      <c r="E1257" s="1025" t="s">
        <v>6553</v>
      </c>
      <c r="F1257" s="1023">
        <v>1228</v>
      </c>
      <c r="G1257" s="1027" t="s">
        <v>14746</v>
      </c>
      <c r="H1257" s="180"/>
      <c r="I1257" s="1058" t="s">
        <v>14586</v>
      </c>
      <c r="J1257" s="952"/>
      <c r="L1257" s="22"/>
    </row>
    <row r="1258" spans="1:12" s="950" customFormat="1" ht="60" x14ac:dyDescent="0.2">
      <c r="A1258" s="1022" t="s">
        <v>14681</v>
      </c>
      <c r="B1258" s="1024" t="s">
        <v>11713</v>
      </c>
      <c r="C1258" s="1026" t="s">
        <v>14736</v>
      </c>
      <c r="D1258" s="1022" t="s">
        <v>14737</v>
      </c>
      <c r="E1258" s="1025" t="s">
        <v>6553</v>
      </c>
      <c r="F1258" s="1023">
        <v>1192</v>
      </c>
      <c r="G1258" s="1027" t="s">
        <v>14746</v>
      </c>
      <c r="H1258" s="180"/>
      <c r="I1258" s="1058" t="s">
        <v>14586</v>
      </c>
      <c r="J1258" s="952"/>
      <c r="L1258" s="22"/>
    </row>
    <row r="1259" spans="1:12" s="950" customFormat="1" ht="60" x14ac:dyDescent="0.2">
      <c r="A1259" s="1022" t="s">
        <v>14682</v>
      </c>
      <c r="B1259" s="1024" t="s">
        <v>11713</v>
      </c>
      <c r="C1259" s="1026" t="s">
        <v>14738</v>
      </c>
      <c r="D1259" s="1022" t="s">
        <v>14739</v>
      </c>
      <c r="E1259" s="1025" t="s">
        <v>6553</v>
      </c>
      <c r="F1259" s="1023">
        <v>1200</v>
      </c>
      <c r="G1259" s="1027" t="s">
        <v>14746</v>
      </c>
      <c r="H1259" s="180"/>
      <c r="I1259" s="1058" t="s">
        <v>14586</v>
      </c>
      <c r="J1259" s="952"/>
      <c r="L1259" s="22"/>
    </row>
    <row r="1260" spans="1:12" s="950" customFormat="1" ht="60" x14ac:dyDescent="0.2">
      <c r="A1260" s="1022" t="s">
        <v>14683</v>
      </c>
      <c r="B1260" s="1024" t="s">
        <v>11713</v>
      </c>
      <c r="C1260" s="1026" t="s">
        <v>14740</v>
      </c>
      <c r="D1260" s="1022" t="s">
        <v>14741</v>
      </c>
      <c r="E1260" s="1025" t="s">
        <v>6553</v>
      </c>
      <c r="F1260" s="1023">
        <v>1519</v>
      </c>
      <c r="G1260" s="1027" t="s">
        <v>14746</v>
      </c>
      <c r="H1260" s="180"/>
      <c r="I1260" s="1058" t="s">
        <v>14586</v>
      </c>
      <c r="J1260" s="952"/>
      <c r="L1260" s="22"/>
    </row>
    <row r="1261" spans="1:12" s="950" customFormat="1" ht="60" x14ac:dyDescent="0.2">
      <c r="A1261" s="1022" t="s">
        <v>14684</v>
      </c>
      <c r="B1261" s="1024" t="s">
        <v>11713</v>
      </c>
      <c r="C1261" s="1026" t="s">
        <v>14742</v>
      </c>
      <c r="D1261" s="1022" t="s">
        <v>14743</v>
      </c>
      <c r="E1261" s="1025" t="s">
        <v>6553</v>
      </c>
      <c r="F1261" s="1023">
        <v>704</v>
      </c>
      <c r="G1261" s="1027" t="s">
        <v>14746</v>
      </c>
      <c r="H1261" s="180"/>
      <c r="I1261" s="1058" t="s">
        <v>14586</v>
      </c>
      <c r="J1261" s="952"/>
      <c r="L1261" s="22"/>
    </row>
    <row r="1262" spans="1:12" s="950" customFormat="1" ht="60" x14ac:dyDescent="0.2">
      <c r="A1262" s="1022" t="s">
        <v>14685</v>
      </c>
      <c r="B1262" s="1024" t="s">
        <v>11713</v>
      </c>
      <c r="C1262" s="1026" t="s">
        <v>14744</v>
      </c>
      <c r="D1262" s="1022" t="s">
        <v>14745</v>
      </c>
      <c r="E1262" s="1025" t="s">
        <v>6553</v>
      </c>
      <c r="F1262" s="1023">
        <v>1200</v>
      </c>
      <c r="G1262" s="1027" t="s">
        <v>14746</v>
      </c>
      <c r="H1262" s="180"/>
      <c r="I1262" s="1058" t="s">
        <v>14586</v>
      </c>
      <c r="J1262" s="952"/>
      <c r="L1262" s="22"/>
    </row>
    <row r="1263" spans="1:12" s="950" customFormat="1" ht="60" x14ac:dyDescent="0.2">
      <c r="A1263" s="1022" t="s">
        <v>14902</v>
      </c>
      <c r="B1263" s="1024" t="s">
        <v>11713</v>
      </c>
      <c r="C1263" s="1026" t="s">
        <v>14903</v>
      </c>
      <c r="D1263" s="1022" t="s">
        <v>14904</v>
      </c>
      <c r="E1263" s="1025" t="s">
        <v>6553</v>
      </c>
      <c r="F1263" s="1023">
        <v>1083</v>
      </c>
      <c r="G1263" s="1027" t="s">
        <v>14746</v>
      </c>
      <c r="H1263" s="180"/>
      <c r="I1263" s="1058" t="s">
        <v>14586</v>
      </c>
      <c r="J1263" s="952"/>
      <c r="L1263" s="22"/>
    </row>
    <row r="1264" spans="1:12" s="950" customFormat="1" ht="60" x14ac:dyDescent="0.2">
      <c r="A1264" s="1030" t="s">
        <v>14911</v>
      </c>
      <c r="B1264" s="1024" t="s">
        <v>11713</v>
      </c>
      <c r="C1264" s="1032" t="s">
        <v>14912</v>
      </c>
      <c r="D1264" s="1030" t="s">
        <v>14913</v>
      </c>
      <c r="E1264" s="1025" t="s">
        <v>6553</v>
      </c>
      <c r="F1264" s="1033">
        <v>1084</v>
      </c>
      <c r="G1264" s="1027" t="s">
        <v>14746</v>
      </c>
      <c r="H1264" s="180"/>
      <c r="I1264" s="1058" t="s">
        <v>14586</v>
      </c>
      <c r="J1264" s="952"/>
      <c r="L1264" s="22"/>
    </row>
    <row r="1265" spans="1:12" s="950" customFormat="1" ht="60" x14ac:dyDescent="0.2">
      <c r="A1265" s="1030" t="s">
        <v>14905</v>
      </c>
      <c r="B1265" s="1024" t="s">
        <v>11713</v>
      </c>
      <c r="C1265" s="1031" t="s">
        <v>14906</v>
      </c>
      <c r="D1265" s="1030" t="s">
        <v>14914</v>
      </c>
      <c r="E1265" s="1025" t="s">
        <v>6553</v>
      </c>
      <c r="F1265" s="1033">
        <v>1200</v>
      </c>
      <c r="G1265" s="1027" t="s">
        <v>14746</v>
      </c>
      <c r="H1265" s="180"/>
      <c r="I1265" s="1058" t="s">
        <v>14586</v>
      </c>
      <c r="J1265" s="952"/>
      <c r="L1265" s="22"/>
    </row>
    <row r="1266" spans="1:12" s="950" customFormat="1" ht="60" x14ac:dyDescent="0.2">
      <c r="A1266" s="1030" t="s">
        <v>14907</v>
      </c>
      <c r="B1266" s="1024" t="s">
        <v>11713</v>
      </c>
      <c r="C1266" s="1031" t="s">
        <v>14908</v>
      </c>
      <c r="D1266" s="1030" t="s">
        <v>14915</v>
      </c>
      <c r="E1266" s="1025" t="s">
        <v>6553</v>
      </c>
      <c r="F1266" s="1033">
        <v>1092</v>
      </c>
      <c r="G1266" s="1027" t="s">
        <v>14746</v>
      </c>
      <c r="H1266" s="180"/>
      <c r="I1266" s="1058" t="s">
        <v>14586</v>
      </c>
      <c r="J1266" s="952"/>
      <c r="L1266" s="22"/>
    </row>
    <row r="1267" spans="1:12" s="950" customFormat="1" ht="60" x14ac:dyDescent="0.2">
      <c r="A1267" s="1030" t="s">
        <v>14909</v>
      </c>
      <c r="B1267" s="1024" t="s">
        <v>11713</v>
      </c>
      <c r="C1267" s="1031" t="s">
        <v>14910</v>
      </c>
      <c r="D1267" s="1030" t="s">
        <v>14916</v>
      </c>
      <c r="E1267" s="1025" t="s">
        <v>6553</v>
      </c>
      <c r="F1267" s="1033">
        <v>1373</v>
      </c>
      <c r="G1267" s="1027" t="s">
        <v>14746</v>
      </c>
      <c r="H1267" s="180"/>
      <c r="I1267" s="1058" t="s">
        <v>14586</v>
      </c>
      <c r="J1267" s="952"/>
      <c r="L1267" s="22"/>
    </row>
    <row r="1268" spans="1:12" s="950" customFormat="1" ht="60" x14ac:dyDescent="0.2">
      <c r="A1268" s="1030" t="s">
        <v>14986</v>
      </c>
      <c r="B1268" s="1024" t="s">
        <v>11713</v>
      </c>
      <c r="C1268" s="1031" t="s">
        <v>14987</v>
      </c>
      <c r="D1268" s="1030" t="s">
        <v>14989</v>
      </c>
      <c r="E1268" s="1025" t="s">
        <v>6553</v>
      </c>
      <c r="F1268" s="1033">
        <v>1200</v>
      </c>
      <c r="G1268" s="1027" t="s">
        <v>14746</v>
      </c>
      <c r="H1268" s="180"/>
      <c r="I1268" s="1058" t="s">
        <v>14586</v>
      </c>
      <c r="J1268" s="952"/>
      <c r="L1268" s="22"/>
    </row>
    <row r="1269" spans="1:12" s="950" customFormat="1" ht="60" x14ac:dyDescent="0.2">
      <c r="A1269" s="1030" t="s">
        <v>14990</v>
      </c>
      <c r="B1269" s="1024" t="s">
        <v>11713</v>
      </c>
      <c r="C1269" s="1032" t="s">
        <v>14996</v>
      </c>
      <c r="D1269" s="1030" t="s">
        <v>14997</v>
      </c>
      <c r="E1269" s="1025" t="s">
        <v>6553</v>
      </c>
      <c r="F1269" s="1033">
        <v>1200</v>
      </c>
      <c r="G1269" s="1027" t="s">
        <v>14746</v>
      </c>
      <c r="H1269" s="180"/>
      <c r="I1269" s="1058" t="s">
        <v>14586</v>
      </c>
      <c r="J1269" s="952"/>
      <c r="L1269" s="22"/>
    </row>
    <row r="1270" spans="1:12" s="950" customFormat="1" ht="22.5" x14ac:dyDescent="0.2">
      <c r="A1270" s="46" t="s">
        <v>14990</v>
      </c>
      <c r="B1270" s="850" t="s">
        <v>8322</v>
      </c>
      <c r="C1270" s="993" t="s">
        <v>10501</v>
      </c>
      <c r="D1270" s="850" t="s">
        <v>14549</v>
      </c>
      <c r="E1270" s="994" t="s">
        <v>6553</v>
      </c>
      <c r="F1270" s="921">
        <v>4</v>
      </c>
      <c r="G1270" s="921">
        <v>1977</v>
      </c>
      <c r="H1270" s="850"/>
      <c r="I1270" s="850"/>
      <c r="J1270" s="952"/>
      <c r="L1270" s="22"/>
    </row>
    <row r="1271" spans="1:12" s="176" customFormat="1" ht="22.5" x14ac:dyDescent="0.2">
      <c r="A1271" s="804" t="s">
        <v>12120</v>
      </c>
      <c r="B1271" s="804" t="s">
        <v>4002</v>
      </c>
      <c r="C1271" s="913" t="s">
        <v>2646</v>
      </c>
      <c r="D1271" s="804" t="s">
        <v>12121</v>
      </c>
      <c r="E1271" s="804" t="s">
        <v>6552</v>
      </c>
      <c r="F1271" s="62">
        <v>2267289</v>
      </c>
      <c r="G1271" s="55">
        <v>539569436.22000003</v>
      </c>
      <c r="H1271" s="804"/>
      <c r="I1271" s="804"/>
      <c r="L1271" s="5"/>
    </row>
    <row r="1272" spans="1:12" s="176" customFormat="1" ht="22.5" x14ac:dyDescent="0.2">
      <c r="A1272" s="804" t="s">
        <v>8098</v>
      </c>
      <c r="B1272" s="804" t="s">
        <v>7476</v>
      </c>
      <c r="C1272" s="913" t="s">
        <v>8154</v>
      </c>
      <c r="D1272" s="804" t="s">
        <v>8155</v>
      </c>
      <c r="E1272" s="804" t="s">
        <v>6552</v>
      </c>
      <c r="F1272" s="62">
        <v>1500</v>
      </c>
      <c r="G1272" s="55">
        <v>356970</v>
      </c>
      <c r="H1272" s="804"/>
      <c r="I1272" s="802" t="s">
        <v>14586</v>
      </c>
      <c r="L1272" s="5"/>
    </row>
    <row r="1273" spans="1:12" s="176" customFormat="1" ht="22.5" x14ac:dyDescent="0.2">
      <c r="A1273" s="804" t="s">
        <v>8099</v>
      </c>
      <c r="B1273" s="804" t="s">
        <v>7476</v>
      </c>
      <c r="C1273" s="913" t="s">
        <v>8156</v>
      </c>
      <c r="D1273" s="804" t="s">
        <v>8159</v>
      </c>
      <c r="E1273" s="804" t="s">
        <v>6552</v>
      </c>
      <c r="F1273" s="62">
        <v>1500</v>
      </c>
      <c r="G1273" s="55">
        <v>356970</v>
      </c>
      <c r="H1273" s="804"/>
      <c r="I1273" s="802" t="s">
        <v>14586</v>
      </c>
      <c r="L1273" s="5"/>
    </row>
    <row r="1274" spans="1:12" s="176" customFormat="1" ht="22.5" x14ac:dyDescent="0.2">
      <c r="A1274" s="804" t="s">
        <v>8100</v>
      </c>
      <c r="B1274" s="804" t="s">
        <v>7476</v>
      </c>
      <c r="C1274" s="913" t="s">
        <v>8157</v>
      </c>
      <c r="D1274" s="804" t="s">
        <v>8160</v>
      </c>
      <c r="E1274" s="804" t="s">
        <v>6552</v>
      </c>
      <c r="F1274" s="62">
        <v>1500</v>
      </c>
      <c r="G1274" s="55">
        <v>356970</v>
      </c>
      <c r="H1274" s="804"/>
      <c r="I1274" s="802" t="s">
        <v>14586</v>
      </c>
      <c r="L1274" s="5"/>
    </row>
    <row r="1275" spans="1:12" s="176" customFormat="1" ht="22.5" x14ac:dyDescent="0.2">
      <c r="A1275" s="804" t="s">
        <v>8101</v>
      </c>
      <c r="B1275" s="804" t="s">
        <v>7476</v>
      </c>
      <c r="C1275" s="913" t="s">
        <v>8161</v>
      </c>
      <c r="D1275" s="804" t="s">
        <v>8158</v>
      </c>
      <c r="E1275" s="804" t="s">
        <v>6552</v>
      </c>
      <c r="F1275" s="62">
        <v>1500</v>
      </c>
      <c r="G1275" s="55">
        <v>356970</v>
      </c>
      <c r="H1275" s="804"/>
      <c r="I1275" s="802" t="s">
        <v>14586</v>
      </c>
      <c r="L1275" s="5"/>
    </row>
    <row r="1276" spans="1:12" s="176" customFormat="1" ht="22.5" x14ac:dyDescent="0.2">
      <c r="A1276" s="804" t="s">
        <v>8102</v>
      </c>
      <c r="B1276" s="804" t="s">
        <v>7476</v>
      </c>
      <c r="C1276" s="913" t="s">
        <v>8162</v>
      </c>
      <c r="D1276" s="804" t="s">
        <v>8163</v>
      </c>
      <c r="E1276" s="804" t="s">
        <v>6552</v>
      </c>
      <c r="F1276" s="62">
        <v>1500</v>
      </c>
      <c r="G1276" s="55">
        <v>356970</v>
      </c>
      <c r="H1276" s="804"/>
      <c r="I1276" s="802" t="s">
        <v>14586</v>
      </c>
      <c r="L1276" s="5"/>
    </row>
    <row r="1277" spans="1:12" s="176" customFormat="1" ht="90" x14ac:dyDescent="0.2">
      <c r="A1277" s="804" t="s">
        <v>10488</v>
      </c>
      <c r="B1277" s="804" t="s">
        <v>8322</v>
      </c>
      <c r="C1277" s="379" t="s">
        <v>10489</v>
      </c>
      <c r="D1277" s="804" t="s">
        <v>10490</v>
      </c>
      <c r="E1277" s="804" t="s">
        <v>6553</v>
      </c>
      <c r="F1277" s="62">
        <v>6</v>
      </c>
      <c r="G1277" s="55">
        <v>2564.94</v>
      </c>
      <c r="H1277" s="804"/>
      <c r="I1277" s="804"/>
      <c r="L1277" s="5"/>
    </row>
    <row r="1278" spans="1:12" s="176" customFormat="1" ht="78.75" x14ac:dyDescent="0.2">
      <c r="A1278" s="804" t="s">
        <v>10491</v>
      </c>
      <c r="B1278" s="804" t="s">
        <v>8322</v>
      </c>
      <c r="C1278" s="379" t="s">
        <v>10492</v>
      </c>
      <c r="D1278" s="804" t="s">
        <v>10493</v>
      </c>
      <c r="E1278" s="804" t="s">
        <v>6553</v>
      </c>
      <c r="F1278" s="62">
        <v>2</v>
      </c>
      <c r="G1278" s="55">
        <v>854.98</v>
      </c>
      <c r="H1278" s="804"/>
      <c r="I1278" s="804"/>
      <c r="L1278" s="5"/>
    </row>
    <row r="1279" spans="1:12" ht="22.5" x14ac:dyDescent="0.2">
      <c r="A1279" s="850" t="s">
        <v>2642</v>
      </c>
      <c r="B1279" s="850" t="s">
        <v>4004</v>
      </c>
      <c r="C1279" s="970" t="s">
        <v>2646</v>
      </c>
      <c r="D1279" s="850" t="s">
        <v>2648</v>
      </c>
      <c r="E1279" s="850" t="s">
        <v>6552</v>
      </c>
      <c r="F1279" s="894">
        <v>2177755</v>
      </c>
      <c r="G1279" s="55">
        <v>327164133.64999998</v>
      </c>
      <c r="H1279" s="850"/>
      <c r="I1279" s="850"/>
      <c r="J1279" s="948"/>
    </row>
    <row r="1280" spans="1:12" s="212" customFormat="1" ht="22.5" x14ac:dyDescent="0.2">
      <c r="A1280" s="804" t="s">
        <v>2643</v>
      </c>
      <c r="B1280" s="804" t="s">
        <v>4002</v>
      </c>
      <c r="C1280" s="913" t="s">
        <v>2646</v>
      </c>
      <c r="D1280" s="804" t="s">
        <v>2649</v>
      </c>
      <c r="E1280" s="804" t="s">
        <v>6552</v>
      </c>
      <c r="F1280" s="62">
        <f>7320888-1000</f>
        <v>7319888</v>
      </c>
      <c r="G1280" s="55">
        <v>1195348873.5</v>
      </c>
      <c r="H1280" s="804"/>
      <c r="I1280" s="804"/>
      <c r="L1280" s="5"/>
    </row>
    <row r="1281" spans="1:12" s="212" customFormat="1" ht="22.5" x14ac:dyDescent="0.2">
      <c r="A1281" s="804" t="s">
        <v>9834</v>
      </c>
      <c r="B1281" s="804" t="s">
        <v>9836</v>
      </c>
      <c r="C1281" s="913" t="s">
        <v>9837</v>
      </c>
      <c r="D1281" s="804" t="s">
        <v>9835</v>
      </c>
      <c r="E1281" s="804" t="s">
        <v>6552</v>
      </c>
      <c r="F1281" s="62">
        <v>1000</v>
      </c>
      <c r="G1281" s="55">
        <v>156140</v>
      </c>
      <c r="H1281" s="804"/>
      <c r="I1281" s="804"/>
      <c r="L1281" s="5"/>
    </row>
    <row r="1282" spans="1:12" ht="22.5" x14ac:dyDescent="0.2">
      <c r="A1282" s="804" t="s">
        <v>2644</v>
      </c>
      <c r="B1282" s="804" t="s">
        <v>4002</v>
      </c>
      <c r="C1282" s="913" t="s">
        <v>2646</v>
      </c>
      <c r="D1282" s="804" t="s">
        <v>2650</v>
      </c>
      <c r="E1282" s="804" t="s">
        <v>6552</v>
      </c>
      <c r="F1282" s="62">
        <v>11045113</v>
      </c>
      <c r="G1282" s="55">
        <f>657930547.08-4303275.68-5934736.68</f>
        <v>647692534.72000015</v>
      </c>
      <c r="H1282" s="804"/>
      <c r="I1282" s="804"/>
      <c r="J1282" s="948"/>
    </row>
    <row r="1283" spans="1:12" ht="45" x14ac:dyDescent="0.2">
      <c r="A1283" s="804" t="s">
        <v>14538</v>
      </c>
      <c r="B1283" s="184" t="s">
        <v>14539</v>
      </c>
      <c r="C1283" s="5" t="s">
        <v>13404</v>
      </c>
      <c r="D1283" s="804" t="s">
        <v>14540</v>
      </c>
      <c r="E1283" s="803" t="s">
        <v>6553</v>
      </c>
      <c r="F1283" s="664">
        <v>41068</v>
      </c>
      <c r="G1283" s="55">
        <v>5934736.6799999997</v>
      </c>
      <c r="H1283" s="804"/>
      <c r="I1283" s="804" t="s">
        <v>11668</v>
      </c>
      <c r="J1283" s="948"/>
    </row>
    <row r="1284" spans="1:12" ht="22.5" x14ac:dyDescent="0.2">
      <c r="A1284" s="850" t="s">
        <v>2645</v>
      </c>
      <c r="B1284" s="850" t="s">
        <v>4002</v>
      </c>
      <c r="C1284" s="970" t="s">
        <v>2646</v>
      </c>
      <c r="D1284" s="850" t="s">
        <v>2651</v>
      </c>
      <c r="E1284" s="850" t="s">
        <v>6552</v>
      </c>
      <c r="F1284" s="894">
        <v>7024031</v>
      </c>
      <c r="G1284" s="55">
        <v>1248521510.25</v>
      </c>
      <c r="H1284" s="850"/>
      <c r="I1284" s="850"/>
      <c r="J1284" s="948"/>
    </row>
    <row r="1285" spans="1:12" ht="45" x14ac:dyDescent="0.2">
      <c r="A1285" s="804" t="s">
        <v>2652</v>
      </c>
      <c r="B1285" s="804" t="s">
        <v>6508</v>
      </c>
      <c r="C1285" s="912" t="s">
        <v>23</v>
      </c>
      <c r="D1285" s="804" t="s">
        <v>6274</v>
      </c>
      <c r="E1285" s="804" t="s">
        <v>6551</v>
      </c>
      <c r="F1285" s="55">
        <v>72937.600000000006</v>
      </c>
      <c r="G1285" s="62">
        <v>122713135.73999999</v>
      </c>
      <c r="H1285" s="251" t="s">
        <v>9827</v>
      </c>
      <c r="I1285" s="909" t="s">
        <v>14587</v>
      </c>
      <c r="J1285" s="948"/>
    </row>
    <row r="1286" spans="1:12" ht="67.5" x14ac:dyDescent="0.2">
      <c r="A1286" s="804" t="s">
        <v>2654</v>
      </c>
      <c r="B1286" s="804" t="s">
        <v>5130</v>
      </c>
      <c r="C1286" s="912" t="s">
        <v>23</v>
      </c>
      <c r="D1286" s="199" t="s">
        <v>6294</v>
      </c>
      <c r="E1286" s="804" t="s">
        <v>6549</v>
      </c>
      <c r="F1286" s="123">
        <v>229207</v>
      </c>
      <c r="G1286" s="62">
        <v>116081885.15000001</v>
      </c>
      <c r="H1286" s="251" t="s">
        <v>11976</v>
      </c>
      <c r="I1286" s="909" t="s">
        <v>14587</v>
      </c>
      <c r="J1286" s="948"/>
    </row>
    <row r="1287" spans="1:12" ht="45" x14ac:dyDescent="0.2">
      <c r="A1287" s="804" t="s">
        <v>2714</v>
      </c>
      <c r="B1287" s="912" t="s">
        <v>9199</v>
      </c>
      <c r="C1287" s="912" t="s">
        <v>13980</v>
      </c>
      <c r="D1287" s="912" t="s">
        <v>4468</v>
      </c>
      <c r="E1287" s="804" t="s">
        <v>6552</v>
      </c>
      <c r="F1287" s="55">
        <v>17844</v>
      </c>
      <c r="G1287" s="55">
        <v>3034550.64</v>
      </c>
      <c r="H1287" s="804" t="s">
        <v>14595</v>
      </c>
      <c r="I1287" s="909" t="s">
        <v>14587</v>
      </c>
    </row>
    <row r="1288" spans="1:12" ht="22.5" x14ac:dyDescent="0.2">
      <c r="A1288" s="804" t="s">
        <v>2899</v>
      </c>
      <c r="B1288" s="912" t="s">
        <v>9200</v>
      </c>
      <c r="C1288" s="912" t="s">
        <v>3956</v>
      </c>
      <c r="D1288" s="912" t="s">
        <v>4469</v>
      </c>
      <c r="E1288" s="912" t="s">
        <v>6551</v>
      </c>
      <c r="F1288" s="55">
        <v>38561</v>
      </c>
      <c r="G1288" s="55">
        <v>23798306.760000002</v>
      </c>
      <c r="H1288" s="251" t="s">
        <v>11976</v>
      </c>
      <c r="I1288" s="909" t="s">
        <v>14587</v>
      </c>
    </row>
    <row r="1289" spans="1:12" ht="22.5" x14ac:dyDescent="0.2">
      <c r="A1289" s="912" t="s">
        <v>3048</v>
      </c>
      <c r="B1289" s="912" t="s">
        <v>6229</v>
      </c>
      <c r="C1289" s="383" t="s">
        <v>9811</v>
      </c>
      <c r="D1289" s="804" t="s">
        <v>6228</v>
      </c>
      <c r="E1289" s="804" t="s">
        <v>6552</v>
      </c>
      <c r="F1289" s="125">
        <v>2959</v>
      </c>
      <c r="G1289" s="62" t="s">
        <v>14430</v>
      </c>
      <c r="H1289" s="251" t="s">
        <v>11976</v>
      </c>
      <c r="I1289" s="909" t="s">
        <v>11668</v>
      </c>
    </row>
    <row r="1290" spans="1:12" ht="22.5" x14ac:dyDescent="0.2">
      <c r="A1290" s="912" t="s">
        <v>3715</v>
      </c>
      <c r="B1290" s="912" t="s">
        <v>6367</v>
      </c>
      <c r="C1290" s="671" t="s">
        <v>9810</v>
      </c>
      <c r="D1290" s="804" t="s">
        <v>6364</v>
      </c>
      <c r="E1290" s="804" t="s">
        <v>6552</v>
      </c>
      <c r="F1290" s="670">
        <v>1023</v>
      </c>
      <c r="G1290" s="123">
        <v>821612.22</v>
      </c>
      <c r="H1290" s="180" t="s">
        <v>9942</v>
      </c>
      <c r="I1290" s="96" t="s">
        <v>14588</v>
      </c>
    </row>
    <row r="1291" spans="1:12" ht="56.25" x14ac:dyDescent="0.2">
      <c r="A1291" s="912" t="s">
        <v>6365</v>
      </c>
      <c r="B1291" s="912" t="s">
        <v>6368</v>
      </c>
      <c r="C1291" s="671" t="s">
        <v>9943</v>
      </c>
      <c r="D1291" s="804" t="s">
        <v>6366</v>
      </c>
      <c r="E1291" s="804" t="s">
        <v>6552</v>
      </c>
      <c r="F1291" s="670">
        <v>3909</v>
      </c>
      <c r="G1291" s="123">
        <v>10241150.01</v>
      </c>
      <c r="H1291" s="180" t="s">
        <v>9944</v>
      </c>
      <c r="I1291" s="96" t="s">
        <v>14588</v>
      </c>
    </row>
    <row r="1292" spans="1:12" ht="56.25" x14ac:dyDescent="0.2">
      <c r="A1292" s="912" t="s">
        <v>6396</v>
      </c>
      <c r="B1292" s="912" t="s">
        <v>14541</v>
      </c>
      <c r="C1292" s="671" t="s">
        <v>7678</v>
      </c>
      <c r="D1292" s="804" t="s">
        <v>6397</v>
      </c>
      <c r="E1292" s="804" t="s">
        <v>6552</v>
      </c>
      <c r="F1292" s="670">
        <v>2415</v>
      </c>
      <c r="G1292" s="198">
        <v>671587.35</v>
      </c>
      <c r="H1292" s="180" t="s">
        <v>11972</v>
      </c>
      <c r="I1292" s="96" t="s">
        <v>14589</v>
      </c>
    </row>
    <row r="1293" spans="1:12" ht="123.75" x14ac:dyDescent="0.2">
      <c r="A1293" s="912" t="s">
        <v>6402</v>
      </c>
      <c r="B1293" s="515" t="s">
        <v>10716</v>
      </c>
      <c r="C1293" s="671" t="s">
        <v>6406</v>
      </c>
      <c r="D1293" s="804" t="s">
        <v>6405</v>
      </c>
      <c r="E1293" s="804" t="s">
        <v>6552</v>
      </c>
      <c r="F1293" s="670">
        <v>1614</v>
      </c>
      <c r="G1293" s="123">
        <v>3035932.9</v>
      </c>
      <c r="H1293" s="251" t="s">
        <v>10140</v>
      </c>
      <c r="I1293" s="96" t="s">
        <v>14589</v>
      </c>
    </row>
    <row r="1294" spans="1:12" ht="123.75" x14ac:dyDescent="0.2">
      <c r="A1294" s="912" t="s">
        <v>6403</v>
      </c>
      <c r="B1294" s="515" t="s">
        <v>10716</v>
      </c>
      <c r="C1294" s="671" t="s">
        <v>14542</v>
      </c>
      <c r="D1294" s="804" t="s">
        <v>6454</v>
      </c>
      <c r="E1294" s="804" t="s">
        <v>6552</v>
      </c>
      <c r="F1294" s="670">
        <v>3635</v>
      </c>
      <c r="G1294" s="123">
        <v>12062056.85</v>
      </c>
      <c r="H1294" s="251" t="s">
        <v>10140</v>
      </c>
      <c r="I1294" s="96" t="s">
        <v>14589</v>
      </c>
    </row>
    <row r="1295" spans="1:12" ht="33.75" x14ac:dyDescent="0.2">
      <c r="A1295" s="912" t="s">
        <v>6404</v>
      </c>
      <c r="B1295" s="912" t="s">
        <v>10127</v>
      </c>
      <c r="C1295" s="671" t="s">
        <v>6507</v>
      </c>
      <c r="D1295" s="804" t="s">
        <v>6574</v>
      </c>
      <c r="E1295" s="804" t="s">
        <v>6552</v>
      </c>
      <c r="F1295" s="670">
        <v>4424</v>
      </c>
      <c r="G1295" s="123" t="s">
        <v>14431</v>
      </c>
      <c r="H1295" s="251" t="s">
        <v>10128</v>
      </c>
      <c r="I1295" s="126"/>
    </row>
    <row r="1296" spans="1:12" ht="67.5" x14ac:dyDescent="0.2">
      <c r="A1296" s="912" t="s">
        <v>6547</v>
      </c>
      <c r="B1296" s="912" t="s">
        <v>6554</v>
      </c>
      <c r="C1296" s="383" t="s">
        <v>7022</v>
      </c>
      <c r="D1296" s="804" t="s">
        <v>6548</v>
      </c>
      <c r="E1296" s="804" t="s">
        <v>6549</v>
      </c>
      <c r="F1296" s="125">
        <v>131982.39999999999</v>
      </c>
      <c r="G1296" s="123">
        <v>66303998.289999999</v>
      </c>
      <c r="H1296" s="126"/>
      <c r="I1296" s="126"/>
    </row>
    <row r="1297" spans="1:9" ht="33.75" x14ac:dyDescent="0.2">
      <c r="A1297" s="912" t="s">
        <v>6573</v>
      </c>
      <c r="B1297" s="912" t="s">
        <v>7004</v>
      </c>
      <c r="C1297" s="383" t="s">
        <v>7461</v>
      </c>
      <c r="D1297" s="804" t="s">
        <v>6572</v>
      </c>
      <c r="E1297" s="804" t="s">
        <v>6558</v>
      </c>
      <c r="F1297" s="125">
        <v>8284</v>
      </c>
      <c r="G1297" s="123">
        <v>15215719.84</v>
      </c>
      <c r="H1297" s="251" t="s">
        <v>11976</v>
      </c>
      <c r="I1297" s="909" t="s">
        <v>14587</v>
      </c>
    </row>
    <row r="1298" spans="1:9" ht="67.5" x14ac:dyDescent="0.2">
      <c r="A1298" s="912" t="s">
        <v>6823</v>
      </c>
      <c r="B1298" s="912" t="s">
        <v>6827</v>
      </c>
      <c r="C1298" s="383" t="s">
        <v>7022</v>
      </c>
      <c r="D1298" s="804" t="s">
        <v>6826</v>
      </c>
      <c r="E1298" s="804" t="s">
        <v>6549</v>
      </c>
      <c r="F1298" s="125">
        <v>222545.5</v>
      </c>
      <c r="G1298" s="123">
        <v>111800182.84</v>
      </c>
      <c r="H1298" s="126"/>
      <c r="I1298" s="126"/>
    </row>
    <row r="1299" spans="1:9" ht="22.5" x14ac:dyDescent="0.2">
      <c r="A1299" s="912" t="s">
        <v>6824</v>
      </c>
      <c r="B1299" s="912" t="s">
        <v>6829</v>
      </c>
      <c r="C1299" s="383" t="s">
        <v>7021</v>
      </c>
      <c r="D1299" s="804" t="s">
        <v>6828</v>
      </c>
      <c r="E1299" s="804" t="s">
        <v>6558</v>
      </c>
      <c r="F1299" s="125">
        <v>89673.3</v>
      </c>
      <c r="G1299" s="123">
        <v>159657930.25</v>
      </c>
      <c r="H1299" s="126"/>
      <c r="I1299" s="126"/>
    </row>
    <row r="1300" spans="1:9" ht="22.5" x14ac:dyDescent="0.2">
      <c r="A1300" s="912" t="s">
        <v>6825</v>
      </c>
      <c r="B1300" s="912" t="s">
        <v>14543</v>
      </c>
      <c r="C1300" s="383" t="s">
        <v>7021</v>
      </c>
      <c r="D1300" s="804" t="s">
        <v>6830</v>
      </c>
      <c r="E1300" s="804" t="s">
        <v>6558</v>
      </c>
      <c r="F1300" s="125">
        <v>13742.8</v>
      </c>
      <c r="G1300" s="123">
        <v>8789413.7599999998</v>
      </c>
      <c r="H1300" s="126"/>
      <c r="I1300" s="126"/>
    </row>
    <row r="1301" spans="1:9" ht="67.5" x14ac:dyDescent="0.2">
      <c r="A1301" s="912" t="s">
        <v>6833</v>
      </c>
      <c r="B1301" s="912" t="s">
        <v>6834</v>
      </c>
      <c r="C1301" s="383" t="s">
        <v>7022</v>
      </c>
      <c r="D1301" s="804" t="s">
        <v>6832</v>
      </c>
      <c r="E1301" s="804" t="s">
        <v>6549</v>
      </c>
      <c r="F1301" s="125">
        <v>47177.4</v>
      </c>
      <c r="G1301" s="123">
        <v>23700510.440000001</v>
      </c>
      <c r="H1301" s="126"/>
      <c r="I1301" s="126"/>
    </row>
    <row r="1302" spans="1:9" ht="45" x14ac:dyDescent="0.2">
      <c r="A1302" s="912" t="s">
        <v>7006</v>
      </c>
      <c r="B1302" s="912" t="s">
        <v>9501</v>
      </c>
      <c r="C1302" s="671" t="s">
        <v>7014</v>
      </c>
      <c r="D1302" s="804" t="s">
        <v>7016</v>
      </c>
      <c r="E1302" s="804" t="s">
        <v>9607</v>
      </c>
      <c r="F1302" s="670">
        <v>6911</v>
      </c>
      <c r="G1302" s="123">
        <v>22932840.41</v>
      </c>
      <c r="H1302" s="96" t="s">
        <v>9945</v>
      </c>
      <c r="I1302" s="96" t="s">
        <v>14588</v>
      </c>
    </row>
    <row r="1303" spans="1:9" ht="45" x14ac:dyDescent="0.2">
      <c r="A1303" s="912" t="s">
        <v>7007</v>
      </c>
      <c r="B1303" s="912" t="s">
        <v>14544</v>
      </c>
      <c r="C1303" s="671" t="s">
        <v>7017</v>
      </c>
      <c r="D1303" s="804" t="s">
        <v>7015</v>
      </c>
      <c r="E1303" s="804" t="s">
        <v>9607</v>
      </c>
      <c r="F1303" s="670">
        <v>14395</v>
      </c>
      <c r="G1303" s="123">
        <v>11561200.300000001</v>
      </c>
      <c r="H1303" s="96" t="s">
        <v>11973</v>
      </c>
      <c r="I1303" s="96" t="s">
        <v>14588</v>
      </c>
    </row>
    <row r="1304" spans="1:9" ht="56.25" x14ac:dyDescent="0.2">
      <c r="A1304" s="912" t="s">
        <v>7008</v>
      </c>
      <c r="B1304" s="912" t="s">
        <v>9641</v>
      </c>
      <c r="C1304" s="671" t="s">
        <v>7019</v>
      </c>
      <c r="D1304" s="804" t="s">
        <v>7018</v>
      </c>
      <c r="E1304" s="804" t="s">
        <v>9607</v>
      </c>
      <c r="F1304" s="670">
        <v>9327</v>
      </c>
      <c r="G1304" s="123">
        <v>4669469.28</v>
      </c>
      <c r="H1304" s="96" t="s">
        <v>9946</v>
      </c>
      <c r="I1304" s="96" t="s">
        <v>14588</v>
      </c>
    </row>
    <row r="1305" spans="1:9" ht="45" x14ac:dyDescent="0.2">
      <c r="A1305" s="912" t="s">
        <v>7009</v>
      </c>
      <c r="B1305" s="912" t="s">
        <v>9501</v>
      </c>
      <c r="C1305" s="671" t="s">
        <v>7020</v>
      </c>
      <c r="D1305" s="804" t="s">
        <v>7005</v>
      </c>
      <c r="E1305" s="804" t="s">
        <v>9607</v>
      </c>
      <c r="F1305" s="670">
        <v>8140</v>
      </c>
      <c r="G1305" s="123">
        <v>5161574</v>
      </c>
      <c r="H1305" s="96" t="s">
        <v>9947</v>
      </c>
      <c r="I1305" s="96" t="s">
        <v>14588</v>
      </c>
    </row>
    <row r="1306" spans="1:9" ht="56.25" x14ac:dyDescent="0.2">
      <c r="A1306" s="912" t="s">
        <v>7010</v>
      </c>
      <c r="B1306" s="912" t="s">
        <v>9642</v>
      </c>
      <c r="C1306" s="671" t="s">
        <v>7085</v>
      </c>
      <c r="D1306" s="804" t="s">
        <v>7023</v>
      </c>
      <c r="E1306" s="804" t="s">
        <v>9607</v>
      </c>
      <c r="F1306" s="670">
        <v>20186</v>
      </c>
      <c r="G1306" s="123">
        <v>52885099.539999999</v>
      </c>
      <c r="H1306" s="96" t="s">
        <v>9948</v>
      </c>
      <c r="I1306" s="96" t="s">
        <v>14588</v>
      </c>
    </row>
    <row r="1307" spans="1:9" ht="56.25" x14ac:dyDescent="0.2">
      <c r="A1307" s="912" t="s">
        <v>7011</v>
      </c>
      <c r="B1307" s="912" t="s">
        <v>9642</v>
      </c>
      <c r="C1307" s="671" t="s">
        <v>7088</v>
      </c>
      <c r="D1307" s="804" t="s">
        <v>7086</v>
      </c>
      <c r="E1307" s="804" t="s">
        <v>9607</v>
      </c>
      <c r="F1307" s="670">
        <v>17868</v>
      </c>
      <c r="G1307" s="123">
        <v>46812194.520000003</v>
      </c>
      <c r="H1307" s="96" t="s">
        <v>9949</v>
      </c>
      <c r="I1307" s="96" t="s">
        <v>14588</v>
      </c>
    </row>
    <row r="1308" spans="1:9" ht="67.5" x14ac:dyDescent="0.2">
      <c r="A1308" s="912" t="s">
        <v>7012</v>
      </c>
      <c r="B1308" s="912" t="s">
        <v>9606</v>
      </c>
      <c r="C1308" s="671" t="s">
        <v>9409</v>
      </c>
      <c r="D1308" s="804" t="s">
        <v>7087</v>
      </c>
      <c r="E1308" s="804" t="s">
        <v>9607</v>
      </c>
      <c r="F1308" s="670">
        <v>10089</v>
      </c>
      <c r="G1308" s="123">
        <v>6397434.9000000004</v>
      </c>
      <c r="H1308" s="96" t="s">
        <v>10129</v>
      </c>
      <c r="I1308" s="96" t="s">
        <v>14588</v>
      </c>
    </row>
    <row r="1309" spans="1:9" ht="33.75" x14ac:dyDescent="0.2">
      <c r="A1309" s="912" t="s">
        <v>7013</v>
      </c>
      <c r="B1309" s="912" t="s">
        <v>14545</v>
      </c>
      <c r="C1309" s="671" t="s">
        <v>7090</v>
      </c>
      <c r="D1309" s="804" t="s">
        <v>7089</v>
      </c>
      <c r="E1309" s="804" t="s">
        <v>6558</v>
      </c>
      <c r="F1309" s="670">
        <v>11770</v>
      </c>
      <c r="G1309" s="123">
        <v>9452957.8000000007</v>
      </c>
      <c r="H1309" s="96" t="s">
        <v>10130</v>
      </c>
      <c r="I1309" s="96" t="s">
        <v>14588</v>
      </c>
    </row>
    <row r="1310" spans="1:9" ht="22.5" x14ac:dyDescent="0.2">
      <c r="A1310" s="912" t="s">
        <v>7462</v>
      </c>
      <c r="B1310" s="912" t="s">
        <v>7465</v>
      </c>
      <c r="C1310" s="383" t="s">
        <v>7464</v>
      </c>
      <c r="D1310" s="804" t="s">
        <v>7463</v>
      </c>
      <c r="E1310" s="804" t="s">
        <v>6558</v>
      </c>
      <c r="F1310" s="125">
        <v>1856</v>
      </c>
      <c r="G1310" s="123">
        <v>3441450.88</v>
      </c>
      <c r="H1310" s="126"/>
      <c r="I1310" s="126"/>
    </row>
    <row r="1311" spans="1:9" ht="45" x14ac:dyDescent="0.2">
      <c r="A1311" s="912" t="s">
        <v>7471</v>
      </c>
      <c r="B1311" s="804" t="s">
        <v>9526</v>
      </c>
      <c r="C1311" s="987" t="s">
        <v>7608</v>
      </c>
      <c r="D1311" s="804" t="s">
        <v>7607</v>
      </c>
      <c r="E1311" s="199" t="s">
        <v>6558</v>
      </c>
      <c r="F1311" s="966">
        <v>2787</v>
      </c>
      <c r="G1311" s="123">
        <v>1767236.7</v>
      </c>
      <c r="H1311" s="96" t="s">
        <v>10131</v>
      </c>
      <c r="I1311" s="96" t="s">
        <v>14588</v>
      </c>
    </row>
    <row r="1312" spans="1:9" ht="45" x14ac:dyDescent="0.2">
      <c r="A1312" s="912" t="s">
        <v>7472</v>
      </c>
      <c r="B1312" s="804" t="s">
        <v>9525</v>
      </c>
      <c r="C1312" s="987" t="s">
        <v>7688</v>
      </c>
      <c r="D1312" s="804" t="s">
        <v>7677</v>
      </c>
      <c r="E1312" s="199" t="s">
        <v>6558</v>
      </c>
      <c r="F1312" s="966">
        <v>5246</v>
      </c>
      <c r="G1312" s="123">
        <v>12741956.939999999</v>
      </c>
      <c r="H1312" s="96" t="s">
        <v>10132</v>
      </c>
      <c r="I1312" s="96" t="s">
        <v>14588</v>
      </c>
    </row>
    <row r="1313" spans="1:9" ht="33.75" x14ac:dyDescent="0.2">
      <c r="A1313" s="912" t="s">
        <v>7473</v>
      </c>
      <c r="B1313" s="912" t="s">
        <v>14546</v>
      </c>
      <c r="C1313" s="671" t="s">
        <v>7703</v>
      </c>
      <c r="D1313" s="804" t="s">
        <v>7687</v>
      </c>
      <c r="E1313" s="199" t="s">
        <v>6558</v>
      </c>
      <c r="F1313" s="670">
        <v>20091</v>
      </c>
      <c r="G1313" s="123">
        <v>12739703.1</v>
      </c>
      <c r="H1313" s="96" t="s">
        <v>10133</v>
      </c>
      <c r="I1313" s="96" t="s">
        <v>14588</v>
      </c>
    </row>
    <row r="1314" spans="1:9" ht="45" x14ac:dyDescent="0.2">
      <c r="A1314" s="912" t="s">
        <v>7702</v>
      </c>
      <c r="B1314" s="912" t="s">
        <v>9501</v>
      </c>
      <c r="C1314" s="671" t="s">
        <v>7704</v>
      </c>
      <c r="D1314" s="804" t="s">
        <v>7701</v>
      </c>
      <c r="E1314" s="199" t="s">
        <v>6558</v>
      </c>
      <c r="F1314" s="670">
        <v>9887</v>
      </c>
      <c r="G1314" s="123">
        <v>25902852.43</v>
      </c>
      <c r="H1314" s="96" t="s">
        <v>10134</v>
      </c>
      <c r="I1314" s="96" t="s">
        <v>14588</v>
      </c>
    </row>
    <row r="1315" spans="1:9" ht="22.5" x14ac:dyDescent="0.2">
      <c r="A1315" s="912" t="s">
        <v>7830</v>
      </c>
      <c r="B1315" s="912" t="s">
        <v>10135</v>
      </c>
      <c r="C1315" s="671" t="s">
        <v>7834</v>
      </c>
      <c r="D1315" s="804" t="s">
        <v>7835</v>
      </c>
      <c r="E1315" s="199" t="s">
        <v>6558</v>
      </c>
      <c r="F1315" s="670">
        <v>1500</v>
      </c>
      <c r="G1315" s="123">
        <v>1204710</v>
      </c>
      <c r="H1315" s="96" t="s">
        <v>10136</v>
      </c>
      <c r="I1315" s="96" t="s">
        <v>14588</v>
      </c>
    </row>
    <row r="1316" spans="1:9" ht="33.75" x14ac:dyDescent="0.2">
      <c r="A1316" s="912" t="s">
        <v>7892</v>
      </c>
      <c r="B1316" s="912" t="s">
        <v>7943</v>
      </c>
      <c r="C1316" s="383" t="s">
        <v>5435</v>
      </c>
      <c r="D1316" s="804" t="s">
        <v>7941</v>
      </c>
      <c r="E1316" s="199" t="s">
        <v>6558</v>
      </c>
      <c r="F1316" s="125">
        <v>30572</v>
      </c>
      <c r="G1316" s="123">
        <v>54431611.68</v>
      </c>
      <c r="H1316" s="126"/>
      <c r="I1316" s="96" t="s">
        <v>14590</v>
      </c>
    </row>
    <row r="1317" spans="1:9" ht="22.5" x14ac:dyDescent="0.2">
      <c r="A1317" s="912" t="s">
        <v>7934</v>
      </c>
      <c r="B1317" s="912" t="s">
        <v>7944</v>
      </c>
      <c r="C1317" s="671" t="s">
        <v>7942</v>
      </c>
      <c r="D1317" s="804" t="s">
        <v>7945</v>
      </c>
      <c r="E1317" s="199" t="s">
        <v>6558</v>
      </c>
      <c r="F1317" s="670">
        <v>47127</v>
      </c>
      <c r="G1317" s="123">
        <v>26894436.359999999</v>
      </c>
      <c r="H1317" s="126"/>
      <c r="I1317" s="96"/>
    </row>
    <row r="1318" spans="1:9" ht="33.75" x14ac:dyDescent="0.2">
      <c r="A1318" s="912" t="s">
        <v>7935</v>
      </c>
      <c r="B1318" s="912" t="s">
        <v>7946</v>
      </c>
      <c r="C1318" s="383" t="s">
        <v>7942</v>
      </c>
      <c r="D1318" s="804" t="s">
        <v>7947</v>
      </c>
      <c r="E1318" s="199" t="s">
        <v>6558</v>
      </c>
      <c r="F1318" s="125">
        <v>21662.5</v>
      </c>
      <c r="G1318" s="123">
        <v>9619833</v>
      </c>
      <c r="H1318" s="126"/>
      <c r="I1318" s="96"/>
    </row>
    <row r="1319" spans="1:9" ht="33.75" x14ac:dyDescent="0.2">
      <c r="A1319" s="912" t="s">
        <v>7936</v>
      </c>
      <c r="B1319" s="912" t="s">
        <v>7948</v>
      </c>
      <c r="C1319" s="383" t="s">
        <v>22</v>
      </c>
      <c r="D1319" s="804" t="s">
        <v>7949</v>
      </c>
      <c r="E1319" s="199" t="s">
        <v>6558</v>
      </c>
      <c r="F1319" s="125">
        <v>428516.5</v>
      </c>
      <c r="G1319" s="123">
        <v>762947917.25999999</v>
      </c>
      <c r="H1319" s="126"/>
      <c r="I1319" s="96"/>
    </row>
    <row r="1320" spans="1:9" ht="67.5" x14ac:dyDescent="0.2">
      <c r="A1320" s="912" t="s">
        <v>7937</v>
      </c>
      <c r="B1320" s="912" t="s">
        <v>7950</v>
      </c>
      <c r="C1320" s="383" t="s">
        <v>22</v>
      </c>
      <c r="D1320" s="804" t="s">
        <v>7951</v>
      </c>
      <c r="E1320" s="199" t="s">
        <v>7952</v>
      </c>
      <c r="F1320" s="125">
        <v>128751.2</v>
      </c>
      <c r="G1320" s="123">
        <v>64680740.340000004</v>
      </c>
      <c r="H1320" s="126"/>
      <c r="I1320" s="96"/>
    </row>
    <row r="1321" spans="1:9" ht="22.5" x14ac:dyDescent="0.2">
      <c r="A1321" s="912" t="s">
        <v>7938</v>
      </c>
      <c r="B1321" s="912" t="s">
        <v>7953</v>
      </c>
      <c r="C1321" s="383" t="s">
        <v>5647</v>
      </c>
      <c r="D1321" s="804" t="s">
        <v>7954</v>
      </c>
      <c r="E1321" s="804" t="s">
        <v>9607</v>
      </c>
      <c r="F1321" s="125">
        <v>12517</v>
      </c>
      <c r="G1321" s="123">
        <v>25890913.82</v>
      </c>
      <c r="H1321" s="126"/>
      <c r="I1321" s="96"/>
    </row>
    <row r="1322" spans="1:9" ht="22.5" x14ac:dyDescent="0.2">
      <c r="A1322" s="912" t="s">
        <v>7939</v>
      </c>
      <c r="B1322" s="912" t="s">
        <v>7958</v>
      </c>
      <c r="C1322" s="383" t="s">
        <v>22</v>
      </c>
      <c r="D1322" s="804" t="s">
        <v>7959</v>
      </c>
      <c r="E1322" s="804" t="s">
        <v>9607</v>
      </c>
      <c r="F1322" s="125">
        <v>346</v>
      </c>
      <c r="G1322" s="123">
        <v>180439</v>
      </c>
      <c r="H1322" s="126"/>
      <c r="I1322" s="126"/>
    </row>
    <row r="1323" spans="1:9" ht="33.75" x14ac:dyDescent="0.2">
      <c r="A1323" s="854" t="s">
        <v>7940</v>
      </c>
      <c r="B1323" s="854" t="s">
        <v>7968</v>
      </c>
      <c r="C1323" s="958" t="s">
        <v>7969</v>
      </c>
      <c r="D1323" s="850" t="s">
        <v>7970</v>
      </c>
      <c r="E1323" s="850" t="s">
        <v>9607</v>
      </c>
      <c r="F1323" s="960">
        <v>7194.1</v>
      </c>
      <c r="G1323" s="925">
        <v>12808663.4</v>
      </c>
      <c r="H1323" s="988"/>
      <c r="I1323" s="988"/>
    </row>
    <row r="1324" spans="1:9" ht="56.25" x14ac:dyDescent="0.2">
      <c r="A1324" s="854" t="s">
        <v>7994</v>
      </c>
      <c r="B1324" s="854" t="s">
        <v>14547</v>
      </c>
      <c r="C1324" s="989" t="s">
        <v>8229</v>
      </c>
      <c r="D1324" s="850" t="s">
        <v>8005</v>
      </c>
      <c r="E1324" s="850" t="s">
        <v>9607</v>
      </c>
      <c r="F1324" s="904">
        <v>2920.4</v>
      </c>
      <c r="G1324" s="925">
        <v>9690792.5199999996</v>
      </c>
      <c r="H1324" s="812" t="s">
        <v>8228</v>
      </c>
      <c r="I1324" s="96" t="s">
        <v>14588</v>
      </c>
    </row>
    <row r="1325" spans="1:9" ht="67.5" x14ac:dyDescent="0.2">
      <c r="A1325" s="854" t="s">
        <v>7995</v>
      </c>
      <c r="B1325" s="854" t="s">
        <v>8147</v>
      </c>
      <c r="C1325" s="989" t="s">
        <v>8144</v>
      </c>
      <c r="D1325" s="850" t="s">
        <v>8146</v>
      </c>
      <c r="E1325" s="850" t="s">
        <v>9607</v>
      </c>
      <c r="F1325" s="904">
        <v>98003</v>
      </c>
      <c r="G1325" s="925">
        <v>160048699.30000001</v>
      </c>
      <c r="H1325" s="812" t="s">
        <v>8230</v>
      </c>
      <c r="I1325" s="96" t="s">
        <v>14588</v>
      </c>
    </row>
    <row r="1326" spans="1:9" ht="67.5" x14ac:dyDescent="0.2">
      <c r="A1326" s="854" t="s">
        <v>8195</v>
      </c>
      <c r="B1326" s="854" t="s">
        <v>9163</v>
      </c>
      <c r="C1326" s="958" t="s">
        <v>7022</v>
      </c>
      <c r="D1326" s="850" t="s">
        <v>8149</v>
      </c>
      <c r="E1326" s="985" t="s">
        <v>6550</v>
      </c>
      <c r="F1326" s="960">
        <v>655</v>
      </c>
      <c r="G1326" s="925">
        <v>2358</v>
      </c>
      <c r="H1326" s="850" t="s">
        <v>14595</v>
      </c>
      <c r="I1326" s="850" t="s">
        <v>14588</v>
      </c>
    </row>
    <row r="1327" spans="1:9" ht="67.5" x14ac:dyDescent="0.2">
      <c r="A1327" s="854" t="s">
        <v>8196</v>
      </c>
      <c r="B1327" s="854" t="s">
        <v>9331</v>
      </c>
      <c r="C1327" s="958" t="s">
        <v>7022</v>
      </c>
      <c r="D1327" s="850" t="s">
        <v>8148</v>
      </c>
      <c r="E1327" s="850" t="s">
        <v>6550</v>
      </c>
      <c r="F1327" s="960">
        <v>155</v>
      </c>
      <c r="G1327" s="894">
        <v>558</v>
      </c>
      <c r="H1327" s="850" t="s">
        <v>14595</v>
      </c>
      <c r="I1327" s="850" t="s">
        <v>14588</v>
      </c>
    </row>
    <row r="1328" spans="1:9" ht="22.5" x14ac:dyDescent="0.2">
      <c r="A1328" s="854" t="s">
        <v>8231</v>
      </c>
      <c r="B1328" s="854" t="s">
        <v>8269</v>
      </c>
      <c r="C1328" s="958" t="s">
        <v>4155</v>
      </c>
      <c r="D1328" s="850" t="s">
        <v>8270</v>
      </c>
      <c r="E1328" s="850" t="s">
        <v>9607</v>
      </c>
      <c r="F1328" s="960">
        <v>2022</v>
      </c>
      <c r="G1328" s="894">
        <v>1529380.14</v>
      </c>
      <c r="H1328" s="990" t="s">
        <v>9827</v>
      </c>
      <c r="I1328" s="811" t="s">
        <v>14590</v>
      </c>
    </row>
    <row r="1329" spans="1:15" ht="56.25" x14ac:dyDescent="0.2">
      <c r="A1329" s="854" t="s">
        <v>8256</v>
      </c>
      <c r="B1329" s="854" t="s">
        <v>8271</v>
      </c>
      <c r="C1329" s="989" t="s">
        <v>14548</v>
      </c>
      <c r="D1329" s="850" t="s">
        <v>8272</v>
      </c>
      <c r="E1329" s="850" t="s">
        <v>9607</v>
      </c>
      <c r="F1329" s="960">
        <v>14126</v>
      </c>
      <c r="G1329" s="926">
        <v>8180931.6399999997</v>
      </c>
      <c r="H1329" s="990" t="s">
        <v>11976</v>
      </c>
      <c r="I1329" s="811" t="s">
        <v>14590</v>
      </c>
    </row>
    <row r="1330" spans="1:15" ht="33.75" x14ac:dyDescent="0.2">
      <c r="A1330" s="854" t="s">
        <v>8268</v>
      </c>
      <c r="B1330" s="854" t="s">
        <v>8273</v>
      </c>
      <c r="C1330" s="958" t="s">
        <v>4155</v>
      </c>
      <c r="D1330" s="850" t="s">
        <v>8274</v>
      </c>
      <c r="E1330" s="850" t="s">
        <v>9607</v>
      </c>
      <c r="F1330" s="960">
        <v>7719</v>
      </c>
      <c r="G1330" s="926">
        <v>4834718.46</v>
      </c>
      <c r="H1330" s="990" t="s">
        <v>9827</v>
      </c>
      <c r="I1330" s="811" t="s">
        <v>14590</v>
      </c>
    </row>
    <row r="1331" spans="1:15" ht="90" x14ac:dyDescent="0.2">
      <c r="A1331" s="854" t="s">
        <v>8276</v>
      </c>
      <c r="B1331" s="854" t="s">
        <v>11666</v>
      </c>
      <c r="C1331" s="958" t="s">
        <v>11667</v>
      </c>
      <c r="D1331" s="850" t="s">
        <v>8275</v>
      </c>
      <c r="E1331" s="850" t="s">
        <v>9607</v>
      </c>
      <c r="F1331" s="960">
        <v>3327</v>
      </c>
      <c r="G1331" s="926">
        <v>2072654.46</v>
      </c>
      <c r="H1331" s="990" t="s">
        <v>11976</v>
      </c>
      <c r="I1331" s="811" t="s">
        <v>14590</v>
      </c>
    </row>
    <row r="1332" spans="1:15" ht="33.75" x14ac:dyDescent="0.2">
      <c r="A1332" s="854" t="s">
        <v>8277</v>
      </c>
      <c r="B1332" s="854" t="s">
        <v>8298</v>
      </c>
      <c r="C1332" s="958" t="s">
        <v>4155</v>
      </c>
      <c r="D1332" s="850" t="s">
        <v>8299</v>
      </c>
      <c r="E1332" s="850" t="s">
        <v>9607</v>
      </c>
      <c r="F1332" s="960">
        <f>9086-382-315</f>
        <v>8389</v>
      </c>
      <c r="G1332" s="926">
        <v>3601901.04</v>
      </c>
      <c r="H1332" s="988"/>
      <c r="I1332" s="811" t="s">
        <v>14590</v>
      </c>
      <c r="M1332" s="949"/>
      <c r="O1332" s="186"/>
    </row>
    <row r="1333" spans="1:15" ht="67.5" x14ac:dyDescent="0.2">
      <c r="A1333" s="854" t="s">
        <v>10494</v>
      </c>
      <c r="B1333" s="854" t="s">
        <v>10495</v>
      </c>
      <c r="C1333" s="958" t="s">
        <v>4155</v>
      </c>
      <c r="D1333" s="850" t="s">
        <v>10496</v>
      </c>
      <c r="E1333" s="850" t="s">
        <v>9607</v>
      </c>
      <c r="F1333" s="960">
        <v>315</v>
      </c>
      <c r="G1333" s="926">
        <v>205972.2</v>
      </c>
      <c r="H1333" s="991" t="s">
        <v>10499</v>
      </c>
      <c r="I1333" s="811" t="s">
        <v>14590</v>
      </c>
      <c r="M1333" s="949"/>
      <c r="O1333" s="186"/>
    </row>
    <row r="1334" spans="1:15" ht="67.5" x14ac:dyDescent="0.2">
      <c r="A1334" s="854" t="s">
        <v>10497</v>
      </c>
      <c r="B1334" s="854" t="s">
        <v>10495</v>
      </c>
      <c r="C1334" s="958" t="s">
        <v>4155</v>
      </c>
      <c r="D1334" s="850" t="s">
        <v>10498</v>
      </c>
      <c r="E1334" s="850" t="s">
        <v>9607</v>
      </c>
      <c r="F1334" s="960">
        <v>382</v>
      </c>
      <c r="G1334" s="926">
        <v>249782.16</v>
      </c>
      <c r="H1334" s="991" t="s">
        <v>10499</v>
      </c>
      <c r="I1334" s="811" t="s">
        <v>14590</v>
      </c>
      <c r="M1334" s="949"/>
      <c r="O1334" s="186"/>
    </row>
    <row r="1335" spans="1:15" ht="33.75" x14ac:dyDescent="0.2">
      <c r="A1335" s="854" t="s">
        <v>8278</v>
      </c>
      <c r="B1335" s="854" t="s">
        <v>8301</v>
      </c>
      <c r="C1335" s="989" t="s">
        <v>9261</v>
      </c>
      <c r="D1335" s="850" t="s">
        <v>8302</v>
      </c>
      <c r="E1335" s="850" t="s">
        <v>9607</v>
      </c>
      <c r="F1335" s="904">
        <v>26791.64</v>
      </c>
      <c r="G1335" s="927">
        <v>55417435.670000002</v>
      </c>
      <c r="H1335" s="991" t="s">
        <v>10137</v>
      </c>
      <c r="I1335" s="812" t="s">
        <v>14589</v>
      </c>
    </row>
    <row r="1336" spans="1:15" ht="56.25" x14ac:dyDescent="0.2">
      <c r="A1336" s="854" t="s">
        <v>8279</v>
      </c>
      <c r="B1336" s="854" t="s">
        <v>9481</v>
      </c>
      <c r="C1336" s="958" t="s">
        <v>9482</v>
      </c>
      <c r="D1336" s="992" t="s">
        <v>9480</v>
      </c>
      <c r="E1336" s="850" t="s">
        <v>9607</v>
      </c>
      <c r="F1336" s="928">
        <v>486</v>
      </c>
      <c r="G1336" s="925">
        <v>210885.12</v>
      </c>
      <c r="H1336" s="991"/>
      <c r="I1336" s="812"/>
    </row>
    <row r="1337" spans="1:15" ht="56.25" x14ac:dyDescent="0.2">
      <c r="A1337" s="854" t="s">
        <v>8300</v>
      </c>
      <c r="B1337" s="854" t="s">
        <v>9481</v>
      </c>
      <c r="C1337" s="955" t="s">
        <v>9253</v>
      </c>
      <c r="D1337" s="851" t="s">
        <v>9256</v>
      </c>
      <c r="E1337" s="850" t="s">
        <v>9607</v>
      </c>
      <c r="F1337" s="853">
        <v>5455</v>
      </c>
      <c r="G1337" s="925">
        <v>3459649.6</v>
      </c>
      <c r="H1337" s="991" t="s">
        <v>10138</v>
      </c>
      <c r="I1337" s="812" t="s">
        <v>14589</v>
      </c>
    </row>
    <row r="1338" spans="1:15" ht="45" x14ac:dyDescent="0.2">
      <c r="A1338" s="854" t="s">
        <v>8959</v>
      </c>
      <c r="B1338" s="854" t="s">
        <v>7460</v>
      </c>
      <c r="C1338" s="989" t="s">
        <v>9260</v>
      </c>
      <c r="D1338" s="992" t="s">
        <v>8257</v>
      </c>
      <c r="E1338" s="850" t="s">
        <v>9607</v>
      </c>
      <c r="F1338" s="979">
        <v>4734</v>
      </c>
      <c r="G1338" s="925">
        <v>3001829.4</v>
      </c>
      <c r="H1338" s="988"/>
      <c r="I1338" s="988"/>
    </row>
    <row r="1339" spans="1:15" ht="22.5" x14ac:dyDescent="0.2">
      <c r="A1339" s="854" t="s">
        <v>8960</v>
      </c>
      <c r="B1339" s="854" t="s">
        <v>8995</v>
      </c>
      <c r="C1339" s="958" t="s">
        <v>9258</v>
      </c>
      <c r="D1339" s="992" t="s">
        <v>8994</v>
      </c>
      <c r="E1339" s="850" t="s">
        <v>9607</v>
      </c>
      <c r="F1339" s="976">
        <v>1453</v>
      </c>
      <c r="G1339" s="926">
        <v>519912.46</v>
      </c>
      <c r="H1339" s="988"/>
      <c r="I1339" s="988"/>
    </row>
    <row r="1340" spans="1:15" ht="33.75" x14ac:dyDescent="0.2">
      <c r="A1340" s="854" t="s">
        <v>8996</v>
      </c>
      <c r="B1340" s="854" t="s">
        <v>9096</v>
      </c>
      <c r="C1340" s="958" t="s">
        <v>9095</v>
      </c>
      <c r="D1340" s="992" t="s">
        <v>9094</v>
      </c>
      <c r="E1340" s="850" t="s">
        <v>9607</v>
      </c>
      <c r="F1340" s="976">
        <v>443</v>
      </c>
      <c r="G1340" s="926">
        <v>522974.79</v>
      </c>
      <c r="H1340" s="990" t="s">
        <v>9827</v>
      </c>
      <c r="I1340" s="850" t="s">
        <v>14591</v>
      </c>
    </row>
    <row r="1341" spans="1:15" ht="22.5" x14ac:dyDescent="0.2">
      <c r="A1341" s="854" t="s">
        <v>9028</v>
      </c>
      <c r="B1341" s="854" t="s">
        <v>9167</v>
      </c>
      <c r="C1341" s="958" t="s">
        <v>7022</v>
      </c>
      <c r="D1341" s="992" t="s">
        <v>9166</v>
      </c>
      <c r="E1341" s="850" t="s">
        <v>9607</v>
      </c>
      <c r="F1341" s="976">
        <v>41316.81</v>
      </c>
      <c r="G1341" s="926">
        <v>21366988.289999999</v>
      </c>
      <c r="H1341" s="46" t="s">
        <v>14993</v>
      </c>
      <c r="I1341" s="850" t="s">
        <v>14995</v>
      </c>
    </row>
    <row r="1342" spans="1:15" ht="56.25" x14ac:dyDescent="0.2">
      <c r="A1342" s="1052" t="s">
        <v>10500</v>
      </c>
      <c r="B1342" s="1056" t="s">
        <v>11650</v>
      </c>
      <c r="C1342" s="1053" t="s">
        <v>14991</v>
      </c>
      <c r="D1342" s="1030" t="s">
        <v>14992</v>
      </c>
      <c r="E1342" s="1054" t="s">
        <v>9607</v>
      </c>
      <c r="F1342" s="1055">
        <v>1378</v>
      </c>
      <c r="G1342" s="1057">
        <v>710731.06</v>
      </c>
      <c r="H1342" s="1030" t="s">
        <v>14994</v>
      </c>
      <c r="I1342" s="1054" t="s">
        <v>14591</v>
      </c>
    </row>
    <row r="1343" spans="1:15" ht="33.75" x14ac:dyDescent="0.2">
      <c r="A1343" s="854" t="s">
        <v>9168</v>
      </c>
      <c r="B1343" s="854" t="s">
        <v>9164</v>
      </c>
      <c r="C1343" s="958" t="s">
        <v>4155</v>
      </c>
      <c r="D1343" s="992" t="s">
        <v>9165</v>
      </c>
      <c r="E1343" s="850" t="s">
        <v>9607</v>
      </c>
      <c r="F1343" s="976">
        <v>13572</v>
      </c>
      <c r="G1343" s="926">
        <v>9156349.8000000007</v>
      </c>
      <c r="H1343" s="850" t="s">
        <v>13822</v>
      </c>
      <c r="I1343" s="812" t="s">
        <v>14589</v>
      </c>
    </row>
    <row r="1344" spans="1:15" ht="22.5" x14ac:dyDescent="0.2">
      <c r="A1344" s="854" t="s">
        <v>9169</v>
      </c>
      <c r="B1344" s="854" t="s">
        <v>8995</v>
      </c>
      <c r="C1344" s="958" t="s">
        <v>9259</v>
      </c>
      <c r="D1344" s="992" t="s">
        <v>9172</v>
      </c>
      <c r="E1344" s="850" t="s">
        <v>9607</v>
      </c>
      <c r="F1344" s="976">
        <v>1200</v>
      </c>
      <c r="G1344" s="926">
        <v>435804</v>
      </c>
      <c r="H1344" s="995"/>
      <c r="I1344" s="850"/>
    </row>
    <row r="1345" spans="1:9" ht="22.5" x14ac:dyDescent="0.2">
      <c r="A1345" s="854" t="s">
        <v>9170</v>
      </c>
      <c r="B1345" s="854" t="s">
        <v>9176</v>
      </c>
      <c r="C1345" s="958" t="s">
        <v>5701</v>
      </c>
      <c r="D1345" s="992" t="s">
        <v>9175</v>
      </c>
      <c r="E1345" s="850" t="s">
        <v>9607</v>
      </c>
      <c r="F1345" s="976">
        <f>3850-1500</f>
        <v>2350</v>
      </c>
      <c r="G1345" s="926">
        <v>1086146.5</v>
      </c>
      <c r="H1345" s="988"/>
      <c r="I1345" s="988"/>
    </row>
    <row r="1346" spans="1:9" ht="45" x14ac:dyDescent="0.2">
      <c r="A1346" s="854" t="s">
        <v>9586</v>
      </c>
      <c r="B1346" s="977" t="s">
        <v>7476</v>
      </c>
      <c r="C1346" s="958" t="s">
        <v>9587</v>
      </c>
      <c r="D1346" s="992" t="s">
        <v>9588</v>
      </c>
      <c r="E1346" s="850" t="s">
        <v>9607</v>
      </c>
      <c r="F1346" s="976">
        <v>1500</v>
      </c>
      <c r="G1346" s="926">
        <v>380370</v>
      </c>
      <c r="H1346" s="988"/>
      <c r="I1346" s="812" t="s">
        <v>14592</v>
      </c>
    </row>
    <row r="1347" spans="1:9" ht="33.75" x14ac:dyDescent="0.2">
      <c r="A1347" s="854" t="s">
        <v>9171</v>
      </c>
      <c r="B1347" s="854" t="s">
        <v>9197</v>
      </c>
      <c r="C1347" s="958" t="s">
        <v>4155</v>
      </c>
      <c r="D1347" s="992" t="s">
        <v>9198</v>
      </c>
      <c r="E1347" s="850" t="s">
        <v>9607</v>
      </c>
      <c r="F1347" s="976">
        <v>134</v>
      </c>
      <c r="G1347" s="926">
        <v>90068.1</v>
      </c>
      <c r="H1347" s="850" t="s">
        <v>14596</v>
      </c>
      <c r="I1347" s="850" t="s">
        <v>14590</v>
      </c>
    </row>
    <row r="1348" spans="1:9" ht="67.5" x14ac:dyDescent="0.2">
      <c r="A1348" s="854" t="s">
        <v>9215</v>
      </c>
      <c r="B1348" s="954" t="s">
        <v>9227</v>
      </c>
      <c r="C1348" s="955" t="s">
        <v>14550</v>
      </c>
      <c r="D1348" s="851" t="s">
        <v>9226</v>
      </c>
      <c r="E1348" s="850" t="s">
        <v>9607</v>
      </c>
      <c r="F1348" s="927">
        <v>20160</v>
      </c>
      <c r="G1348" s="925">
        <v>10749312</v>
      </c>
      <c r="H1348" s="850" t="s">
        <v>11670</v>
      </c>
      <c r="I1348" s="850" t="s">
        <v>14590</v>
      </c>
    </row>
    <row r="1349" spans="1:9" ht="67.5" x14ac:dyDescent="0.2">
      <c r="A1349" s="854" t="s">
        <v>9216</v>
      </c>
      <c r="B1349" s="954" t="s">
        <v>9255</v>
      </c>
      <c r="C1349" s="955" t="s">
        <v>9254</v>
      </c>
      <c r="D1349" s="851" t="s">
        <v>9257</v>
      </c>
      <c r="E1349" s="850" t="s">
        <v>9607</v>
      </c>
      <c r="F1349" s="853">
        <v>4959</v>
      </c>
      <c r="G1349" s="925">
        <v>3145136</v>
      </c>
      <c r="H1349" s="811" t="s">
        <v>10138</v>
      </c>
      <c r="I1349" s="812" t="s">
        <v>14589</v>
      </c>
    </row>
    <row r="1350" spans="1:9" ht="56.25" x14ac:dyDescent="0.2">
      <c r="A1350" s="854" t="s">
        <v>9217</v>
      </c>
      <c r="B1350" s="954" t="s">
        <v>9224</v>
      </c>
      <c r="C1350" s="996" t="s">
        <v>14131</v>
      </c>
      <c r="D1350" s="851" t="s">
        <v>9225</v>
      </c>
      <c r="E1350" s="850" t="s">
        <v>9607</v>
      </c>
      <c r="F1350" s="928">
        <v>2742</v>
      </c>
      <c r="G1350" s="925">
        <v>1896394.62</v>
      </c>
      <c r="H1350" s="850" t="s">
        <v>14595</v>
      </c>
      <c r="I1350" s="812" t="s">
        <v>14589</v>
      </c>
    </row>
    <row r="1351" spans="1:9" ht="123.75" x14ac:dyDescent="0.2">
      <c r="A1351" s="854" t="s">
        <v>9218</v>
      </c>
      <c r="B1351" s="997" t="s">
        <v>10595</v>
      </c>
      <c r="C1351" s="955" t="s">
        <v>9448</v>
      </c>
      <c r="D1351" s="992" t="s">
        <v>9449</v>
      </c>
      <c r="E1351" s="850" t="s">
        <v>9607</v>
      </c>
      <c r="F1351" s="853">
        <v>6424</v>
      </c>
      <c r="G1351" s="927">
        <v>3216111.36</v>
      </c>
      <c r="H1351" s="850" t="s">
        <v>10140</v>
      </c>
      <c r="I1351" s="812" t="s">
        <v>14589</v>
      </c>
    </row>
    <row r="1352" spans="1:9" ht="45" x14ac:dyDescent="0.2">
      <c r="A1352" s="854" t="s">
        <v>9219</v>
      </c>
      <c r="B1352" s="854" t="s">
        <v>9396</v>
      </c>
      <c r="C1352" s="989" t="s">
        <v>9447</v>
      </c>
      <c r="D1352" s="850" t="s">
        <v>9395</v>
      </c>
      <c r="E1352" s="850" t="s">
        <v>9607</v>
      </c>
      <c r="F1352" s="853">
        <v>3517</v>
      </c>
      <c r="G1352" s="925">
        <v>1011489.2</v>
      </c>
      <c r="H1352" s="850" t="s">
        <v>10140</v>
      </c>
      <c r="I1352" s="812" t="s">
        <v>14589</v>
      </c>
    </row>
    <row r="1353" spans="1:9" ht="56.25" x14ac:dyDescent="0.2">
      <c r="A1353" s="854" t="s">
        <v>9220</v>
      </c>
      <c r="B1353" s="954" t="s">
        <v>9527</v>
      </c>
      <c r="C1353" s="955" t="s">
        <v>9407</v>
      </c>
      <c r="D1353" s="851" t="s">
        <v>9408</v>
      </c>
      <c r="E1353" s="850" t="s">
        <v>9607</v>
      </c>
      <c r="F1353" s="853">
        <v>5747</v>
      </c>
      <c r="G1353" s="925">
        <v>15056507.83</v>
      </c>
      <c r="H1353" s="850" t="s">
        <v>10139</v>
      </c>
      <c r="I1353" s="812" t="s">
        <v>14589</v>
      </c>
    </row>
    <row r="1354" spans="1:9" ht="45" x14ac:dyDescent="0.2">
      <c r="A1354" s="854" t="s">
        <v>9221</v>
      </c>
      <c r="B1354" s="954" t="s">
        <v>9562</v>
      </c>
      <c r="C1354" s="955" t="s">
        <v>9560</v>
      </c>
      <c r="D1354" s="851" t="s">
        <v>9561</v>
      </c>
      <c r="E1354" s="850" t="s">
        <v>9607</v>
      </c>
      <c r="F1354" s="853">
        <v>3048</v>
      </c>
      <c r="G1354" s="925">
        <v>7985424.7199999997</v>
      </c>
      <c r="H1354" s="850" t="s">
        <v>14193</v>
      </c>
      <c r="I1354" s="812" t="s">
        <v>14589</v>
      </c>
    </row>
    <row r="1355" spans="1:9" ht="56.25" x14ac:dyDescent="0.2">
      <c r="A1355" s="854" t="s">
        <v>9410</v>
      </c>
      <c r="B1355" s="854" t="s">
        <v>9481</v>
      </c>
      <c r="C1355" s="989" t="s">
        <v>6444</v>
      </c>
      <c r="D1355" s="992" t="s">
        <v>9479</v>
      </c>
      <c r="E1355" s="850" t="s">
        <v>9607</v>
      </c>
      <c r="F1355" s="853">
        <v>3606</v>
      </c>
      <c r="G1355" s="925">
        <v>1877824.5</v>
      </c>
      <c r="H1355" s="850" t="s">
        <v>14180</v>
      </c>
      <c r="I1355" s="812" t="s">
        <v>14589</v>
      </c>
    </row>
    <row r="1356" spans="1:9" ht="56.25" x14ac:dyDescent="0.2">
      <c r="A1356" s="854" t="s">
        <v>9411</v>
      </c>
      <c r="B1356" s="854" t="s">
        <v>9336</v>
      </c>
      <c r="C1356" s="989" t="s">
        <v>9338</v>
      </c>
      <c r="D1356" s="850" t="s">
        <v>8303</v>
      </c>
      <c r="E1356" s="985" t="s">
        <v>9607</v>
      </c>
      <c r="F1356" s="904">
        <v>9361</v>
      </c>
      <c r="G1356" s="927">
        <v>24524790.289999999</v>
      </c>
      <c r="H1356" s="850" t="s">
        <v>10137</v>
      </c>
      <c r="I1356" s="812" t="s">
        <v>14589</v>
      </c>
    </row>
    <row r="1357" spans="1:9" ht="56.25" x14ac:dyDescent="0.2">
      <c r="A1357" s="854" t="s">
        <v>9412</v>
      </c>
      <c r="B1357" s="854" t="s">
        <v>9640</v>
      </c>
      <c r="C1357" s="989" t="s">
        <v>9574</v>
      </c>
      <c r="D1357" s="851" t="s">
        <v>9573</v>
      </c>
      <c r="E1357" s="850" t="s">
        <v>9607</v>
      </c>
      <c r="F1357" s="853">
        <v>5880</v>
      </c>
      <c r="G1357" s="925">
        <v>15404953.199999999</v>
      </c>
      <c r="H1357" s="850" t="s">
        <v>9809</v>
      </c>
      <c r="I1357" s="812" t="s">
        <v>14589</v>
      </c>
    </row>
    <row r="1358" spans="1:9" ht="56.25" x14ac:dyDescent="0.2">
      <c r="A1358" s="854" t="s">
        <v>9469</v>
      </c>
      <c r="B1358" s="854" t="s">
        <v>9481</v>
      </c>
      <c r="C1358" s="989" t="s">
        <v>9488</v>
      </c>
      <c r="D1358" s="992" t="s">
        <v>9782</v>
      </c>
      <c r="E1358" s="850" t="s">
        <v>9607</v>
      </c>
      <c r="F1358" s="853">
        <v>1945</v>
      </c>
      <c r="G1358" s="925">
        <v>6454112.9500000002</v>
      </c>
      <c r="H1358" s="812" t="s">
        <v>9951</v>
      </c>
      <c r="I1358" s="812" t="s">
        <v>14589</v>
      </c>
    </row>
    <row r="1359" spans="1:9" ht="78.75" x14ac:dyDescent="0.2">
      <c r="A1359" s="854" t="s">
        <v>9470</v>
      </c>
      <c r="B1359" s="854" t="s">
        <v>9783</v>
      </c>
      <c r="C1359" s="989" t="s">
        <v>9784</v>
      </c>
      <c r="D1359" s="992" t="s">
        <v>9472</v>
      </c>
      <c r="E1359" s="850" t="s">
        <v>9607</v>
      </c>
      <c r="F1359" s="853">
        <v>3531</v>
      </c>
      <c r="G1359" s="925">
        <v>11716952.609999999</v>
      </c>
      <c r="H1359" s="812" t="s">
        <v>9952</v>
      </c>
      <c r="I1359" s="812" t="s">
        <v>14589</v>
      </c>
    </row>
    <row r="1360" spans="1:9" ht="56.25" x14ac:dyDescent="0.2">
      <c r="A1360" s="854" t="s">
        <v>9471</v>
      </c>
      <c r="B1360" s="998" t="s">
        <v>9222</v>
      </c>
      <c r="C1360" s="958" t="s">
        <v>14245</v>
      </c>
      <c r="D1360" s="992" t="s">
        <v>9223</v>
      </c>
      <c r="E1360" s="850" t="s">
        <v>9607</v>
      </c>
      <c r="F1360" s="976">
        <v>13630</v>
      </c>
      <c r="G1360" s="926">
        <v>6853300.2999999998</v>
      </c>
      <c r="H1360" s="811" t="s">
        <v>13822</v>
      </c>
      <c r="I1360" s="812" t="s">
        <v>14589</v>
      </c>
    </row>
    <row r="1361" spans="1:9" ht="123.75" x14ac:dyDescent="0.2">
      <c r="A1361" s="854" t="s">
        <v>9475</v>
      </c>
      <c r="B1361" s="999" t="s">
        <v>10125</v>
      </c>
      <c r="C1361" s="986" t="s">
        <v>5559</v>
      </c>
      <c r="D1361" s="1000" t="s">
        <v>9603</v>
      </c>
      <c r="E1361" s="850" t="s">
        <v>9607</v>
      </c>
      <c r="F1361" s="979">
        <v>4325</v>
      </c>
      <c r="G1361" s="925">
        <v>14351690.75</v>
      </c>
      <c r="H1361" s="1001" t="s">
        <v>14551</v>
      </c>
      <c r="I1361" s="812" t="s">
        <v>14589</v>
      </c>
    </row>
    <row r="1362" spans="1:9" ht="22.5" x14ac:dyDescent="0.2">
      <c r="A1362" s="854" t="s">
        <v>9476</v>
      </c>
      <c r="B1362" s="850" t="s">
        <v>9610</v>
      </c>
      <c r="C1362" s="958" t="s">
        <v>9608</v>
      </c>
      <c r="D1362" s="992" t="s">
        <v>9609</v>
      </c>
      <c r="E1362" s="850" t="s">
        <v>9607</v>
      </c>
      <c r="F1362" s="928">
        <v>1163</v>
      </c>
      <c r="G1362" s="925">
        <v>167948.83</v>
      </c>
      <c r="H1362" s="988"/>
      <c r="I1362" s="988"/>
    </row>
    <row r="1363" spans="1:9" ht="22.5" x14ac:dyDescent="0.2">
      <c r="A1363" s="854" t="s">
        <v>9477</v>
      </c>
      <c r="B1363" s="850" t="s">
        <v>9610</v>
      </c>
      <c r="C1363" s="958" t="s">
        <v>9612</v>
      </c>
      <c r="D1363" s="992" t="s">
        <v>9611</v>
      </c>
      <c r="E1363" s="850" t="s">
        <v>9607</v>
      </c>
      <c r="F1363" s="928">
        <v>896</v>
      </c>
      <c r="G1363" s="925">
        <v>129794.56</v>
      </c>
      <c r="H1363" s="988"/>
      <c r="I1363" s="988"/>
    </row>
    <row r="1364" spans="1:9" ht="67.5" x14ac:dyDescent="0.2">
      <c r="A1364" s="854" t="s">
        <v>9478</v>
      </c>
      <c r="B1364" s="854" t="s">
        <v>9606</v>
      </c>
      <c r="C1364" s="989" t="s">
        <v>9796</v>
      </c>
      <c r="D1364" s="992" t="s">
        <v>14552</v>
      </c>
      <c r="E1364" s="850" t="s">
        <v>6558</v>
      </c>
      <c r="F1364" s="979">
        <v>8387</v>
      </c>
      <c r="G1364" s="925">
        <v>5318196.7</v>
      </c>
      <c r="H1364" s="812" t="s">
        <v>14196</v>
      </c>
      <c r="I1364" s="812" t="s">
        <v>14589</v>
      </c>
    </row>
    <row r="1365" spans="1:9" ht="67.5" x14ac:dyDescent="0.2">
      <c r="A1365" s="854" t="s">
        <v>9563</v>
      </c>
      <c r="B1365" s="986" t="s">
        <v>9776</v>
      </c>
      <c r="C1365" s="986" t="s">
        <v>9778</v>
      </c>
      <c r="D1365" s="854" t="s">
        <v>9774</v>
      </c>
      <c r="E1365" s="850" t="s">
        <v>6558</v>
      </c>
      <c r="F1365" s="979">
        <v>10989</v>
      </c>
      <c r="G1365" s="925">
        <v>28789971.210000001</v>
      </c>
      <c r="H1365" s="812" t="s">
        <v>10141</v>
      </c>
      <c r="I1365" s="812" t="s">
        <v>14589</v>
      </c>
    </row>
    <row r="1366" spans="1:9" ht="56.25" x14ac:dyDescent="0.2">
      <c r="A1366" s="854" t="s">
        <v>9564</v>
      </c>
      <c r="B1366" s="852" t="s">
        <v>9481</v>
      </c>
      <c r="C1366" s="1002" t="s">
        <v>9780</v>
      </c>
      <c r="D1366" s="974" t="s">
        <v>9781</v>
      </c>
      <c r="E1366" s="985" t="s">
        <v>9607</v>
      </c>
      <c r="F1366" s="853">
        <v>3222</v>
      </c>
      <c r="G1366" s="924">
        <v>10691594.82</v>
      </c>
      <c r="H1366" s="977" t="s">
        <v>10142</v>
      </c>
      <c r="I1366" s="984"/>
    </row>
    <row r="1367" spans="1:9" ht="56.25" x14ac:dyDescent="0.2">
      <c r="A1367" s="854" t="s">
        <v>9565</v>
      </c>
      <c r="B1367" s="986" t="s">
        <v>9777</v>
      </c>
      <c r="C1367" s="989" t="s">
        <v>10806</v>
      </c>
      <c r="D1367" s="992" t="s">
        <v>9773</v>
      </c>
      <c r="E1367" s="850" t="s">
        <v>6558</v>
      </c>
      <c r="F1367" s="979">
        <v>304</v>
      </c>
      <c r="G1367" s="925">
        <v>244154.56</v>
      </c>
      <c r="H1367" s="812" t="s">
        <v>10143</v>
      </c>
      <c r="I1367" s="1003"/>
    </row>
    <row r="1368" spans="1:9" ht="33.75" x14ac:dyDescent="0.2">
      <c r="A1368" s="854" t="s">
        <v>9566</v>
      </c>
      <c r="B1368" s="986" t="s">
        <v>9891</v>
      </c>
      <c r="C1368" s="1004" t="s">
        <v>9800</v>
      </c>
      <c r="D1368" s="970" t="s">
        <v>14553</v>
      </c>
      <c r="E1368" s="850" t="s">
        <v>6558</v>
      </c>
      <c r="F1368" s="976">
        <v>1491</v>
      </c>
      <c r="G1368" s="925">
        <v>3906255.99</v>
      </c>
      <c r="H1368" s="850"/>
      <c r="I1368" s="850"/>
    </row>
    <row r="1369" spans="1:9" ht="56.25" x14ac:dyDescent="0.2">
      <c r="A1369" s="854" t="s">
        <v>9775</v>
      </c>
      <c r="B1369" s="852" t="s">
        <v>9826</v>
      </c>
      <c r="C1369" s="850" t="s">
        <v>11974</v>
      </c>
      <c r="D1369" s="850" t="s">
        <v>9824</v>
      </c>
      <c r="E1369" s="985" t="s">
        <v>6558</v>
      </c>
      <c r="F1369" s="853">
        <v>3056</v>
      </c>
      <c r="G1369" s="925">
        <v>836946.72</v>
      </c>
      <c r="H1369" s="977" t="s">
        <v>10126</v>
      </c>
      <c r="I1369" s="812" t="s">
        <v>14589</v>
      </c>
    </row>
    <row r="1370" spans="1:9" ht="56.25" x14ac:dyDescent="0.2">
      <c r="A1370" s="854" t="s">
        <v>9884</v>
      </c>
      <c r="B1370" s="852" t="s">
        <v>9826</v>
      </c>
      <c r="C1370" s="850" t="s">
        <v>9917</v>
      </c>
      <c r="D1370" s="850" t="s">
        <v>9916</v>
      </c>
      <c r="E1370" s="985" t="s">
        <v>6558</v>
      </c>
      <c r="F1370" s="853">
        <v>6312</v>
      </c>
      <c r="G1370" s="925">
        <v>20944044.489999998</v>
      </c>
      <c r="H1370" s="977" t="s">
        <v>9950</v>
      </c>
      <c r="I1370" s="812" t="s">
        <v>14589</v>
      </c>
    </row>
    <row r="1371" spans="1:9" ht="56.25" x14ac:dyDescent="0.2">
      <c r="A1371" s="854" t="s">
        <v>9885</v>
      </c>
      <c r="B1371" s="852" t="s">
        <v>9826</v>
      </c>
      <c r="C1371" s="850" t="s">
        <v>9940</v>
      </c>
      <c r="D1371" s="850" t="s">
        <v>9941</v>
      </c>
      <c r="E1371" s="985" t="s">
        <v>9607</v>
      </c>
      <c r="F1371" s="853">
        <v>4836</v>
      </c>
      <c r="G1371" s="925">
        <v>16047347.16</v>
      </c>
      <c r="H1371" s="977" t="s">
        <v>9950</v>
      </c>
      <c r="I1371" s="812" t="s">
        <v>14589</v>
      </c>
    </row>
    <row r="1372" spans="1:9" ht="56.25" x14ac:dyDescent="0.2">
      <c r="A1372" s="854" t="s">
        <v>9886</v>
      </c>
      <c r="B1372" s="852" t="s">
        <v>10245</v>
      </c>
      <c r="C1372" s="850" t="s">
        <v>10123</v>
      </c>
      <c r="D1372" s="850" t="s">
        <v>10124</v>
      </c>
      <c r="E1372" s="985" t="s">
        <v>9607</v>
      </c>
      <c r="F1372" s="853">
        <v>6785</v>
      </c>
      <c r="G1372" s="925">
        <v>22514733.350000001</v>
      </c>
      <c r="H1372" s="977" t="s">
        <v>10563</v>
      </c>
      <c r="I1372" s="812" t="s">
        <v>14589</v>
      </c>
    </row>
    <row r="1373" spans="1:9" ht="22.5" x14ac:dyDescent="0.2">
      <c r="A1373" s="912" t="s">
        <v>10207</v>
      </c>
      <c r="B1373" s="804" t="s">
        <v>10208</v>
      </c>
      <c r="C1373" s="1005" t="s">
        <v>5819</v>
      </c>
      <c r="D1373" s="804" t="s">
        <v>10209</v>
      </c>
      <c r="E1373" s="804" t="s">
        <v>9607</v>
      </c>
      <c r="F1373" s="231">
        <v>754</v>
      </c>
      <c r="G1373" s="231">
        <v>503506.12</v>
      </c>
      <c r="H1373" s="1006"/>
      <c r="I1373" s="812"/>
    </row>
    <row r="1374" spans="1:9" ht="45" x14ac:dyDescent="0.2">
      <c r="A1374" s="912" t="s">
        <v>10210</v>
      </c>
      <c r="B1374" s="804" t="s">
        <v>9818</v>
      </c>
      <c r="C1374" s="236" t="s">
        <v>8323</v>
      </c>
      <c r="D1374" s="804" t="s">
        <v>14554</v>
      </c>
      <c r="E1374" s="144" t="s">
        <v>6553</v>
      </c>
      <c r="F1374" s="55">
        <v>6367</v>
      </c>
      <c r="G1374" s="55">
        <v>2733735.12</v>
      </c>
      <c r="H1374" s="1006"/>
      <c r="I1374" s="180" t="s">
        <v>14590</v>
      </c>
    </row>
    <row r="1375" spans="1:9" ht="22.5" x14ac:dyDescent="0.2">
      <c r="A1375" s="912" t="s">
        <v>10211</v>
      </c>
      <c r="B1375" s="804" t="s">
        <v>10212</v>
      </c>
      <c r="C1375" s="909" t="s">
        <v>10213</v>
      </c>
      <c r="D1375" s="114" t="s">
        <v>10214</v>
      </c>
      <c r="E1375" s="144" t="s">
        <v>6553</v>
      </c>
      <c r="F1375" s="380">
        <v>40267</v>
      </c>
      <c r="G1375" s="123">
        <v>54287969.399999999</v>
      </c>
      <c r="H1375" s="180" t="s">
        <v>11670</v>
      </c>
      <c r="I1375" s="180" t="s">
        <v>14590</v>
      </c>
    </row>
    <row r="1376" spans="1:9" ht="22.5" x14ac:dyDescent="0.2">
      <c r="A1376" s="912" t="s">
        <v>10215</v>
      </c>
      <c r="B1376" s="804" t="s">
        <v>10212</v>
      </c>
      <c r="C1376" s="909" t="s">
        <v>5648</v>
      </c>
      <c r="D1376" s="114" t="s">
        <v>10216</v>
      </c>
      <c r="E1376" s="144" t="s">
        <v>6553</v>
      </c>
      <c r="F1376" s="380">
        <v>6469</v>
      </c>
      <c r="G1376" s="123">
        <v>7474347.29</v>
      </c>
      <c r="H1376" s="180" t="s">
        <v>11670</v>
      </c>
      <c r="I1376" s="180" t="s">
        <v>14590</v>
      </c>
    </row>
    <row r="1377" spans="1:9" ht="56.25" x14ac:dyDescent="0.2">
      <c r="A1377" s="912" t="s">
        <v>10217</v>
      </c>
      <c r="B1377" s="199" t="s">
        <v>10218</v>
      </c>
      <c r="C1377" s="908" t="s">
        <v>10219</v>
      </c>
      <c r="D1377" s="239" t="s">
        <v>10220</v>
      </c>
      <c r="E1377" s="384" t="s">
        <v>6553</v>
      </c>
      <c r="F1377" s="238">
        <v>5140</v>
      </c>
      <c r="G1377" s="123">
        <v>8368639.5999999996</v>
      </c>
      <c r="H1377" s="184" t="s">
        <v>11976</v>
      </c>
      <c r="I1377" s="180" t="s">
        <v>14590</v>
      </c>
    </row>
    <row r="1378" spans="1:9" ht="67.5" x14ac:dyDescent="0.2">
      <c r="A1378" s="912" t="s">
        <v>10221</v>
      </c>
      <c r="B1378" s="804" t="s">
        <v>10222</v>
      </c>
      <c r="C1378" s="908" t="s">
        <v>14555</v>
      </c>
      <c r="D1378" s="239" t="s">
        <v>10223</v>
      </c>
      <c r="E1378" s="384" t="s">
        <v>10224</v>
      </c>
      <c r="F1378" s="238">
        <v>420942.9</v>
      </c>
      <c r="G1378" s="123">
        <v>78387986.840000004</v>
      </c>
      <c r="H1378" s="184" t="s">
        <v>13822</v>
      </c>
      <c r="I1378" s="812" t="s">
        <v>14589</v>
      </c>
    </row>
    <row r="1379" spans="1:9" ht="45" x14ac:dyDescent="0.2">
      <c r="A1379" s="912" t="s">
        <v>10225</v>
      </c>
      <c r="B1379" s="184" t="s">
        <v>10226</v>
      </c>
      <c r="C1379" s="908" t="s">
        <v>10227</v>
      </c>
      <c r="D1379" s="239" t="s">
        <v>10228</v>
      </c>
      <c r="E1379" s="384" t="s">
        <v>6553</v>
      </c>
      <c r="F1379" s="238">
        <v>10282</v>
      </c>
      <c r="G1379" s="123">
        <v>7011707.0800000001</v>
      </c>
      <c r="H1379" s="184"/>
      <c r="I1379" s="180" t="s">
        <v>14590</v>
      </c>
    </row>
    <row r="1380" spans="1:9" ht="45" x14ac:dyDescent="0.2">
      <c r="A1380" s="912" t="s">
        <v>10229</v>
      </c>
      <c r="B1380" s="184" t="s">
        <v>10230</v>
      </c>
      <c r="C1380" s="908" t="s">
        <v>10231</v>
      </c>
      <c r="D1380" s="239" t="s">
        <v>10232</v>
      </c>
      <c r="E1380" s="384" t="s">
        <v>6553</v>
      </c>
      <c r="F1380" s="238">
        <v>40</v>
      </c>
      <c r="G1380" s="123">
        <v>27245.200000000001</v>
      </c>
      <c r="H1380" s="184"/>
      <c r="I1380" s="180" t="s">
        <v>14590</v>
      </c>
    </row>
    <row r="1381" spans="1:9" ht="33.75" x14ac:dyDescent="0.2">
      <c r="A1381" s="912" t="s">
        <v>10233</v>
      </c>
      <c r="B1381" s="184" t="s">
        <v>10234</v>
      </c>
      <c r="C1381" s="908" t="s">
        <v>10235</v>
      </c>
      <c r="D1381" s="239" t="s">
        <v>10236</v>
      </c>
      <c r="E1381" s="384" t="s">
        <v>6553</v>
      </c>
      <c r="F1381" s="667">
        <v>11651</v>
      </c>
      <c r="G1381" s="667">
        <v>3239444.04</v>
      </c>
      <c r="H1381" s="180" t="s">
        <v>11972</v>
      </c>
      <c r="I1381" s="812" t="s">
        <v>14589</v>
      </c>
    </row>
    <row r="1382" spans="1:9" ht="33.75" x14ac:dyDescent="0.2">
      <c r="A1382" s="854" t="s">
        <v>10237</v>
      </c>
      <c r="B1382" s="984" t="s">
        <v>10238</v>
      </c>
      <c r="C1382" s="815" t="s">
        <v>14556</v>
      </c>
      <c r="D1382" s="851" t="s">
        <v>10239</v>
      </c>
      <c r="E1382" s="1007" t="s">
        <v>6553</v>
      </c>
      <c r="F1382" s="928">
        <v>9993</v>
      </c>
      <c r="G1382" s="928">
        <v>17791936.920000002</v>
      </c>
      <c r="H1382" s="977"/>
      <c r="I1382" s="812"/>
    </row>
    <row r="1383" spans="1:9" ht="135" x14ac:dyDescent="0.2">
      <c r="A1383" s="854" t="s">
        <v>10240</v>
      </c>
      <c r="B1383" s="986" t="s">
        <v>14557</v>
      </c>
      <c r="C1383" s="986" t="s">
        <v>10807</v>
      </c>
      <c r="D1383" s="851" t="s">
        <v>10241</v>
      </c>
      <c r="E1383" s="986" t="s">
        <v>6553</v>
      </c>
      <c r="F1383" s="853">
        <v>1600</v>
      </c>
      <c r="G1383" s="853">
        <v>5309296</v>
      </c>
      <c r="H1383" s="850" t="s">
        <v>11975</v>
      </c>
      <c r="I1383" s="850" t="s">
        <v>14593</v>
      </c>
    </row>
    <row r="1384" spans="1:9" ht="67.5" x14ac:dyDescent="0.2">
      <c r="A1384" s="854" t="s">
        <v>10242</v>
      </c>
      <c r="B1384" s="986" t="s">
        <v>10808</v>
      </c>
      <c r="C1384" s="852" t="s">
        <v>10809</v>
      </c>
      <c r="D1384" s="851" t="s">
        <v>10810</v>
      </c>
      <c r="E1384" s="852" t="s">
        <v>6553</v>
      </c>
      <c r="F1384" s="853">
        <v>2719</v>
      </c>
      <c r="G1384" s="853">
        <v>1361240.16</v>
      </c>
      <c r="H1384" s="977" t="s">
        <v>10243</v>
      </c>
      <c r="I1384" s="812" t="s">
        <v>14589</v>
      </c>
    </row>
    <row r="1385" spans="1:9" ht="56.25" x14ac:dyDescent="0.2">
      <c r="A1385" s="854" t="s">
        <v>10244</v>
      </c>
      <c r="B1385" s="986" t="s">
        <v>10245</v>
      </c>
      <c r="C1385" s="852" t="s">
        <v>10246</v>
      </c>
      <c r="D1385" s="851" t="s">
        <v>10247</v>
      </c>
      <c r="E1385" s="852" t="s">
        <v>6553</v>
      </c>
      <c r="F1385" s="853">
        <v>4801</v>
      </c>
      <c r="G1385" s="853">
        <v>12578091.890000001</v>
      </c>
      <c r="H1385" s="977" t="s">
        <v>10248</v>
      </c>
      <c r="I1385" s="812" t="s">
        <v>14589</v>
      </c>
    </row>
    <row r="1386" spans="1:9" ht="56.25" x14ac:dyDescent="0.2">
      <c r="A1386" s="854" t="s">
        <v>10249</v>
      </c>
      <c r="B1386" s="852" t="s">
        <v>9640</v>
      </c>
      <c r="C1386" s="852" t="s">
        <v>14558</v>
      </c>
      <c r="D1386" s="851" t="s">
        <v>10250</v>
      </c>
      <c r="E1386" s="852" t="s">
        <v>6553</v>
      </c>
      <c r="F1386" s="853">
        <v>5879</v>
      </c>
      <c r="G1386" s="853">
        <v>15402333.310000001</v>
      </c>
      <c r="H1386" s="977" t="s">
        <v>10251</v>
      </c>
      <c r="I1386" s="812" t="s">
        <v>14589</v>
      </c>
    </row>
    <row r="1387" spans="1:9" ht="33.75" x14ac:dyDescent="0.2">
      <c r="A1387" s="854" t="s">
        <v>10252</v>
      </c>
      <c r="B1387" s="852" t="s">
        <v>10811</v>
      </c>
      <c r="C1387" s="852" t="s">
        <v>10812</v>
      </c>
      <c r="D1387" s="851" t="s">
        <v>10253</v>
      </c>
      <c r="E1387" s="852" t="s">
        <v>6553</v>
      </c>
      <c r="F1387" s="853">
        <v>1377</v>
      </c>
      <c r="G1387" s="853">
        <v>873155.7</v>
      </c>
      <c r="H1387" s="977" t="s">
        <v>10254</v>
      </c>
      <c r="I1387" s="812" t="s">
        <v>14589</v>
      </c>
    </row>
    <row r="1388" spans="1:9" ht="56.25" x14ac:dyDescent="0.2">
      <c r="A1388" s="854" t="s">
        <v>10572</v>
      </c>
      <c r="B1388" s="852" t="s">
        <v>14559</v>
      </c>
      <c r="C1388" s="852" t="s">
        <v>10573</v>
      </c>
      <c r="D1388" s="851" t="s">
        <v>14560</v>
      </c>
      <c r="E1388" s="852" t="s">
        <v>6553</v>
      </c>
      <c r="F1388" s="853">
        <v>3675</v>
      </c>
      <c r="G1388" s="853">
        <v>12194789.25</v>
      </c>
      <c r="H1388" s="816" t="s">
        <v>10574</v>
      </c>
      <c r="I1388" s="812" t="s">
        <v>14589</v>
      </c>
    </row>
    <row r="1389" spans="1:9" ht="33.75" x14ac:dyDescent="0.2">
      <c r="A1389" s="854" t="s">
        <v>10575</v>
      </c>
      <c r="B1389" s="852" t="s">
        <v>10576</v>
      </c>
      <c r="C1389" s="816" t="s">
        <v>5553</v>
      </c>
      <c r="D1389" s="851" t="s">
        <v>10577</v>
      </c>
      <c r="E1389" s="852" t="s">
        <v>6553</v>
      </c>
      <c r="F1389" s="928">
        <v>305</v>
      </c>
      <c r="G1389" s="928">
        <v>866282.35</v>
      </c>
      <c r="H1389" s="977" t="s">
        <v>10578</v>
      </c>
      <c r="I1389" s="1003"/>
    </row>
    <row r="1390" spans="1:9" ht="67.5" x14ac:dyDescent="0.2">
      <c r="A1390" s="854" t="s">
        <v>10579</v>
      </c>
      <c r="B1390" s="852" t="s">
        <v>10580</v>
      </c>
      <c r="C1390" s="852" t="s">
        <v>10581</v>
      </c>
      <c r="D1390" s="851" t="s">
        <v>10582</v>
      </c>
      <c r="E1390" s="852" t="s">
        <v>6553</v>
      </c>
      <c r="F1390" s="853">
        <v>3775</v>
      </c>
      <c r="G1390" s="853">
        <v>1037747.5</v>
      </c>
      <c r="H1390" s="977" t="s">
        <v>6469</v>
      </c>
      <c r="I1390" s="812" t="s">
        <v>14589</v>
      </c>
    </row>
    <row r="1391" spans="1:9" ht="33.75" x14ac:dyDescent="0.2">
      <c r="A1391" s="854" t="s">
        <v>10583</v>
      </c>
      <c r="B1391" s="852" t="s">
        <v>10584</v>
      </c>
      <c r="C1391" s="815" t="s">
        <v>10585</v>
      </c>
      <c r="D1391" s="851" t="s">
        <v>10586</v>
      </c>
      <c r="E1391" s="852" t="s">
        <v>6553</v>
      </c>
      <c r="F1391" s="853">
        <v>1830</v>
      </c>
      <c r="G1391" s="853">
        <v>4794398.7</v>
      </c>
      <c r="H1391" s="977" t="s">
        <v>10587</v>
      </c>
      <c r="I1391" s="812" t="s">
        <v>14589</v>
      </c>
    </row>
    <row r="1392" spans="1:9" ht="67.5" x14ac:dyDescent="0.2">
      <c r="A1392" s="854" t="s">
        <v>10588</v>
      </c>
      <c r="B1392" s="984" t="s">
        <v>10813</v>
      </c>
      <c r="C1392" s="815" t="s">
        <v>10814</v>
      </c>
      <c r="D1392" s="851" t="s">
        <v>10815</v>
      </c>
      <c r="E1392" s="852" t="s">
        <v>6553</v>
      </c>
      <c r="F1392" s="853">
        <v>1644</v>
      </c>
      <c r="G1392" s="853">
        <v>458133.48</v>
      </c>
      <c r="H1392" s="977" t="s">
        <v>10816</v>
      </c>
      <c r="I1392" s="812" t="s">
        <v>14589</v>
      </c>
    </row>
    <row r="1393" spans="1:9" ht="67.5" x14ac:dyDescent="0.2">
      <c r="A1393" s="854" t="s">
        <v>10589</v>
      </c>
      <c r="B1393" s="852" t="s">
        <v>10590</v>
      </c>
      <c r="C1393" s="815" t="s">
        <v>10591</v>
      </c>
      <c r="D1393" s="851" t="s">
        <v>10592</v>
      </c>
      <c r="E1393" s="852" t="s">
        <v>6553</v>
      </c>
      <c r="F1393" s="853">
        <v>22018</v>
      </c>
      <c r="G1393" s="853">
        <v>6131132.2800000003</v>
      </c>
      <c r="H1393" s="977" t="s">
        <v>10593</v>
      </c>
      <c r="I1393" s="812" t="s">
        <v>14589</v>
      </c>
    </row>
    <row r="1394" spans="1:9" ht="123.75" x14ac:dyDescent="0.2">
      <c r="A1394" s="854" t="s">
        <v>10594</v>
      </c>
      <c r="B1394" s="1008" t="s">
        <v>10595</v>
      </c>
      <c r="C1394" s="815" t="s">
        <v>10596</v>
      </c>
      <c r="D1394" s="851" t="s">
        <v>14561</v>
      </c>
      <c r="E1394" s="852" t="s">
        <v>6553</v>
      </c>
      <c r="F1394" s="853">
        <v>877</v>
      </c>
      <c r="G1394" s="853">
        <v>556105.69999999995</v>
      </c>
      <c r="H1394" s="850" t="s">
        <v>10140</v>
      </c>
      <c r="I1394" s="812" t="s">
        <v>14589</v>
      </c>
    </row>
    <row r="1395" spans="1:9" ht="123.75" x14ac:dyDescent="0.2">
      <c r="A1395" s="854" t="s">
        <v>10597</v>
      </c>
      <c r="B1395" s="1008" t="s">
        <v>10595</v>
      </c>
      <c r="C1395" s="815" t="s">
        <v>10598</v>
      </c>
      <c r="D1395" s="851" t="s">
        <v>14562</v>
      </c>
      <c r="E1395" s="852" t="s">
        <v>6553</v>
      </c>
      <c r="F1395" s="853">
        <v>1997</v>
      </c>
      <c r="G1395" s="853">
        <v>6626665.0700000003</v>
      </c>
      <c r="H1395" s="850" t="s">
        <v>10140</v>
      </c>
      <c r="I1395" s="812" t="s">
        <v>14589</v>
      </c>
    </row>
    <row r="1396" spans="1:9" ht="90" x14ac:dyDescent="0.2">
      <c r="A1396" s="854" t="s">
        <v>10599</v>
      </c>
      <c r="B1396" s="1008" t="s">
        <v>10600</v>
      </c>
      <c r="C1396" s="815" t="s">
        <v>10601</v>
      </c>
      <c r="D1396" s="851" t="s">
        <v>10602</v>
      </c>
      <c r="E1396" s="852" t="s">
        <v>6553</v>
      </c>
      <c r="F1396" s="853">
        <v>2596</v>
      </c>
      <c r="G1396" s="853">
        <v>8614332.7599999998</v>
      </c>
      <c r="H1396" s="850" t="s">
        <v>10140</v>
      </c>
      <c r="I1396" s="812" t="s">
        <v>14589</v>
      </c>
    </row>
    <row r="1397" spans="1:9" ht="123.75" x14ac:dyDescent="0.2">
      <c r="A1397" s="854" t="s">
        <v>10603</v>
      </c>
      <c r="B1397" s="1008" t="s">
        <v>10595</v>
      </c>
      <c r="C1397" s="815" t="s">
        <v>5567</v>
      </c>
      <c r="D1397" s="851" t="s">
        <v>10604</v>
      </c>
      <c r="E1397" s="852" t="s">
        <v>6553</v>
      </c>
      <c r="F1397" s="853">
        <v>4370</v>
      </c>
      <c r="G1397" s="853">
        <v>11448919.300000001</v>
      </c>
      <c r="H1397" s="850" t="s">
        <v>10140</v>
      </c>
      <c r="I1397" s="812" t="s">
        <v>14589</v>
      </c>
    </row>
    <row r="1398" spans="1:9" ht="90" x14ac:dyDescent="0.2">
      <c r="A1398" s="854" t="s">
        <v>10605</v>
      </c>
      <c r="B1398" s="1008" t="s">
        <v>10606</v>
      </c>
      <c r="C1398" s="815" t="s">
        <v>10607</v>
      </c>
      <c r="D1398" s="974" t="s">
        <v>10608</v>
      </c>
      <c r="E1398" s="852" t="s">
        <v>6553</v>
      </c>
      <c r="F1398" s="853">
        <v>1595</v>
      </c>
      <c r="G1398" s="853">
        <v>4178724.55</v>
      </c>
      <c r="H1398" s="850" t="s">
        <v>10140</v>
      </c>
      <c r="I1398" s="812" t="s">
        <v>14589</v>
      </c>
    </row>
    <row r="1399" spans="1:9" ht="78.75" x14ac:dyDescent="0.2">
      <c r="A1399" s="854" t="s">
        <v>10609</v>
      </c>
      <c r="B1399" s="1008" t="s">
        <v>10610</v>
      </c>
      <c r="C1399" s="815" t="s">
        <v>10611</v>
      </c>
      <c r="D1399" s="851" t="s">
        <v>10612</v>
      </c>
      <c r="E1399" s="852" t="s">
        <v>6553</v>
      </c>
      <c r="F1399" s="853">
        <v>1146</v>
      </c>
      <c r="G1399" s="853">
        <v>3254949.42</v>
      </c>
      <c r="H1399" s="850" t="s">
        <v>10140</v>
      </c>
      <c r="I1399" s="812" t="s">
        <v>14589</v>
      </c>
    </row>
    <row r="1400" spans="1:9" ht="78.75" x14ac:dyDescent="0.2">
      <c r="A1400" s="854" t="s">
        <v>10613</v>
      </c>
      <c r="B1400" s="1008" t="s">
        <v>10610</v>
      </c>
      <c r="C1400" s="816" t="s">
        <v>5710</v>
      </c>
      <c r="D1400" s="851" t="s">
        <v>10614</v>
      </c>
      <c r="E1400" s="852" t="s">
        <v>6553</v>
      </c>
      <c r="F1400" s="853">
        <v>5530</v>
      </c>
      <c r="G1400" s="853">
        <v>3506573</v>
      </c>
      <c r="H1400" s="850" t="s">
        <v>10140</v>
      </c>
      <c r="I1400" s="812" t="s">
        <v>14589</v>
      </c>
    </row>
    <row r="1401" spans="1:9" ht="45" x14ac:dyDescent="0.2">
      <c r="A1401" s="854" t="s">
        <v>10615</v>
      </c>
      <c r="B1401" s="852" t="s">
        <v>10616</v>
      </c>
      <c r="C1401" s="815" t="s">
        <v>39</v>
      </c>
      <c r="D1401" s="851" t="s">
        <v>10617</v>
      </c>
      <c r="E1401" s="852" t="s">
        <v>6553</v>
      </c>
      <c r="F1401" s="928">
        <v>1252</v>
      </c>
      <c r="G1401" s="928">
        <v>3280102.28</v>
      </c>
      <c r="H1401" s="977" t="s">
        <v>306</v>
      </c>
      <c r="I1401" s="977"/>
    </row>
    <row r="1402" spans="1:9" ht="56.25" x14ac:dyDescent="0.2">
      <c r="A1402" s="854" t="s">
        <v>10618</v>
      </c>
      <c r="B1402" s="852" t="s">
        <v>10619</v>
      </c>
      <c r="C1402" s="815" t="s">
        <v>10620</v>
      </c>
      <c r="D1402" s="851" t="s">
        <v>10621</v>
      </c>
      <c r="E1402" s="852" t="s">
        <v>6553</v>
      </c>
      <c r="F1402" s="853">
        <v>2320</v>
      </c>
      <c r="G1402" s="853">
        <v>639461.6</v>
      </c>
      <c r="H1402" s="850" t="s">
        <v>10622</v>
      </c>
      <c r="I1402" s="812" t="s">
        <v>14589</v>
      </c>
    </row>
    <row r="1403" spans="1:9" ht="33.75" x14ac:dyDescent="0.2">
      <c r="A1403" s="854" t="s">
        <v>10623</v>
      </c>
      <c r="B1403" s="852" t="s">
        <v>10624</v>
      </c>
      <c r="C1403" s="815" t="s">
        <v>10625</v>
      </c>
      <c r="D1403" s="851" t="s">
        <v>10626</v>
      </c>
      <c r="E1403" s="852" t="s">
        <v>6553</v>
      </c>
      <c r="F1403" s="853">
        <v>605</v>
      </c>
      <c r="G1403" s="853">
        <v>2007577.55</v>
      </c>
      <c r="H1403" s="977" t="s">
        <v>10627</v>
      </c>
      <c r="I1403" s="812" t="s">
        <v>14589</v>
      </c>
    </row>
    <row r="1404" spans="1:9" ht="67.5" x14ac:dyDescent="0.2">
      <c r="A1404" s="854" t="s">
        <v>10628</v>
      </c>
      <c r="B1404" s="852" t="s">
        <v>10629</v>
      </c>
      <c r="C1404" s="815" t="s">
        <v>10630</v>
      </c>
      <c r="D1404" s="851" t="s">
        <v>14563</v>
      </c>
      <c r="E1404" s="852" t="s">
        <v>10224</v>
      </c>
      <c r="F1404" s="928">
        <v>40000</v>
      </c>
      <c r="G1404" s="928">
        <v>15958800</v>
      </c>
      <c r="H1404" s="852"/>
      <c r="I1404" s="815"/>
    </row>
    <row r="1405" spans="1:9" ht="78.75" x14ac:dyDescent="0.2">
      <c r="A1405" s="854" t="s">
        <v>10631</v>
      </c>
      <c r="B1405" s="852" t="s">
        <v>10717</v>
      </c>
      <c r="C1405" s="815" t="s">
        <v>10718</v>
      </c>
      <c r="D1405" s="851" t="s">
        <v>10719</v>
      </c>
      <c r="E1405" s="852" t="s">
        <v>6553</v>
      </c>
      <c r="F1405" s="853">
        <v>230799</v>
      </c>
      <c r="G1405" s="924">
        <v>297585306.63</v>
      </c>
      <c r="H1405" s="852" t="s">
        <v>11977</v>
      </c>
      <c r="I1405" s="812" t="s">
        <v>14589</v>
      </c>
    </row>
    <row r="1406" spans="1:9" ht="78.75" x14ac:dyDescent="0.2">
      <c r="A1406" s="854" t="s">
        <v>10632</v>
      </c>
      <c r="B1406" s="850" t="s">
        <v>10817</v>
      </c>
      <c r="C1406" s="850" t="s">
        <v>10818</v>
      </c>
      <c r="D1406" s="851" t="s">
        <v>10819</v>
      </c>
      <c r="E1406" s="852" t="s">
        <v>6553</v>
      </c>
      <c r="F1406" s="853">
        <v>19650</v>
      </c>
      <c r="G1406" s="924">
        <v>65204791.5</v>
      </c>
      <c r="H1406" s="852" t="s">
        <v>11978</v>
      </c>
      <c r="I1406" s="812" t="s">
        <v>14589</v>
      </c>
    </row>
    <row r="1407" spans="1:9" ht="90" x14ac:dyDescent="0.2">
      <c r="A1407" s="854" t="s">
        <v>10633</v>
      </c>
      <c r="B1407" s="984" t="s">
        <v>10820</v>
      </c>
      <c r="C1407" s="815" t="s">
        <v>10821</v>
      </c>
      <c r="D1407" s="851" t="s">
        <v>10822</v>
      </c>
      <c r="E1407" s="852" t="s">
        <v>6553</v>
      </c>
      <c r="F1407" s="853">
        <v>54973</v>
      </c>
      <c r="G1407" s="921">
        <v>7022251.0199999996</v>
      </c>
      <c r="H1407" s="977" t="s">
        <v>11979</v>
      </c>
      <c r="I1407" s="812" t="s">
        <v>14589</v>
      </c>
    </row>
    <row r="1408" spans="1:9" ht="22.5" x14ac:dyDescent="0.2">
      <c r="A1408" s="854" t="s">
        <v>10823</v>
      </c>
      <c r="B1408" s="984" t="s">
        <v>10824</v>
      </c>
      <c r="C1408" s="815" t="s">
        <v>10825</v>
      </c>
      <c r="D1408" s="851" t="s">
        <v>10826</v>
      </c>
      <c r="E1408" s="852" t="s">
        <v>6553</v>
      </c>
      <c r="F1408" s="928">
        <v>11355</v>
      </c>
      <c r="G1408" s="921">
        <v>20216896.199999999</v>
      </c>
      <c r="H1408" s="977"/>
      <c r="I1408" s="977"/>
    </row>
    <row r="1409" spans="1:9" ht="33.75" x14ac:dyDescent="0.2">
      <c r="A1409" s="854" t="s">
        <v>10827</v>
      </c>
      <c r="B1409" s="984" t="s">
        <v>10828</v>
      </c>
      <c r="C1409" s="815" t="s">
        <v>10829</v>
      </c>
      <c r="D1409" s="851" t="s">
        <v>10830</v>
      </c>
      <c r="E1409" s="852" t="s">
        <v>6553</v>
      </c>
      <c r="F1409" s="928">
        <v>1161</v>
      </c>
      <c r="G1409" s="921">
        <v>581243.04</v>
      </c>
      <c r="H1409" s="977"/>
      <c r="I1409" s="812"/>
    </row>
    <row r="1410" spans="1:9" ht="56.25" x14ac:dyDescent="0.2">
      <c r="A1410" s="854" t="s">
        <v>10831</v>
      </c>
      <c r="B1410" s="984" t="s">
        <v>10954</v>
      </c>
      <c r="C1410" s="815" t="s">
        <v>10955</v>
      </c>
      <c r="D1410" s="851" t="s">
        <v>10833</v>
      </c>
      <c r="E1410" s="852" t="s">
        <v>6553</v>
      </c>
      <c r="F1410" s="853">
        <v>1500</v>
      </c>
      <c r="G1410" s="921">
        <v>1204710</v>
      </c>
      <c r="H1410" s="977" t="s">
        <v>10834</v>
      </c>
      <c r="I1410" s="812" t="s">
        <v>14589</v>
      </c>
    </row>
    <row r="1411" spans="1:9" ht="56.25" x14ac:dyDescent="0.2">
      <c r="A1411" s="854" t="s">
        <v>10835</v>
      </c>
      <c r="B1411" s="984" t="s">
        <v>11650</v>
      </c>
      <c r="C1411" s="815" t="s">
        <v>10836</v>
      </c>
      <c r="D1411" s="851" t="s">
        <v>14564</v>
      </c>
      <c r="E1411" s="852" t="s">
        <v>6553</v>
      </c>
      <c r="F1411" s="853">
        <v>1090</v>
      </c>
      <c r="G1411" s="921">
        <v>376213.5</v>
      </c>
      <c r="H1411" s="977"/>
      <c r="I1411" s="850" t="s">
        <v>14590</v>
      </c>
    </row>
    <row r="1412" spans="1:9" ht="45" x14ac:dyDescent="0.2">
      <c r="A1412" s="854" t="s">
        <v>10837</v>
      </c>
      <c r="B1412" s="984" t="s">
        <v>11650</v>
      </c>
      <c r="C1412" s="815" t="s">
        <v>14565</v>
      </c>
      <c r="D1412" s="851" t="s">
        <v>14566</v>
      </c>
      <c r="E1412" s="852" t="s">
        <v>6553</v>
      </c>
      <c r="F1412" s="853">
        <v>1000</v>
      </c>
      <c r="G1412" s="921">
        <v>350780</v>
      </c>
      <c r="H1412" s="977"/>
      <c r="I1412" s="850" t="s">
        <v>14590</v>
      </c>
    </row>
    <row r="1413" spans="1:9" ht="45" x14ac:dyDescent="0.2">
      <c r="A1413" s="854" t="s">
        <v>10956</v>
      </c>
      <c r="B1413" s="984" t="s">
        <v>10957</v>
      </c>
      <c r="C1413" s="815" t="s">
        <v>10958</v>
      </c>
      <c r="D1413" s="851" t="s">
        <v>10959</v>
      </c>
      <c r="E1413" s="852" t="s">
        <v>6553</v>
      </c>
      <c r="F1413" s="928">
        <v>523</v>
      </c>
      <c r="G1413" s="921">
        <v>193761.04</v>
      </c>
      <c r="H1413" s="1003"/>
      <c r="I1413" s="977" t="s">
        <v>14594</v>
      </c>
    </row>
    <row r="1414" spans="1:9" ht="22.5" x14ac:dyDescent="0.2">
      <c r="A1414" s="854" t="s">
        <v>11637</v>
      </c>
      <c r="B1414" s="984" t="s">
        <v>11638</v>
      </c>
      <c r="C1414" s="815" t="s">
        <v>11639</v>
      </c>
      <c r="D1414" s="851" t="s">
        <v>11640</v>
      </c>
      <c r="E1414" s="852" t="s">
        <v>6553</v>
      </c>
      <c r="F1414" s="928">
        <v>1152</v>
      </c>
      <c r="G1414" s="921">
        <v>283783.67999999999</v>
      </c>
      <c r="H1414" s="956"/>
      <c r="I1414" s="1003"/>
    </row>
    <row r="1415" spans="1:9" ht="22.5" x14ac:dyDescent="0.2">
      <c r="A1415" s="854" t="s">
        <v>11641</v>
      </c>
      <c r="B1415" s="984" t="s">
        <v>11642</v>
      </c>
      <c r="C1415" s="815" t="s">
        <v>11643</v>
      </c>
      <c r="D1415" s="851" t="s">
        <v>11644</v>
      </c>
      <c r="E1415" s="852" t="s">
        <v>6553</v>
      </c>
      <c r="F1415" s="928">
        <v>660</v>
      </c>
      <c r="G1415" s="921">
        <v>160492.20000000001</v>
      </c>
      <c r="H1415" s="956"/>
      <c r="I1415" s="1003"/>
    </row>
    <row r="1416" spans="1:9" ht="22.5" x14ac:dyDescent="0.2">
      <c r="A1416" s="854" t="s">
        <v>11645</v>
      </c>
      <c r="B1416" s="984" t="s">
        <v>11646</v>
      </c>
      <c r="C1416" s="815" t="s">
        <v>11647</v>
      </c>
      <c r="D1416" s="851" t="s">
        <v>11648</v>
      </c>
      <c r="E1416" s="852" t="s">
        <v>6553</v>
      </c>
      <c r="F1416" s="928">
        <v>1081</v>
      </c>
      <c r="G1416" s="921">
        <v>257202.33</v>
      </c>
      <c r="H1416" s="1003"/>
      <c r="I1416" s="1003"/>
    </row>
    <row r="1417" spans="1:9" ht="56.25" x14ac:dyDescent="0.2">
      <c r="A1417" s="854" t="s">
        <v>11649</v>
      </c>
      <c r="B1417" s="984" t="s">
        <v>11650</v>
      </c>
      <c r="C1417" s="815" t="s">
        <v>11651</v>
      </c>
      <c r="D1417" s="851" t="s">
        <v>11652</v>
      </c>
      <c r="E1417" s="852" t="s">
        <v>6553</v>
      </c>
      <c r="F1417" s="928">
        <v>6433</v>
      </c>
      <c r="G1417" s="921">
        <v>7033777.8700000001</v>
      </c>
      <c r="H1417" s="977" t="s">
        <v>13822</v>
      </c>
      <c r="I1417" s="977" t="s">
        <v>14588</v>
      </c>
    </row>
    <row r="1418" spans="1:9" ht="45" x14ac:dyDescent="0.2">
      <c r="A1418" s="854" t="s">
        <v>11653</v>
      </c>
      <c r="B1418" s="984" t="s">
        <v>11766</v>
      </c>
      <c r="C1418" s="815" t="s">
        <v>11654</v>
      </c>
      <c r="D1418" s="851" t="s">
        <v>11655</v>
      </c>
      <c r="E1418" s="852" t="s">
        <v>6553</v>
      </c>
      <c r="F1418" s="928">
        <v>1067</v>
      </c>
      <c r="G1418" s="921">
        <v>2207046.8199999998</v>
      </c>
      <c r="H1418" s="1003"/>
      <c r="I1418" s="977" t="s">
        <v>14594</v>
      </c>
    </row>
    <row r="1419" spans="1:9" ht="22.5" x14ac:dyDescent="0.2">
      <c r="A1419" s="854" t="s">
        <v>11662</v>
      </c>
      <c r="B1419" s="984" t="s">
        <v>11650</v>
      </c>
      <c r="C1419" s="815" t="s">
        <v>11980</v>
      </c>
      <c r="D1419" s="851" t="s">
        <v>11981</v>
      </c>
      <c r="E1419" s="852" t="s">
        <v>6553</v>
      </c>
      <c r="F1419" s="928">
        <v>600</v>
      </c>
      <c r="G1419" s="921">
        <v>1241076</v>
      </c>
      <c r="H1419" s="1003"/>
      <c r="I1419" s="1003"/>
    </row>
    <row r="1420" spans="1:9" ht="22.5" x14ac:dyDescent="0.2">
      <c r="A1420" s="854" t="s">
        <v>11743</v>
      </c>
      <c r="B1420" s="984" t="s">
        <v>11646</v>
      </c>
      <c r="C1420" s="815" t="s">
        <v>11744</v>
      </c>
      <c r="D1420" s="851" t="s">
        <v>14567</v>
      </c>
      <c r="E1420" s="852" t="s">
        <v>6553</v>
      </c>
      <c r="F1420" s="928">
        <v>428</v>
      </c>
      <c r="G1420" s="921">
        <v>153699.07999999999</v>
      </c>
      <c r="H1420" s="1003"/>
      <c r="I1420" s="1003"/>
    </row>
    <row r="1421" spans="1:9" ht="22.5" x14ac:dyDescent="0.2">
      <c r="A1421" s="854" t="s">
        <v>11745</v>
      </c>
      <c r="B1421" s="984" t="s">
        <v>11646</v>
      </c>
      <c r="C1421" s="815" t="s">
        <v>11746</v>
      </c>
      <c r="D1421" s="851" t="s">
        <v>14568</v>
      </c>
      <c r="E1421" s="852" t="s">
        <v>6553</v>
      </c>
      <c r="F1421" s="928">
        <v>420</v>
      </c>
      <c r="G1421" s="921">
        <v>150498.6</v>
      </c>
      <c r="H1421" s="1003"/>
      <c r="I1421" s="1003"/>
    </row>
    <row r="1422" spans="1:9" ht="33.75" x14ac:dyDescent="0.2">
      <c r="A1422" s="854" t="s">
        <v>11747</v>
      </c>
      <c r="B1422" s="984" t="s">
        <v>14569</v>
      </c>
      <c r="C1422" s="815" t="s">
        <v>11748</v>
      </c>
      <c r="D1422" s="851" t="s">
        <v>11749</v>
      </c>
      <c r="E1422" s="852" t="s">
        <v>6553</v>
      </c>
      <c r="F1422" s="853">
        <v>1860</v>
      </c>
      <c r="G1422" s="921">
        <v>931190.4</v>
      </c>
      <c r="H1422" s="977" t="s">
        <v>11750</v>
      </c>
      <c r="I1422" s="977" t="s">
        <v>14588</v>
      </c>
    </row>
    <row r="1423" spans="1:9" ht="56.25" x14ac:dyDescent="0.2">
      <c r="A1423" s="854" t="s">
        <v>11756</v>
      </c>
      <c r="B1423" s="984" t="s">
        <v>11757</v>
      </c>
      <c r="C1423" s="815" t="s">
        <v>11894</v>
      </c>
      <c r="D1423" s="851" t="s">
        <v>11758</v>
      </c>
      <c r="E1423" s="852" t="s">
        <v>6553</v>
      </c>
      <c r="F1423" s="928">
        <v>5615</v>
      </c>
      <c r="G1423" s="921">
        <v>7205336.4500000002</v>
      </c>
      <c r="H1423" s="977" t="s">
        <v>13822</v>
      </c>
      <c r="I1423" s="977" t="s">
        <v>14588</v>
      </c>
    </row>
    <row r="1424" spans="1:9" ht="56.25" x14ac:dyDescent="0.2">
      <c r="A1424" s="854" t="s">
        <v>11788</v>
      </c>
      <c r="B1424" s="984" t="s">
        <v>11646</v>
      </c>
      <c r="C1424" s="815" t="s">
        <v>14570</v>
      </c>
      <c r="D1424" s="851" t="s">
        <v>14571</v>
      </c>
      <c r="E1424" s="852" t="s">
        <v>6553</v>
      </c>
      <c r="F1424" s="853">
        <v>2400</v>
      </c>
      <c r="G1424" s="921">
        <v>861864</v>
      </c>
      <c r="H1424" s="977"/>
      <c r="I1424" s="977" t="s">
        <v>14590</v>
      </c>
    </row>
    <row r="1425" spans="1:18" ht="33.75" x14ac:dyDescent="0.2">
      <c r="A1425" s="854" t="s">
        <v>12014</v>
      </c>
      <c r="B1425" s="984" t="s">
        <v>10832</v>
      </c>
      <c r="C1425" s="816" t="s">
        <v>6472</v>
      </c>
      <c r="D1425" s="851" t="s">
        <v>12015</v>
      </c>
      <c r="E1425" s="852" t="s">
        <v>6553</v>
      </c>
      <c r="F1425" s="853">
        <v>600</v>
      </c>
      <c r="G1425" s="921">
        <v>237822</v>
      </c>
      <c r="H1425" s="816" t="s">
        <v>14572</v>
      </c>
      <c r="I1425" s="977" t="s">
        <v>14588</v>
      </c>
    </row>
    <row r="1426" spans="1:18" ht="22.5" x14ac:dyDescent="0.2">
      <c r="A1426" s="954" t="s">
        <v>12016</v>
      </c>
      <c r="B1426" s="984" t="s">
        <v>11650</v>
      </c>
      <c r="C1426" s="815" t="s">
        <v>15362</v>
      </c>
      <c r="D1426" s="851" t="s">
        <v>12017</v>
      </c>
      <c r="E1426" s="852" t="s">
        <v>6553</v>
      </c>
      <c r="F1426" s="853">
        <v>600</v>
      </c>
      <c r="G1426" s="924">
        <v>207090</v>
      </c>
      <c r="H1426" s="977"/>
      <c r="I1426" s="977"/>
    </row>
    <row r="1427" spans="1:18" ht="67.5" x14ac:dyDescent="0.2">
      <c r="A1427" s="954" t="s">
        <v>12018</v>
      </c>
      <c r="B1427" s="984" t="s">
        <v>12019</v>
      </c>
      <c r="C1427" s="815" t="s">
        <v>12476</v>
      </c>
      <c r="D1427" s="851" t="s">
        <v>12020</v>
      </c>
      <c r="E1427" s="852" t="s">
        <v>6553</v>
      </c>
      <c r="F1427" s="853">
        <v>5251</v>
      </c>
      <c r="G1427" s="924">
        <v>785182.03</v>
      </c>
      <c r="H1427" s="977" t="s">
        <v>13822</v>
      </c>
      <c r="I1427" s="977" t="s">
        <v>14589</v>
      </c>
    </row>
    <row r="1428" spans="1:18" ht="22.5" x14ac:dyDescent="0.2">
      <c r="A1428" s="954" t="s">
        <v>12065</v>
      </c>
      <c r="B1428" s="984" t="s">
        <v>7944</v>
      </c>
      <c r="C1428" s="850" t="s">
        <v>12461</v>
      </c>
      <c r="D1428" s="850" t="s">
        <v>12462</v>
      </c>
      <c r="E1428" s="852" t="s">
        <v>9607</v>
      </c>
      <c r="F1428" s="982">
        <v>12404</v>
      </c>
      <c r="G1428" s="924">
        <v>7436694.1600000001</v>
      </c>
      <c r="H1428" s="977"/>
      <c r="I1428" s="977"/>
    </row>
    <row r="1429" spans="1:18" ht="56.25" x14ac:dyDescent="0.2">
      <c r="A1429" s="954" t="s">
        <v>12066</v>
      </c>
      <c r="B1429" s="984" t="s">
        <v>12067</v>
      </c>
      <c r="C1429" s="984" t="s">
        <v>12068</v>
      </c>
      <c r="D1429" s="989" t="s">
        <v>12069</v>
      </c>
      <c r="E1429" s="852" t="s">
        <v>6553</v>
      </c>
      <c r="F1429" s="982">
        <v>2</v>
      </c>
      <c r="G1429" s="925">
        <v>1362.26</v>
      </c>
      <c r="H1429" s="954"/>
      <c r="I1429" s="977" t="s">
        <v>14590</v>
      </c>
    </row>
    <row r="1430" spans="1:18" ht="56.25" x14ac:dyDescent="0.2">
      <c r="A1430" s="954" t="s">
        <v>12070</v>
      </c>
      <c r="B1430" s="984" t="s">
        <v>11757</v>
      </c>
      <c r="C1430" s="984" t="s">
        <v>12071</v>
      </c>
      <c r="D1430" s="989" t="s">
        <v>12072</v>
      </c>
      <c r="E1430" s="852" t="s">
        <v>6553</v>
      </c>
      <c r="F1430" s="982">
        <v>1</v>
      </c>
      <c r="G1430" s="925">
        <v>572.88</v>
      </c>
      <c r="H1430" s="954"/>
      <c r="I1430" s="977" t="s">
        <v>14590</v>
      </c>
    </row>
    <row r="1431" spans="1:18" ht="56.25" x14ac:dyDescent="0.2">
      <c r="A1431" s="954" t="s">
        <v>12130</v>
      </c>
      <c r="B1431" s="984" t="s">
        <v>11757</v>
      </c>
      <c r="C1431" s="815" t="s">
        <v>12131</v>
      </c>
      <c r="D1431" s="989" t="s">
        <v>12132</v>
      </c>
      <c r="E1431" s="852" t="s">
        <v>6553</v>
      </c>
      <c r="F1431" s="982">
        <v>8281</v>
      </c>
      <c r="G1431" s="925">
        <v>2216906.5099999998</v>
      </c>
      <c r="H1431" s="954" t="s">
        <v>13822</v>
      </c>
      <c r="I1431" s="977" t="s">
        <v>14589</v>
      </c>
    </row>
    <row r="1432" spans="1:18" ht="67.5" x14ac:dyDescent="0.2">
      <c r="A1432" s="954" t="s">
        <v>12463</v>
      </c>
      <c r="B1432" s="984" t="s">
        <v>12464</v>
      </c>
      <c r="C1432" s="977" t="s">
        <v>12465</v>
      </c>
      <c r="D1432" s="989" t="s">
        <v>12466</v>
      </c>
      <c r="E1432" s="852" t="s">
        <v>9607</v>
      </c>
      <c r="F1432" s="982">
        <v>1110384</v>
      </c>
      <c r="G1432" s="925">
        <v>1431695818.0799999</v>
      </c>
      <c r="H1432" s="954" t="s">
        <v>14573</v>
      </c>
      <c r="I1432" s="977" t="s">
        <v>14589</v>
      </c>
    </row>
    <row r="1433" spans="1:18" ht="56.25" x14ac:dyDescent="0.2">
      <c r="A1433" s="954" t="s">
        <v>12467</v>
      </c>
      <c r="B1433" s="984" t="s">
        <v>12468</v>
      </c>
      <c r="C1433" s="985" t="s">
        <v>12469</v>
      </c>
      <c r="D1433" s="985" t="s">
        <v>12470</v>
      </c>
      <c r="E1433" s="852" t="s">
        <v>9607</v>
      </c>
      <c r="F1433" s="982">
        <v>7743</v>
      </c>
      <c r="G1433" s="925">
        <v>5121839.6399999997</v>
      </c>
      <c r="H1433" s="954" t="s">
        <v>14574</v>
      </c>
      <c r="I1433" s="984" t="s">
        <v>14590</v>
      </c>
    </row>
    <row r="1434" spans="1:18" ht="56.25" x14ac:dyDescent="0.2">
      <c r="A1434" s="954" t="s">
        <v>12471</v>
      </c>
      <c r="B1434" s="984" t="s">
        <v>12498</v>
      </c>
      <c r="C1434" s="850" t="s">
        <v>12499</v>
      </c>
      <c r="D1434" s="850" t="s">
        <v>12500</v>
      </c>
      <c r="E1434" s="852" t="s">
        <v>9607</v>
      </c>
      <c r="F1434" s="982">
        <v>1735</v>
      </c>
      <c r="G1434" s="924">
        <v>1100163.5</v>
      </c>
      <c r="H1434" s="977"/>
      <c r="I1434" s="977"/>
    </row>
    <row r="1435" spans="1:18" ht="22.5" x14ac:dyDescent="0.2">
      <c r="A1435" s="954" t="s">
        <v>12472</v>
      </c>
      <c r="B1435" s="984" t="s">
        <v>14575</v>
      </c>
      <c r="C1435" s="983" t="s">
        <v>12554</v>
      </c>
      <c r="D1435" s="850" t="s">
        <v>12555</v>
      </c>
      <c r="E1435" s="852" t="s">
        <v>6553</v>
      </c>
      <c r="F1435" s="982">
        <v>79249</v>
      </c>
      <c r="G1435" s="924">
        <v>63648041.859999999</v>
      </c>
      <c r="H1435" s="977"/>
      <c r="I1435" s="984" t="s">
        <v>14590</v>
      </c>
    </row>
    <row r="1436" spans="1:18" ht="22.5" x14ac:dyDescent="0.2">
      <c r="A1436" s="954" t="s">
        <v>12473</v>
      </c>
      <c r="B1436" s="984" t="s">
        <v>12556</v>
      </c>
      <c r="C1436" s="850" t="s">
        <v>12557</v>
      </c>
      <c r="D1436" s="850" t="s">
        <v>12558</v>
      </c>
      <c r="E1436" s="852" t="s">
        <v>6553</v>
      </c>
      <c r="F1436" s="982">
        <v>12991.01</v>
      </c>
      <c r="G1436" s="924">
        <v>1298971.0900000001</v>
      </c>
      <c r="H1436" s="977"/>
      <c r="I1436" s="984" t="s">
        <v>14590</v>
      </c>
    </row>
    <row r="1437" spans="1:18" ht="56.25" x14ac:dyDescent="0.2">
      <c r="A1437" s="954" t="s">
        <v>13378</v>
      </c>
      <c r="B1437" s="984" t="s">
        <v>14576</v>
      </c>
      <c r="C1437" s="850" t="s">
        <v>13379</v>
      </c>
      <c r="D1437" s="850" t="s">
        <v>13380</v>
      </c>
      <c r="E1437" s="850" t="s">
        <v>6558</v>
      </c>
      <c r="F1437" s="982">
        <v>3801</v>
      </c>
      <c r="G1437" s="925">
        <v>6453907.9500000002</v>
      </c>
      <c r="H1437" s="977"/>
      <c r="I1437" s="984" t="s">
        <v>14590</v>
      </c>
      <c r="L1437" s="1529"/>
      <c r="M1437" s="1529"/>
      <c r="N1437" s="1529"/>
      <c r="O1437" s="1529"/>
      <c r="P1437" s="1529"/>
      <c r="Q1437" s="1529"/>
      <c r="R1437" s="1529"/>
    </row>
    <row r="1438" spans="1:18" ht="67.5" x14ac:dyDescent="0.2">
      <c r="A1438" s="954" t="s">
        <v>13381</v>
      </c>
      <c r="B1438" s="984" t="s">
        <v>13382</v>
      </c>
      <c r="C1438" s="850" t="s">
        <v>13383</v>
      </c>
      <c r="D1438" s="850" t="s">
        <v>13384</v>
      </c>
      <c r="E1438" s="850" t="s">
        <v>6558</v>
      </c>
      <c r="F1438" s="982">
        <v>4473</v>
      </c>
      <c r="G1438" s="925">
        <v>7594930.3499999996</v>
      </c>
      <c r="H1438" s="977"/>
      <c r="I1438" s="984" t="s">
        <v>14590</v>
      </c>
      <c r="L1438" s="1529"/>
      <c r="M1438" s="1529"/>
      <c r="N1438" s="1529"/>
      <c r="O1438" s="1529"/>
      <c r="P1438" s="1529"/>
      <c r="Q1438" s="1529"/>
      <c r="R1438" s="1529"/>
    </row>
    <row r="1439" spans="1:18" ht="45" x14ac:dyDescent="0.2">
      <c r="A1439" s="954" t="s">
        <v>12474</v>
      </c>
      <c r="B1439" s="984" t="s">
        <v>13067</v>
      </c>
      <c r="C1439" s="850" t="s">
        <v>9554</v>
      </c>
      <c r="D1439" s="850" t="s">
        <v>13068</v>
      </c>
      <c r="E1439" s="850" t="s">
        <v>6558</v>
      </c>
      <c r="F1439" s="979">
        <v>3730</v>
      </c>
      <c r="G1439" s="921">
        <v>1853175.9</v>
      </c>
      <c r="H1439" s="977" t="s">
        <v>14577</v>
      </c>
      <c r="I1439" s="977" t="s">
        <v>14588</v>
      </c>
    </row>
    <row r="1440" spans="1:18" ht="45" x14ac:dyDescent="0.2">
      <c r="A1440" s="954" t="s">
        <v>12475</v>
      </c>
      <c r="B1440" s="984" t="s">
        <v>12895</v>
      </c>
      <c r="C1440" s="850" t="s">
        <v>12964</v>
      </c>
      <c r="D1440" s="850" t="s">
        <v>12965</v>
      </c>
      <c r="E1440" s="986" t="s">
        <v>6553</v>
      </c>
      <c r="F1440" s="979">
        <v>600</v>
      </c>
      <c r="G1440" s="921">
        <v>176544</v>
      </c>
      <c r="H1440" s="977"/>
      <c r="I1440" s="977" t="s">
        <v>14590</v>
      </c>
    </row>
    <row r="1441" spans="1:9" ht="45" x14ac:dyDescent="0.2">
      <c r="A1441" s="954" t="s">
        <v>12966</v>
      </c>
      <c r="B1441" s="854" t="s">
        <v>7460</v>
      </c>
      <c r="C1441" s="989" t="s">
        <v>12967</v>
      </c>
      <c r="D1441" s="850" t="s">
        <v>12968</v>
      </c>
      <c r="E1441" s="850" t="s">
        <v>6558</v>
      </c>
      <c r="F1441" s="904">
        <f>575</f>
        <v>575</v>
      </c>
      <c r="G1441" s="924">
        <v>1908028.25</v>
      </c>
      <c r="H1441" s="977"/>
      <c r="I1441" s="977" t="s">
        <v>14588</v>
      </c>
    </row>
    <row r="1442" spans="1:9" ht="56.25" x14ac:dyDescent="0.2">
      <c r="A1442" s="954" t="s">
        <v>13256</v>
      </c>
      <c r="B1442" s="984" t="s">
        <v>10957</v>
      </c>
      <c r="C1442" s="815" t="s">
        <v>13257</v>
      </c>
      <c r="D1442" s="851" t="s">
        <v>13258</v>
      </c>
      <c r="E1442" s="852" t="s">
        <v>6553</v>
      </c>
      <c r="F1442" s="853">
        <v>1320</v>
      </c>
      <c r="G1442" s="921">
        <v>158650.79999999999</v>
      </c>
      <c r="H1442" s="977"/>
      <c r="I1442" s="977" t="s">
        <v>14578</v>
      </c>
    </row>
    <row r="1443" spans="1:9" ht="67.5" x14ac:dyDescent="0.2">
      <c r="A1443" s="954" t="s">
        <v>13368</v>
      </c>
      <c r="B1443" s="984" t="s">
        <v>13401</v>
      </c>
      <c r="C1443" s="815" t="s">
        <v>13369</v>
      </c>
      <c r="D1443" s="851" t="s">
        <v>13370</v>
      </c>
      <c r="E1443" s="852" t="s">
        <v>6553</v>
      </c>
      <c r="F1443" s="853">
        <v>4958</v>
      </c>
      <c r="G1443" s="921">
        <v>1218527.6599999999</v>
      </c>
      <c r="H1443" s="977" t="s">
        <v>10593</v>
      </c>
      <c r="I1443" s="977" t="s">
        <v>14588</v>
      </c>
    </row>
    <row r="1444" spans="1:9" ht="67.5" x14ac:dyDescent="0.2">
      <c r="A1444" s="954" t="s">
        <v>13371</v>
      </c>
      <c r="B1444" s="984" t="s">
        <v>13401</v>
      </c>
      <c r="C1444" s="815" t="s">
        <v>13372</v>
      </c>
      <c r="D1444" s="851" t="s">
        <v>13373</v>
      </c>
      <c r="E1444" s="852" t="s">
        <v>6553</v>
      </c>
      <c r="F1444" s="853">
        <v>214</v>
      </c>
      <c r="G1444" s="921">
        <v>52594.78</v>
      </c>
      <c r="H1444" s="977" t="s">
        <v>10593</v>
      </c>
      <c r="I1444" s="977" t="s">
        <v>14588</v>
      </c>
    </row>
    <row r="1445" spans="1:9" ht="67.5" x14ac:dyDescent="0.2">
      <c r="A1445" s="954" t="s">
        <v>13374</v>
      </c>
      <c r="B1445" s="984" t="s">
        <v>13375</v>
      </c>
      <c r="C1445" s="815" t="s">
        <v>13376</v>
      </c>
      <c r="D1445" s="851" t="s">
        <v>13377</v>
      </c>
      <c r="E1445" s="985" t="s">
        <v>6550</v>
      </c>
      <c r="F1445" s="853">
        <v>168</v>
      </c>
      <c r="G1445" s="921">
        <v>77283.360000000001</v>
      </c>
      <c r="H1445" s="977"/>
      <c r="I1445" s="977"/>
    </row>
    <row r="1446" spans="1:9" ht="45" x14ac:dyDescent="0.2">
      <c r="A1446" s="954" t="s">
        <v>13402</v>
      </c>
      <c r="B1446" s="984" t="s">
        <v>13403</v>
      </c>
      <c r="C1446" s="815" t="s">
        <v>13404</v>
      </c>
      <c r="D1446" s="851" t="s">
        <v>13405</v>
      </c>
      <c r="E1446" s="852" t="s">
        <v>6553</v>
      </c>
      <c r="F1446" s="853">
        <v>98943</v>
      </c>
      <c r="G1446" s="921">
        <v>51524567.25</v>
      </c>
      <c r="H1446" s="977"/>
      <c r="I1446" s="977" t="s">
        <v>14590</v>
      </c>
    </row>
    <row r="1447" spans="1:9" ht="45" x14ac:dyDescent="0.2">
      <c r="A1447" s="954" t="s">
        <v>13406</v>
      </c>
      <c r="B1447" s="984" t="s">
        <v>13414</v>
      </c>
      <c r="C1447" s="815" t="s">
        <v>14579</v>
      </c>
      <c r="D1447" s="851" t="s">
        <v>13415</v>
      </c>
      <c r="E1447" s="852" t="s">
        <v>6553</v>
      </c>
      <c r="F1447" s="853">
        <v>5336</v>
      </c>
      <c r="G1447" s="921">
        <v>2241653.6</v>
      </c>
      <c r="H1447" s="977" t="s">
        <v>388</v>
      </c>
      <c r="I1447" s="977" t="s">
        <v>14588</v>
      </c>
    </row>
    <row r="1448" spans="1:9" ht="56.25" x14ac:dyDescent="0.2">
      <c r="A1448" s="954" t="s">
        <v>13407</v>
      </c>
      <c r="B1448" s="984" t="s">
        <v>13414</v>
      </c>
      <c r="C1448" s="815" t="s">
        <v>14580</v>
      </c>
      <c r="D1448" s="851" t="s">
        <v>13416</v>
      </c>
      <c r="E1448" s="852" t="s">
        <v>6553</v>
      </c>
      <c r="F1448" s="853">
        <v>26734</v>
      </c>
      <c r="G1448" s="921">
        <v>12613101.199999999</v>
      </c>
      <c r="H1448" s="977" t="s">
        <v>388</v>
      </c>
      <c r="I1448" s="977" t="s">
        <v>14588</v>
      </c>
    </row>
    <row r="1449" spans="1:9" ht="45" x14ac:dyDescent="0.2">
      <c r="A1449" s="954" t="s">
        <v>13408</v>
      </c>
      <c r="B1449" s="984" t="s">
        <v>13417</v>
      </c>
      <c r="C1449" s="815" t="s">
        <v>13418</v>
      </c>
      <c r="D1449" s="851" t="s">
        <v>13419</v>
      </c>
      <c r="E1449" s="852" t="s">
        <v>6553</v>
      </c>
      <c r="F1449" s="853">
        <v>1987</v>
      </c>
      <c r="G1449" s="921">
        <v>141494.26999999999</v>
      </c>
      <c r="H1449" s="977" t="s">
        <v>6356</v>
      </c>
      <c r="I1449" s="977" t="s">
        <v>14588</v>
      </c>
    </row>
    <row r="1450" spans="1:9" ht="56.25" x14ac:dyDescent="0.2">
      <c r="A1450" s="954" t="s">
        <v>13409</v>
      </c>
      <c r="B1450" s="984" t="s">
        <v>13420</v>
      </c>
      <c r="C1450" s="815" t="s">
        <v>13421</v>
      </c>
      <c r="D1450" s="851" t="s">
        <v>13422</v>
      </c>
      <c r="E1450" s="852" t="s">
        <v>6553</v>
      </c>
      <c r="F1450" s="853">
        <v>1500</v>
      </c>
      <c r="G1450" s="921">
        <v>103845</v>
      </c>
      <c r="H1450" s="977" t="s">
        <v>303</v>
      </c>
      <c r="I1450" s="977" t="s">
        <v>14588</v>
      </c>
    </row>
    <row r="1451" spans="1:9" ht="56.25" x14ac:dyDescent="0.2">
      <c r="A1451" s="954" t="s">
        <v>13410</v>
      </c>
      <c r="B1451" s="984" t="s">
        <v>13417</v>
      </c>
      <c r="C1451" s="815" t="s">
        <v>13423</v>
      </c>
      <c r="D1451" s="851" t="s">
        <v>13424</v>
      </c>
      <c r="E1451" s="852" t="s">
        <v>6553</v>
      </c>
      <c r="F1451" s="853">
        <v>921</v>
      </c>
      <c r="G1451" s="921">
        <v>47855.16</v>
      </c>
      <c r="H1451" s="977" t="s">
        <v>303</v>
      </c>
      <c r="I1451" s="977" t="s">
        <v>14588</v>
      </c>
    </row>
    <row r="1452" spans="1:9" ht="67.5" x14ac:dyDescent="0.2">
      <c r="A1452" s="954" t="s">
        <v>13411</v>
      </c>
      <c r="B1452" s="984" t="s">
        <v>13426</v>
      </c>
      <c r="C1452" s="815" t="s">
        <v>13427</v>
      </c>
      <c r="D1452" s="851" t="s">
        <v>13425</v>
      </c>
      <c r="E1452" s="852" t="s">
        <v>6553</v>
      </c>
      <c r="F1452" s="853">
        <v>248</v>
      </c>
      <c r="G1452" s="921">
        <v>69068</v>
      </c>
      <c r="H1452" s="977" t="s">
        <v>303</v>
      </c>
      <c r="I1452" s="977" t="s">
        <v>14588</v>
      </c>
    </row>
    <row r="1453" spans="1:9" ht="56.25" x14ac:dyDescent="0.2">
      <c r="A1453" s="954" t="s">
        <v>13412</v>
      </c>
      <c r="B1453" s="984" t="s">
        <v>13491</v>
      </c>
      <c r="C1453" s="815" t="s">
        <v>13492</v>
      </c>
      <c r="D1453" s="851" t="s">
        <v>13493</v>
      </c>
      <c r="E1453" s="852" t="s">
        <v>6553</v>
      </c>
      <c r="F1453" s="853">
        <v>241</v>
      </c>
      <c r="G1453" s="921">
        <v>69374.399999999994</v>
      </c>
      <c r="H1453" s="977" t="s">
        <v>13509</v>
      </c>
      <c r="I1453" s="977" t="s">
        <v>14588</v>
      </c>
    </row>
    <row r="1454" spans="1:9" ht="45" x14ac:dyDescent="0.2">
      <c r="A1454" s="954" t="s">
        <v>13413</v>
      </c>
      <c r="B1454" s="984" t="s">
        <v>13494</v>
      </c>
      <c r="C1454" s="815" t="s">
        <v>13495</v>
      </c>
      <c r="D1454" s="851" t="s">
        <v>13496</v>
      </c>
      <c r="E1454" s="852" t="s">
        <v>6553</v>
      </c>
      <c r="F1454" s="853">
        <v>950</v>
      </c>
      <c r="G1454" s="921">
        <v>61607.5</v>
      </c>
      <c r="H1454" s="977" t="s">
        <v>13509</v>
      </c>
      <c r="I1454" s="977" t="s">
        <v>14588</v>
      </c>
    </row>
    <row r="1455" spans="1:9" ht="45" x14ac:dyDescent="0.2">
      <c r="A1455" s="954" t="s">
        <v>13497</v>
      </c>
      <c r="B1455" s="984" t="s">
        <v>13494</v>
      </c>
      <c r="C1455" s="815" t="s">
        <v>13498</v>
      </c>
      <c r="D1455" s="851" t="s">
        <v>13499</v>
      </c>
      <c r="E1455" s="852" t="s">
        <v>6553</v>
      </c>
      <c r="F1455" s="853">
        <v>1447</v>
      </c>
      <c r="G1455" s="921">
        <v>95993.98</v>
      </c>
      <c r="H1455" s="977" t="s">
        <v>13509</v>
      </c>
      <c r="I1455" s="977" t="s">
        <v>14588</v>
      </c>
    </row>
    <row r="1456" spans="1:9" ht="45" x14ac:dyDescent="0.2">
      <c r="A1456" s="954" t="s">
        <v>13500</v>
      </c>
      <c r="B1456" s="984" t="s">
        <v>13426</v>
      </c>
      <c r="C1456" s="815" t="s">
        <v>13501</v>
      </c>
      <c r="D1456" s="851" t="s">
        <v>13502</v>
      </c>
      <c r="E1456" s="852" t="s">
        <v>6553</v>
      </c>
      <c r="F1456" s="853">
        <v>1500</v>
      </c>
      <c r="G1456" s="921">
        <v>675915</v>
      </c>
      <c r="H1456" s="977" t="s">
        <v>388</v>
      </c>
      <c r="I1456" s="977" t="s">
        <v>14588</v>
      </c>
    </row>
    <row r="1457" spans="1:9" ht="56.25" x14ac:dyDescent="0.2">
      <c r="A1457" s="954" t="s">
        <v>13503</v>
      </c>
      <c r="B1457" s="984" t="s">
        <v>14581</v>
      </c>
      <c r="C1457" s="815" t="s">
        <v>13504</v>
      </c>
      <c r="D1457" s="851" t="s">
        <v>13505</v>
      </c>
      <c r="E1457" s="852" t="s">
        <v>6553</v>
      </c>
      <c r="F1457" s="853">
        <v>36</v>
      </c>
      <c r="G1457" s="921"/>
      <c r="H1457" s="977" t="s">
        <v>13509</v>
      </c>
      <c r="I1457" s="977" t="s">
        <v>14588</v>
      </c>
    </row>
    <row r="1458" spans="1:9" ht="56.25" x14ac:dyDescent="0.2">
      <c r="A1458" s="954" t="s">
        <v>13506</v>
      </c>
      <c r="B1458" s="984" t="s">
        <v>13491</v>
      </c>
      <c r="C1458" s="815" t="s">
        <v>13507</v>
      </c>
      <c r="D1458" s="851" t="s">
        <v>13508</v>
      </c>
      <c r="E1458" s="852" t="s">
        <v>6553</v>
      </c>
      <c r="F1458" s="853">
        <v>402</v>
      </c>
      <c r="G1458" s="921"/>
      <c r="H1458" s="977" t="s">
        <v>6356</v>
      </c>
      <c r="I1458" s="977" t="s">
        <v>14588</v>
      </c>
    </row>
    <row r="1459" spans="1:9" ht="56.25" x14ac:dyDescent="0.2">
      <c r="A1459" s="954" t="s">
        <v>13808</v>
      </c>
      <c r="B1459" s="852" t="s">
        <v>10245</v>
      </c>
      <c r="C1459" s="815" t="s">
        <v>13809</v>
      </c>
      <c r="D1459" s="851" t="s">
        <v>13810</v>
      </c>
      <c r="E1459" s="852" t="s">
        <v>6553</v>
      </c>
      <c r="F1459" s="853">
        <v>10496</v>
      </c>
      <c r="G1459" s="921">
        <v>2904977.92</v>
      </c>
      <c r="H1459" s="977" t="s">
        <v>10126</v>
      </c>
      <c r="I1459" s="977" t="s">
        <v>14588</v>
      </c>
    </row>
    <row r="1460" spans="1:9" ht="56.25" x14ac:dyDescent="0.2">
      <c r="A1460" s="910" t="s">
        <v>13811</v>
      </c>
      <c r="B1460" s="184" t="s">
        <v>11650</v>
      </c>
      <c r="C1460" s="908" t="s">
        <v>13812</v>
      </c>
      <c r="D1460" s="239" t="s">
        <v>13813</v>
      </c>
      <c r="E1460" s="807" t="s">
        <v>6553</v>
      </c>
      <c r="F1460" s="667">
        <v>1039</v>
      </c>
      <c r="G1460" s="55">
        <v>287231.55</v>
      </c>
      <c r="H1460" s="180" t="s">
        <v>13991</v>
      </c>
      <c r="I1460" s="180"/>
    </row>
    <row r="1461" spans="1:9" ht="33.75" x14ac:dyDescent="0.2">
      <c r="A1461" s="910" t="s">
        <v>13987</v>
      </c>
      <c r="B1461" s="184" t="s">
        <v>13988</v>
      </c>
      <c r="C1461" s="80" t="s">
        <v>13989</v>
      </c>
      <c r="D1461" s="239" t="s">
        <v>13990</v>
      </c>
      <c r="E1461" s="807" t="s">
        <v>6553</v>
      </c>
      <c r="F1461" s="667">
        <v>94</v>
      </c>
      <c r="G1461" s="55">
        <v>151315.56</v>
      </c>
      <c r="H1461" s="180" t="s">
        <v>11976</v>
      </c>
      <c r="I1461" s="180" t="s">
        <v>14597</v>
      </c>
    </row>
    <row r="1462" spans="1:9" ht="45" x14ac:dyDescent="0.2">
      <c r="A1462" s="910" t="s">
        <v>13992</v>
      </c>
      <c r="B1462" s="184" t="s">
        <v>13993</v>
      </c>
      <c r="C1462" s="80" t="s">
        <v>13994</v>
      </c>
      <c r="D1462" s="239" t="s">
        <v>13995</v>
      </c>
      <c r="E1462" s="807" t="s">
        <v>6553</v>
      </c>
      <c r="F1462" s="667">
        <v>1219</v>
      </c>
      <c r="G1462" s="105">
        <v>971579.57</v>
      </c>
      <c r="H1462" s="180" t="s">
        <v>13822</v>
      </c>
      <c r="I1462" s="977" t="s">
        <v>14588</v>
      </c>
    </row>
    <row r="1463" spans="1:9" ht="45" x14ac:dyDescent="0.2">
      <c r="A1463" s="910" t="s">
        <v>14094</v>
      </c>
      <c r="B1463" s="184" t="s">
        <v>7460</v>
      </c>
      <c r="C1463" s="80" t="s">
        <v>14095</v>
      </c>
      <c r="D1463" s="239" t="s">
        <v>14096</v>
      </c>
      <c r="E1463" s="807" t="s">
        <v>6553</v>
      </c>
      <c r="F1463" s="667">
        <v>169</v>
      </c>
      <c r="G1463" s="105">
        <v>107162.9</v>
      </c>
      <c r="H1463" s="180" t="s">
        <v>13991</v>
      </c>
      <c r="I1463" s="180"/>
    </row>
    <row r="1464" spans="1:9" ht="45" x14ac:dyDescent="0.2">
      <c r="A1464" s="910" t="s">
        <v>14147</v>
      </c>
      <c r="B1464" s="184" t="s">
        <v>14148</v>
      </c>
      <c r="C1464" s="80" t="s">
        <v>14149</v>
      </c>
      <c r="D1464" s="239" t="s">
        <v>14150</v>
      </c>
      <c r="E1464" s="807" t="s">
        <v>6553</v>
      </c>
      <c r="F1464" s="667">
        <v>29738</v>
      </c>
      <c r="G1464" s="105">
        <v>6545333.7999999998</v>
      </c>
      <c r="H1464" s="180" t="s">
        <v>13991</v>
      </c>
      <c r="I1464" s="180"/>
    </row>
    <row r="1465" spans="1:9" ht="56.25" x14ac:dyDescent="0.2">
      <c r="A1465" s="910" t="s">
        <v>14151</v>
      </c>
      <c r="B1465" s="184" t="s">
        <v>11650</v>
      </c>
      <c r="C1465" s="80" t="s">
        <v>14582</v>
      </c>
      <c r="D1465" s="239" t="s">
        <v>14152</v>
      </c>
      <c r="E1465" s="807" t="s">
        <v>6553</v>
      </c>
      <c r="F1465" s="667">
        <v>50</v>
      </c>
      <c r="G1465" s="105">
        <v>28017.5</v>
      </c>
      <c r="H1465" s="180" t="s">
        <v>13991</v>
      </c>
      <c r="I1465" s="180"/>
    </row>
    <row r="1466" spans="1:9" ht="56.25" x14ac:dyDescent="0.2">
      <c r="A1466" s="910" t="s">
        <v>14168</v>
      </c>
      <c r="B1466" s="184" t="s">
        <v>14169</v>
      </c>
      <c r="C1466" s="80" t="s">
        <v>14170</v>
      </c>
      <c r="D1466" s="239" t="s">
        <v>14171</v>
      </c>
      <c r="E1466" s="807" t="s">
        <v>6553</v>
      </c>
      <c r="F1466" s="667">
        <v>4867</v>
      </c>
      <c r="G1466" s="105">
        <v>1403156.1</v>
      </c>
      <c r="H1466" s="180" t="s">
        <v>13822</v>
      </c>
      <c r="I1466" s="977" t="s">
        <v>14588</v>
      </c>
    </row>
    <row r="1467" spans="1:9" ht="56.25" x14ac:dyDescent="0.2">
      <c r="A1467" s="910" t="s">
        <v>14172</v>
      </c>
      <c r="B1467" s="184" t="s">
        <v>14173</v>
      </c>
      <c r="C1467" s="80" t="s">
        <v>14174</v>
      </c>
      <c r="D1467" s="239" t="s">
        <v>14175</v>
      </c>
      <c r="E1467" s="807" t="s">
        <v>6553</v>
      </c>
      <c r="F1467" s="667">
        <v>3128</v>
      </c>
      <c r="G1467" s="105">
        <v>1854059.44</v>
      </c>
      <c r="H1467" s="180" t="s">
        <v>13822</v>
      </c>
      <c r="I1467" s="977" t="s">
        <v>14588</v>
      </c>
    </row>
    <row r="1468" spans="1:9" ht="56.25" x14ac:dyDescent="0.2">
      <c r="A1468" s="910" t="s">
        <v>14176</v>
      </c>
      <c r="B1468" s="184" t="s">
        <v>14178</v>
      </c>
      <c r="C1468" s="80" t="s">
        <v>14177</v>
      </c>
      <c r="D1468" s="239" t="s">
        <v>14179</v>
      </c>
      <c r="E1468" s="807" t="s">
        <v>6553</v>
      </c>
      <c r="F1468" s="667">
        <v>3232</v>
      </c>
      <c r="G1468" s="105">
        <v>1021829.12</v>
      </c>
      <c r="H1468" s="180" t="s">
        <v>13822</v>
      </c>
      <c r="I1468" s="977" t="s">
        <v>14588</v>
      </c>
    </row>
    <row r="1469" spans="1:9" ht="33.75" x14ac:dyDescent="0.2">
      <c r="A1469" s="910" t="s">
        <v>14181</v>
      </c>
      <c r="B1469" s="184" t="s">
        <v>14182</v>
      </c>
      <c r="C1469" s="80" t="s">
        <v>14183</v>
      </c>
      <c r="D1469" s="239" t="s">
        <v>14583</v>
      </c>
      <c r="E1469" s="807" t="s">
        <v>6553</v>
      </c>
      <c r="F1469" s="667">
        <v>1251</v>
      </c>
      <c r="G1469" s="105">
        <v>862526.97</v>
      </c>
      <c r="H1469" s="180" t="s">
        <v>13991</v>
      </c>
      <c r="I1469" s="180"/>
    </row>
    <row r="1470" spans="1:9" ht="22.5" x14ac:dyDescent="0.2">
      <c r="A1470" s="910" t="s">
        <v>14184</v>
      </c>
      <c r="B1470" s="184" t="s">
        <v>14185</v>
      </c>
      <c r="C1470" s="80" t="s">
        <v>14183</v>
      </c>
      <c r="D1470" s="239" t="s">
        <v>14186</v>
      </c>
      <c r="E1470" s="807" t="s">
        <v>6553</v>
      </c>
      <c r="F1470" s="667">
        <v>927</v>
      </c>
      <c r="G1470" s="28">
        <v>642753.99</v>
      </c>
      <c r="H1470" s="180" t="s">
        <v>13991</v>
      </c>
      <c r="I1470" s="180"/>
    </row>
    <row r="1471" spans="1:9" ht="78.75" x14ac:dyDescent="0.2">
      <c r="A1471" s="910" t="s">
        <v>14187</v>
      </c>
      <c r="B1471" s="850" t="s">
        <v>10817</v>
      </c>
      <c r="C1471" s="850" t="s">
        <v>14188</v>
      </c>
      <c r="D1471" s="851" t="s">
        <v>14189</v>
      </c>
      <c r="E1471" s="852" t="s">
        <v>6553</v>
      </c>
      <c r="F1471" s="853">
        <v>6386</v>
      </c>
      <c r="G1471" s="924">
        <v>21190727.66</v>
      </c>
      <c r="H1471" s="852" t="s">
        <v>11978</v>
      </c>
      <c r="I1471" s="977" t="s">
        <v>14588</v>
      </c>
    </row>
    <row r="1472" spans="1:9" ht="45" x14ac:dyDescent="0.2">
      <c r="A1472" s="910" t="s">
        <v>14190</v>
      </c>
      <c r="B1472" s="954" t="s">
        <v>9562</v>
      </c>
      <c r="C1472" s="955" t="s">
        <v>14191</v>
      </c>
      <c r="D1472" s="851" t="s">
        <v>14192</v>
      </c>
      <c r="E1472" s="850" t="s">
        <v>9607</v>
      </c>
      <c r="F1472" s="853">
        <v>1526</v>
      </c>
      <c r="G1472" s="925">
        <v>3997952.14</v>
      </c>
      <c r="H1472" s="850" t="s">
        <v>14193</v>
      </c>
      <c r="I1472" s="977" t="s">
        <v>14588</v>
      </c>
    </row>
    <row r="1473" spans="1:9" ht="33.75" x14ac:dyDescent="0.2">
      <c r="A1473" s="912" t="s">
        <v>14417</v>
      </c>
      <c r="B1473" s="854" t="s">
        <v>14418</v>
      </c>
      <c r="C1473" s="855" t="s">
        <v>14419</v>
      </c>
      <c r="D1473" s="850" t="s">
        <v>14420</v>
      </c>
      <c r="E1473" s="850" t="s">
        <v>9607</v>
      </c>
      <c r="F1473" s="904">
        <v>1500</v>
      </c>
      <c r="G1473" s="894">
        <v>235815</v>
      </c>
      <c r="H1473" s="850" t="s">
        <v>13991</v>
      </c>
      <c r="I1473" s="850"/>
    </row>
    <row r="1474" spans="1:9" ht="33.75" x14ac:dyDescent="0.2">
      <c r="A1474" s="804" t="s">
        <v>14604</v>
      </c>
      <c r="B1474" s="804" t="s">
        <v>14605</v>
      </c>
      <c r="C1474" s="804" t="s">
        <v>14608</v>
      </c>
      <c r="D1474" s="804" t="s">
        <v>14607</v>
      </c>
      <c r="E1474" s="850" t="s">
        <v>9607</v>
      </c>
      <c r="F1474" s="1013">
        <v>6377</v>
      </c>
      <c r="G1474" s="1012" t="s">
        <v>14606</v>
      </c>
      <c r="H1474" s="804"/>
      <c r="I1474" s="804"/>
    </row>
    <row r="1475" spans="1:9" ht="22.5" x14ac:dyDescent="0.2">
      <c r="A1475" s="804" t="s">
        <v>14635</v>
      </c>
      <c r="B1475" s="804" t="s">
        <v>14636</v>
      </c>
      <c r="C1475" s="804" t="s">
        <v>14637</v>
      </c>
      <c r="D1475" s="804" t="s">
        <v>14638</v>
      </c>
      <c r="E1475" s="850" t="s">
        <v>9607</v>
      </c>
      <c r="F1475" s="1012" t="s">
        <v>14639</v>
      </c>
      <c r="G1475" s="1012" t="s">
        <v>14640</v>
      </c>
      <c r="H1475" s="850" t="s">
        <v>13991</v>
      </c>
      <c r="I1475" s="804"/>
    </row>
    <row r="1476" spans="1:9" ht="45" x14ac:dyDescent="0.2">
      <c r="A1476" s="1060" t="s">
        <v>291</v>
      </c>
      <c r="B1476" s="1061" t="s">
        <v>15065</v>
      </c>
      <c r="C1476" s="955" t="s">
        <v>15066</v>
      </c>
      <c r="D1476" s="1064" t="s">
        <v>15077</v>
      </c>
      <c r="E1476" s="1061" t="s">
        <v>9607</v>
      </c>
      <c r="F1476" s="853">
        <v>7153</v>
      </c>
      <c r="G1476" s="1065">
        <v>2028018.56</v>
      </c>
      <c r="H1476" s="850" t="s">
        <v>13991</v>
      </c>
      <c r="I1476" s="850"/>
    </row>
    <row r="1477" spans="1:9" ht="56.25" x14ac:dyDescent="0.2">
      <c r="A1477" s="1060" t="s">
        <v>15054</v>
      </c>
      <c r="B1477" s="1061" t="s">
        <v>15065</v>
      </c>
      <c r="C1477" s="955" t="s">
        <v>15067</v>
      </c>
      <c r="D1477" s="1064" t="s">
        <v>15078</v>
      </c>
      <c r="E1477" s="1061" t="s">
        <v>9607</v>
      </c>
      <c r="F1477" s="853">
        <v>163</v>
      </c>
      <c r="G1477" s="1065">
        <v>74148.7</v>
      </c>
      <c r="H1477" s="850" t="s">
        <v>13991</v>
      </c>
      <c r="I1477" s="804"/>
    </row>
    <row r="1478" spans="1:9" ht="56.25" x14ac:dyDescent="0.2">
      <c r="A1478" s="1060" t="s">
        <v>15055</v>
      </c>
      <c r="B1478" s="1061" t="s">
        <v>15065</v>
      </c>
      <c r="C1478" s="955" t="s">
        <v>15068</v>
      </c>
      <c r="D1478" s="1064" t="s">
        <v>15079</v>
      </c>
      <c r="E1478" s="1061" t="s">
        <v>9607</v>
      </c>
      <c r="F1478" s="853">
        <v>1000</v>
      </c>
      <c r="G1478" s="1065">
        <v>596740</v>
      </c>
      <c r="H1478" s="850" t="s">
        <v>13991</v>
      </c>
      <c r="I1478" s="804"/>
    </row>
    <row r="1479" spans="1:9" ht="45" x14ac:dyDescent="0.2">
      <c r="A1479" s="1060" t="s">
        <v>15056</v>
      </c>
      <c r="B1479" s="1061" t="s">
        <v>15065</v>
      </c>
      <c r="C1479" s="955" t="s">
        <v>15069</v>
      </c>
      <c r="D1479" s="1064" t="s">
        <v>15080</v>
      </c>
      <c r="E1479" s="1061" t="s">
        <v>9607</v>
      </c>
      <c r="F1479" s="853">
        <v>923</v>
      </c>
      <c r="G1479" s="1065">
        <v>62865.53</v>
      </c>
      <c r="H1479" s="850" t="s">
        <v>13991</v>
      </c>
      <c r="I1479" s="850"/>
    </row>
    <row r="1480" spans="1:9" ht="56.25" x14ac:dyDescent="0.2">
      <c r="A1480" s="1060" t="s">
        <v>15057</v>
      </c>
      <c r="B1480" s="1061" t="s">
        <v>15065</v>
      </c>
      <c r="C1480" s="955" t="s">
        <v>15070</v>
      </c>
      <c r="D1480" s="1064" t="s">
        <v>15081</v>
      </c>
      <c r="E1480" s="1061" t="s">
        <v>9607</v>
      </c>
      <c r="F1480" s="853">
        <v>2474</v>
      </c>
      <c r="G1480" s="1065">
        <v>1056101.1200000001</v>
      </c>
      <c r="H1480" s="850" t="s">
        <v>13991</v>
      </c>
      <c r="I1480" s="804"/>
    </row>
    <row r="1481" spans="1:9" ht="22.5" x14ac:dyDescent="0.2">
      <c r="A1481" s="1060" t="s">
        <v>15058</v>
      </c>
      <c r="B1481" s="1061" t="s">
        <v>15065</v>
      </c>
      <c r="C1481" s="955" t="s">
        <v>15071</v>
      </c>
      <c r="D1481" s="1064" t="s">
        <v>15082</v>
      </c>
      <c r="E1481" s="1061" t="s">
        <v>9607</v>
      </c>
      <c r="F1481" s="853">
        <v>1302</v>
      </c>
      <c r="G1481" s="1065">
        <v>90319.74</v>
      </c>
      <c r="H1481" s="850" t="s">
        <v>13991</v>
      </c>
      <c r="I1481" s="804"/>
    </row>
    <row r="1482" spans="1:9" ht="56.25" x14ac:dyDescent="0.2">
      <c r="A1482" s="1060" t="s">
        <v>15059</v>
      </c>
      <c r="B1482" s="1061" t="s">
        <v>15065</v>
      </c>
      <c r="C1482" s="955" t="s">
        <v>15072</v>
      </c>
      <c r="D1482" s="1064" t="s">
        <v>15083</v>
      </c>
      <c r="E1482" s="1061" t="s">
        <v>9607</v>
      </c>
      <c r="F1482" s="853">
        <v>270</v>
      </c>
      <c r="G1482" s="1065">
        <v>122823</v>
      </c>
      <c r="H1482" s="850" t="s">
        <v>13991</v>
      </c>
      <c r="I1482" s="850"/>
    </row>
    <row r="1483" spans="1:9" ht="56.25" x14ac:dyDescent="0.2">
      <c r="A1483" s="786" t="s">
        <v>15060</v>
      </c>
      <c r="B1483" s="1061" t="s">
        <v>15065</v>
      </c>
      <c r="C1483" s="855" t="s">
        <v>15073</v>
      </c>
      <c r="D1483" s="850" t="s">
        <v>15084</v>
      </c>
      <c r="E1483" s="1061" t="s">
        <v>9607</v>
      </c>
      <c r="F1483" s="921" t="s">
        <v>15088</v>
      </c>
      <c r="G1483" s="1066"/>
      <c r="H1483" s="850" t="s">
        <v>13991</v>
      </c>
      <c r="I1483" s="804"/>
    </row>
    <row r="1484" spans="1:9" ht="56.25" x14ac:dyDescent="0.2">
      <c r="A1484" s="850" t="s">
        <v>15061</v>
      </c>
      <c r="B1484" s="1061" t="s">
        <v>15065</v>
      </c>
      <c r="C1484" s="855" t="s">
        <v>15074</v>
      </c>
      <c r="D1484" s="850" t="s">
        <v>361</v>
      </c>
      <c r="E1484" s="1061" t="s">
        <v>9607</v>
      </c>
      <c r="F1484" s="921" t="s">
        <v>15089</v>
      </c>
      <c r="G1484" s="1066" t="s">
        <v>15090</v>
      </c>
      <c r="H1484" s="850" t="s">
        <v>13991</v>
      </c>
      <c r="I1484" s="804"/>
    </row>
    <row r="1485" spans="1:9" ht="67.5" x14ac:dyDescent="0.2">
      <c r="A1485" s="786" t="s">
        <v>15062</v>
      </c>
      <c r="B1485" s="1061" t="s">
        <v>15065</v>
      </c>
      <c r="C1485" s="855" t="s">
        <v>15075</v>
      </c>
      <c r="D1485" s="1061" t="s">
        <v>15085</v>
      </c>
      <c r="E1485" s="1061" t="s">
        <v>9607</v>
      </c>
      <c r="F1485" s="904">
        <v>7095.58</v>
      </c>
      <c r="G1485" s="1067">
        <v>11587791.699999999</v>
      </c>
      <c r="H1485" s="850" t="s">
        <v>13991</v>
      </c>
      <c r="I1485" s="850"/>
    </row>
    <row r="1486" spans="1:9" x14ac:dyDescent="0.2">
      <c r="A1486" s="1060" t="s">
        <v>15063</v>
      </c>
      <c r="B1486" s="1062" t="s">
        <v>15065</v>
      </c>
      <c r="C1486" s="1063" t="s">
        <v>5647</v>
      </c>
      <c r="D1486" s="1062" t="s">
        <v>15086</v>
      </c>
      <c r="E1486" s="1062" t="s">
        <v>9607</v>
      </c>
      <c r="F1486" s="927">
        <v>22</v>
      </c>
      <c r="G1486" s="1065">
        <v>4655.42</v>
      </c>
      <c r="H1486" s="850" t="s">
        <v>13991</v>
      </c>
      <c r="I1486" s="804"/>
    </row>
    <row r="1487" spans="1:9" ht="56.25" x14ac:dyDescent="0.2">
      <c r="A1487" s="786" t="s">
        <v>15064</v>
      </c>
      <c r="B1487" s="1061" t="s">
        <v>15065</v>
      </c>
      <c r="C1487" s="816" t="s">
        <v>15076</v>
      </c>
      <c r="D1487" s="1061" t="s">
        <v>15087</v>
      </c>
      <c r="E1487" s="1061" t="s">
        <v>9607</v>
      </c>
      <c r="F1487" s="904">
        <v>115</v>
      </c>
      <c r="G1487" s="1067">
        <v>202464.4</v>
      </c>
      <c r="H1487" s="850" t="s">
        <v>13991</v>
      </c>
      <c r="I1487" s="804"/>
    </row>
  </sheetData>
  <autoFilter ref="H1:H1479" xr:uid="{00000000-0009-0000-0000-000005000000}"/>
  <mergeCells count="3">
    <mergeCell ref="L1437:R1437"/>
    <mergeCell ref="L1438:R1438"/>
    <mergeCell ref="B2:G2"/>
  </mergeCells>
  <phoneticPr fontId="5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</vt:lpstr>
      <vt:lpstr>Жилой фонд</vt:lpstr>
      <vt:lpstr>отдельно стоящие нежилые здания</vt:lpstr>
      <vt:lpstr>встроенные нежилые помещения</vt:lpstr>
      <vt:lpstr>сооружения</vt:lpstr>
      <vt:lpstr>земельные участки</vt:lpstr>
      <vt:lpstr>'встроенные нежилые помещения'!Область_печати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ber</cp:lastModifiedBy>
  <cp:lastPrinted>2019-03-01T04:40:18Z</cp:lastPrinted>
  <dcterms:created xsi:type="dcterms:W3CDTF">2012-04-16T14:05:55Z</dcterms:created>
  <dcterms:modified xsi:type="dcterms:W3CDTF">2025-12-05T04:05:20Z</dcterms:modified>
</cp:coreProperties>
</file>